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vsd" ContentType="application/vnd.visi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1.xml" ContentType="application/vnd.openxmlformats-officedocument.spreadsheetml.comments+xml"/>
  <Override PartName="/xl/charts/chart1.xml" ContentType="application/vnd.openxmlformats-officedocument.drawingml.chart+xml"/>
  <Override PartName="/xl/drawings/drawing2.xml" ContentType="application/vnd.openxmlformats-officedocument.drawingml.chartshapes+xml"/>
  <Override PartName="/xl/charts/chart2.xml" ContentType="application/vnd.openxmlformats-officedocument.drawingml.chart+xml"/>
  <Override PartName="/xl/drawings/drawing3.xml" ContentType="application/vnd.openxmlformats-officedocument.drawing+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drawings/drawing7.xml" ContentType="application/vnd.openxmlformats-officedocument.drawing+xml"/>
  <Override PartName="/xl/drawings/drawing8.xml" ContentType="application/vnd.openxmlformats-officedocument.drawing+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codeName="{DD97A8EA-9A9A-E61F-A557-7D5A7D7259CE}"/>
  <workbookPr codeName="ThisWorkbook"/>
  <mc:AlternateContent xmlns:mc="http://schemas.openxmlformats.org/markup-compatibility/2006">
    <mc:Choice Requires="x15">
      <x15ac:absPath xmlns:x15ac="http://schemas.microsoft.com/office/spreadsheetml/2010/11/ac" url="C:\Users\janik\C64PSU\compensator\"/>
    </mc:Choice>
  </mc:AlternateContent>
  <xr:revisionPtr revIDLastSave="0" documentId="13_ncr:1_{E74FBD3F-62B9-494D-880D-70BA1FB0DA80}" xr6:coauthVersionLast="47" xr6:coauthVersionMax="47" xr10:uidLastSave="{00000000-0000-0000-0000-000000000000}"/>
  <workbookProtection workbookAlgorithmName="SHA-512" workbookHashValue="QuEmwlFvJY8I13PPXYRwj/NUfYdu4dUSDCsVb4bX5apaDSLF/QjWLiKNzXL4DhnTxLjs8r+CjmMwy1g86/fHNw==" workbookSaltValue="2UN2Nt4kVzl3HiLK1ipPxQ==" workbookSpinCount="100000" lockStructure="1"/>
  <bookViews>
    <workbookView xWindow="-105" yWindow="0" windowWidth="26010" windowHeight="20985" tabRatio="344" xr2:uid="{00000000-000D-0000-FFFF-FFFF00000000}"/>
  </bookViews>
  <sheets>
    <sheet name="Design Regulator" sheetId="1" r:id="rId1"/>
    <sheet name="Schematic &amp; BOM" sheetId="16" r:id="rId2"/>
    <sheet name="EVMs" sheetId="18" r:id="rId3"/>
    <sheet name="Variable Management" sheetId="2" state="hidden" r:id="rId4"/>
    <sheet name="Standard Value Calculator" sheetId="8" state="hidden" r:id="rId5"/>
    <sheet name="Bode Plots Calculations" sheetId="3" state="hidden" r:id="rId6"/>
    <sheet name="Schematic Management" sheetId="17" state="hidden" r:id="rId7"/>
    <sheet name="Power Calculations" sheetId="4" state="hidden" r:id="rId8"/>
    <sheet name="Snubber" sheetId="11" state="hidden" r:id="rId9"/>
    <sheet name="Parallel Output Caps" sheetId="6" state="hidden" r:id="rId10"/>
  </sheets>
  <definedNames>
    <definedName name="_Don1">'Variable Management'!$B$23</definedName>
    <definedName name="_Don2">'Variable Management'!$B$34</definedName>
    <definedName name="_Ren1">'Variable Management'!$B$94</definedName>
    <definedName name="_Rfb1">'Variable Management'!$B$126</definedName>
    <definedName name="_Rfb2">'Variable Management'!$B$127</definedName>
    <definedName name="_Rs1">'Variable Management'!$B$65</definedName>
    <definedName name="_Rs2">'Variable Management'!$B$64</definedName>
    <definedName name="_Rs3">'Variable Management'!$B$62</definedName>
    <definedName name="Cb">'Variable Management'!$B$119</definedName>
    <definedName name="Cby">'Variable Management'!$B$118</definedName>
    <definedName name="Cc1ea">'Variable Management'!$B$133</definedName>
    <definedName name="Cc1ea_u">'Variable Management'!$B$140</definedName>
    <definedName name="Cc2ea">'Variable Management'!$B$134</definedName>
    <definedName name="Cc2ea_u">'Variable Management'!$B$141</definedName>
    <definedName name="Cc3ea">'Variable Management'!$B$136</definedName>
    <definedName name="Cc3ea_u">'Variable Management'!$B$143</definedName>
    <definedName name="Cdd">'Variable Management'!$B$115</definedName>
    <definedName name="Cilim">'Variable Management'!$B$64</definedName>
    <definedName name="Cilim_ideal">'Variable Management'!$B$65</definedName>
    <definedName name="Cin">'Variable Management'!$B$81</definedName>
    <definedName name="Cin_Voltage_Rating">'Variable Management'!$S$66</definedName>
    <definedName name="CinEsrMax">'Variable Management'!$B$82</definedName>
    <definedName name="Core_Loss">'Design Regulator'!$E$21</definedName>
    <definedName name="CossBot">'Variable Management'!$B$202</definedName>
    <definedName name="CossTop">'Variable Management'!$B$190</definedName>
    <definedName name="Cout">'Variable Management'!$B$71</definedName>
    <definedName name="Cout_Voltage_Rating">'Variable Management'!$M$66</definedName>
    <definedName name="CoutEsr">'Variable Management'!$B$73</definedName>
    <definedName name="Coutmin">'Variable Management'!$B$70</definedName>
    <definedName name="Csb">'Variable Management'!$B$116</definedName>
    <definedName name="Csby">'Variable Management'!$B$117</definedName>
    <definedName name="Css">'Variable Management'!$B$90</definedName>
    <definedName name="Css_u">'Variable Management'!$B$91</definedName>
    <definedName name="DC_Current_Limit_Setpoint">'Variable Management'!$B$49</definedName>
    <definedName name="Deadtime">'Variable Management'!$B$181</definedName>
    <definedName name="Doff1">'Variable Management'!$B$24</definedName>
    <definedName name="Doff2">'Variable Management'!$B$35</definedName>
    <definedName name="Don_Vinmax">'Variable Management'!$B$27</definedName>
    <definedName name="Eadcg">'Variable Management'!$B$122</definedName>
    <definedName name="Ext_VCC">'Variable Management'!$V$21</definedName>
    <definedName name="Fcross">'Variable Management'!$B$124</definedName>
    <definedName name="Fesr">'Variable Management'!$B$148</definedName>
    <definedName name="Fo">'Variable Management'!$B$146</definedName>
    <definedName name="Fp1_u">'Variable Management'!$B$151</definedName>
    <definedName name="Fp2_u">'Variable Management'!$B$152</definedName>
    <definedName name="Fsw">'Variable Management'!$B$12</definedName>
    <definedName name="Fz1_u">'Variable Management'!$B$149</definedName>
    <definedName name="Fz2_u">'Variable Management'!$B$150</definedName>
    <definedName name="GBP">'Variable Management'!$B$123</definedName>
    <definedName name="GmTop">'Variable Management'!$B$192</definedName>
    <definedName name="Icinrms">'Variable Management'!$B$79</definedName>
    <definedName name="Icoutrms">'Variable Management'!$B$69</definedName>
    <definedName name="Ilim1">'Variable Management'!$B$53</definedName>
    <definedName name="Ilim2">'Variable Management'!$B$54</definedName>
    <definedName name="ILimit">'Variable Management'!$B$50</definedName>
    <definedName name="Ilsat">'Variable Management'!$B$51</definedName>
    <definedName name="Iout">'Variable Management'!$B$11</definedName>
    <definedName name="Ipp">'Power Calculations'!$B$69</definedName>
    <definedName name="Iq">'Variable Management'!$B$183</definedName>
    <definedName name="Ireverse">'Variable Management'!$B$211</definedName>
    <definedName name="Iripple1">'Variable Management'!$B$42</definedName>
    <definedName name="Iss">'Variable Management'!$B$89</definedName>
    <definedName name="Iuvlo_hys">'Variable Management'!$B$109</definedName>
    <definedName name="Iuvlo1">'Variable Management'!$B$107</definedName>
    <definedName name="Iuvlo2">'Variable Management'!$B$108</definedName>
    <definedName name="Kmidband">'Variable Management'!$B$125</definedName>
    <definedName name="Lout1">'Variable Management'!$B$30</definedName>
    <definedName name="Lout2">'Variable Management'!$B$31</definedName>
    <definedName name="Ltc">'Variable Management'!$B$169</definedName>
    <definedName name="Pi">'Variable Management'!$B$154</definedName>
    <definedName name="PICTURE10">INDIRECT('Schematic Management'!$A$2)</definedName>
    <definedName name="PICTURE2" localSheetId="6">INDIRECT('Schematic Management'!$A$2)</definedName>
    <definedName name="_xlnm.Print_Area" localSheetId="0">'Design Regulator'!$A$1:$Q$111</definedName>
    <definedName name="_xlnm.Print_Area" localSheetId="1">'Schematic &amp; BOM'!$A$1:$J$68</definedName>
    <definedName name="Q">'Variable Management'!$B$147</definedName>
    <definedName name="QgBot">'Variable Management'!$B$200</definedName>
    <definedName name="QgdTop">'Variable Management'!$B$188</definedName>
    <definedName name="QgsTop">'Variable Management'!$B$189</definedName>
    <definedName name="QgTop">'Variable Management'!$B$187</definedName>
    <definedName name="QossBot">'Variable Management'!$B$201</definedName>
    <definedName name="QrrBot">'Variable Management'!$B$205</definedName>
    <definedName name="QrrSky">'Variable Management'!$B$210</definedName>
    <definedName name="Rcea1">'Variable Management'!$B$132</definedName>
    <definedName name="Rcea1_u">'Variable Management'!$B$139</definedName>
    <definedName name="Rcea2">'Variable Management'!$B$135</definedName>
    <definedName name="Rcea2_u">'Variable Management'!$B$142</definedName>
    <definedName name="RCinEsr">'Variable Management'!$B$83</definedName>
    <definedName name="RCoutEsr">'Variable Management'!$B$73</definedName>
    <definedName name="Rdcr">'Variable Management'!$B$32</definedName>
    <definedName name="RDSON_sense">'Variable Management'!$M$56</definedName>
    <definedName name="RdsonBot">'Variable Management'!$B$198</definedName>
    <definedName name="RdsonBotTc">'Variable Management'!$B$199</definedName>
    <definedName name="RdsonDRB">'Variable Management'!$B$178</definedName>
    <definedName name="RdsonDRB2">'Variable Management'!$B$179</definedName>
    <definedName name="RdsonDRT">'Variable Management'!$B$175</definedName>
    <definedName name="RdsonDRT2">'Variable Management'!$B$176</definedName>
    <definedName name="RdsonTop">'Variable Management'!$B$185</definedName>
    <definedName name="RdsonTopTc">'Variable Management'!$B$186</definedName>
    <definedName name="Resrmax">'Variable Management'!$B$72</definedName>
    <definedName name="Rfadj">'Variable Management'!$B$15</definedName>
    <definedName name="Rfb2_u">'Variable Management'!$B$128</definedName>
    <definedName name="Rfets">'Variable Management'!$B$156</definedName>
    <definedName name="RGateBot">'Variable Management'!$B$203</definedName>
    <definedName name="RGateTop">'Variable Management'!$B$191</definedName>
    <definedName name="Rh">'Variable Management'!$B$113</definedName>
    <definedName name="Rilim_Rdson">'Variable Management'!$B$56</definedName>
    <definedName name="Rilim_Rdson_ideal">'Variable Management'!$B$55</definedName>
    <definedName name="Rilim_shunt">'Variable Management'!$B$60</definedName>
    <definedName name="Rilim_shunt_ideal">'Variable Management'!$B$59</definedName>
    <definedName name="Ro">'Variable Management'!$B$153</definedName>
    <definedName name="Rpg">'Variable Management'!$B$111</definedName>
    <definedName name="Rsb">'Variable Management'!$B$112</definedName>
    <definedName name="Rshunt">'Variable Management'!$B$58</definedName>
    <definedName name="Ruvlo1">'Variable Management'!$B$97</definedName>
    <definedName name="Ruvlo2">'Variable Management'!$B$98</definedName>
    <definedName name="SCH_RDSON">'Schematic Management'!$B$5</definedName>
    <definedName name="SCH_SHUNT">'Schematic Management'!$B$8</definedName>
    <definedName name="Ta">'Variable Management'!$B$167</definedName>
    <definedName name="Tf">'Variable Management'!$B$217</definedName>
    <definedName name="ThetaCa">'Variable Management'!$B$170</definedName>
    <definedName name="ThetaJaBot">'Variable Management'!$B$207</definedName>
    <definedName name="ThetaJaCtrl">'Variable Management'!$B$213</definedName>
    <definedName name="ThetaJaTop">'Variable Management'!$B$196</definedName>
    <definedName name="TL">'Variable Management'!$B$44</definedName>
    <definedName name="Tr">'Variable Management'!$B$216</definedName>
    <definedName name="TrrBot">'Variable Management'!$B$206</definedName>
    <definedName name="Tss">'Variable Management'!$B$88</definedName>
    <definedName name="VARIANT">'Variable Management'!$V$12</definedName>
    <definedName name="Vdd">'Variable Management'!$B$173</definedName>
    <definedName name="VfdSky">'Variable Management'!$B$209</definedName>
    <definedName name="Vin">'Variable Management'!$B$7</definedName>
    <definedName name="VIN_MAX_RATING">'Variable Management'!$U$13</definedName>
    <definedName name="VIN_MIN_RATING">'Variable Management'!$U$14</definedName>
    <definedName name="Vinmax">'Variable Management'!$B$9</definedName>
    <definedName name="Vinmin">'Variable Management'!$B$8</definedName>
    <definedName name="Vinripple1">'Variable Management'!$B$78</definedName>
    <definedName name="Vinripple2">'Variable Management'!$B$84</definedName>
    <definedName name="VINuvlo_off">'Variable Management'!$B$96</definedName>
    <definedName name="VINuvlo_on">'Variable Management'!$B$95</definedName>
    <definedName name="Vout">'Variable Management'!$B$10</definedName>
    <definedName name="VOUT_MAX_RATING">'Variable Management'!$U$15</definedName>
    <definedName name="Vramp">'Variable Management'!$B$131</definedName>
    <definedName name="Vref">'Variable Management'!$B$14</definedName>
    <definedName name="Vripple1">'Variable Management'!$B$41</definedName>
    <definedName name="Vripple2">'Variable Management'!$B$74</definedName>
    <definedName name="VsdBot">'Variable Management'!$B$204</definedName>
    <definedName name="VsdTop">'Variable Management'!$B$195</definedName>
    <definedName name="VspTop">'Variable Management'!$B$194</definedName>
    <definedName name="VthTop">'Variable Management'!$B$193</definedName>
    <definedName name="Vuvlo_hys">'Variable Management'!$B$106</definedName>
    <definedName name="Vuvlo_off">'Variable Management'!$B$105</definedName>
    <definedName name="Vuvlo_on">'Variable Management'!$B$104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K3" i="4" l="1"/>
  <c r="A270" i="2"/>
  <c r="D63" i="16"/>
  <c r="U15" i="2"/>
  <c r="C63" i="16"/>
  <c r="I63" i="16"/>
  <c r="U14" i="2"/>
  <c r="U13" i="2"/>
  <c r="U12" i="2"/>
  <c r="P10" i="4"/>
  <c r="P11" i="4"/>
  <c r="P12" i="4"/>
  <c r="P13" i="4"/>
  <c r="P14" i="4"/>
  <c r="P15" i="4"/>
  <c r="P16" i="4"/>
  <c r="P17" i="4"/>
  <c r="P18" i="4"/>
  <c r="P19" i="4"/>
  <c r="P20" i="4"/>
  <c r="P21" i="4"/>
  <c r="P22" i="4"/>
  <c r="P23" i="4"/>
  <c r="P24" i="4"/>
  <c r="P25" i="4"/>
  <c r="P26" i="4"/>
  <c r="P27" i="4"/>
  <c r="P28" i="4"/>
  <c r="P29" i="4"/>
  <c r="P30" i="4"/>
  <c r="P31" i="4"/>
  <c r="P32" i="4"/>
  <c r="P33" i="4"/>
  <c r="P34" i="4"/>
  <c r="P35" i="4"/>
  <c r="P36" i="4"/>
  <c r="P37" i="4"/>
  <c r="P38" i="4"/>
  <c r="P39" i="4"/>
  <c r="P40" i="4"/>
  <c r="P41" i="4"/>
  <c r="P42" i="4"/>
  <c r="P43" i="4"/>
  <c r="P44" i="4"/>
  <c r="P45" i="4"/>
  <c r="P46" i="4"/>
  <c r="P47" i="4"/>
  <c r="P48" i="4"/>
  <c r="P49" i="4"/>
  <c r="P50" i="4"/>
  <c r="P51" i="4"/>
  <c r="P52" i="4"/>
  <c r="P53" i="4"/>
  <c r="P54" i="4"/>
  <c r="P55" i="4"/>
  <c r="P56" i="4"/>
  <c r="P57" i="4"/>
  <c r="P58" i="4"/>
  <c r="P59" i="4"/>
  <c r="P60" i="4"/>
  <c r="P61" i="4"/>
  <c r="P62" i="4"/>
  <c r="P63" i="4"/>
  <c r="P64" i="4"/>
  <c r="P65" i="4"/>
  <c r="P66" i="4"/>
  <c r="P67" i="4"/>
  <c r="P68" i="4"/>
  <c r="P69" i="4"/>
  <c r="P70" i="4"/>
  <c r="P71" i="4"/>
  <c r="P72" i="4"/>
  <c r="P73" i="4"/>
  <c r="P74" i="4"/>
  <c r="P75" i="4"/>
  <c r="P76" i="4"/>
  <c r="P77" i="4"/>
  <c r="P78" i="4"/>
  <c r="P79" i="4"/>
  <c r="P80" i="4"/>
  <c r="P81" i="4"/>
  <c r="P82" i="4"/>
  <c r="P83" i="4"/>
  <c r="P84" i="4"/>
  <c r="P85" i="4"/>
  <c r="P86" i="4"/>
  <c r="P87" i="4"/>
  <c r="P88" i="4"/>
  <c r="P89" i="4"/>
  <c r="P90" i="4"/>
  <c r="P91" i="4"/>
  <c r="P92" i="4"/>
  <c r="P93" i="4"/>
  <c r="P94" i="4"/>
  <c r="P95" i="4"/>
  <c r="P96" i="4"/>
  <c r="P97" i="4"/>
  <c r="P98" i="4"/>
  <c r="P99" i="4"/>
  <c r="P100" i="4"/>
  <c r="P101" i="4"/>
  <c r="P102" i="4"/>
  <c r="P103" i="4"/>
  <c r="P104" i="4"/>
  <c r="P105" i="4"/>
  <c r="P106" i="4"/>
  <c r="P107" i="4"/>
  <c r="P108" i="4"/>
  <c r="P109" i="4"/>
  <c r="P110" i="4"/>
  <c r="P111" i="4"/>
  <c r="P112" i="4"/>
  <c r="P113" i="4"/>
  <c r="P114" i="4"/>
  <c r="P115" i="4"/>
  <c r="P116" i="4"/>
  <c r="P117" i="4"/>
  <c r="P118" i="4"/>
  <c r="P119" i="4"/>
  <c r="P120" i="4"/>
  <c r="P121" i="4"/>
  <c r="P122" i="4"/>
  <c r="P123" i="4"/>
  <c r="P124" i="4"/>
  <c r="P125" i="4"/>
  <c r="P126" i="4"/>
  <c r="P127" i="4"/>
  <c r="P128" i="4"/>
  <c r="P129" i="4"/>
  <c r="P130" i="4"/>
  <c r="P131" i="4"/>
  <c r="P132" i="4"/>
  <c r="P133" i="4"/>
  <c r="P134" i="4"/>
  <c r="P135" i="4"/>
  <c r="P136" i="4"/>
  <c r="P137" i="4"/>
  <c r="P138" i="4"/>
  <c r="P139" i="4"/>
  <c r="P140" i="4"/>
  <c r="P141" i="4"/>
  <c r="P142" i="4"/>
  <c r="P143" i="4"/>
  <c r="P144" i="4"/>
  <c r="P145" i="4"/>
  <c r="P146" i="4"/>
  <c r="P147" i="4"/>
  <c r="P148" i="4"/>
  <c r="P149" i="4"/>
  <c r="P150" i="4"/>
  <c r="P151" i="4"/>
  <c r="P152" i="4"/>
  <c r="P153" i="4"/>
  <c r="P154" i="4"/>
  <c r="P155" i="4"/>
  <c r="P156" i="4"/>
  <c r="P157" i="4"/>
  <c r="P158" i="4"/>
  <c r="P159" i="4"/>
  <c r="P160" i="4"/>
  <c r="P161" i="4"/>
  <c r="P162" i="4"/>
  <c r="P163" i="4"/>
  <c r="P164" i="4"/>
  <c r="P165" i="4"/>
  <c r="P166" i="4"/>
  <c r="P167" i="4"/>
  <c r="P168" i="4"/>
  <c r="P169" i="4"/>
  <c r="P170" i="4"/>
  <c r="P171" i="4"/>
  <c r="P172" i="4"/>
  <c r="P173" i="4"/>
  <c r="P174" i="4"/>
  <c r="P175" i="4"/>
  <c r="P176" i="4"/>
  <c r="P177" i="4"/>
  <c r="P178" i="4"/>
  <c r="P179" i="4"/>
  <c r="P180" i="4"/>
  <c r="P181" i="4"/>
  <c r="P182" i="4"/>
  <c r="P183" i="4"/>
  <c r="P184" i="4"/>
  <c r="P185" i="4"/>
  <c r="P186" i="4"/>
  <c r="P187" i="4"/>
  <c r="P188" i="4"/>
  <c r="P189" i="4"/>
  <c r="P190" i="4"/>
  <c r="P191" i="4"/>
  <c r="P192" i="4"/>
  <c r="P193" i="4"/>
  <c r="P194" i="4"/>
  <c r="P195" i="4"/>
  <c r="P196" i="4"/>
  <c r="P197" i="4"/>
  <c r="P198" i="4"/>
  <c r="P199" i="4"/>
  <c r="P200" i="4"/>
  <c r="P201" i="4"/>
  <c r="P202" i="4"/>
  <c r="P203" i="4"/>
  <c r="P204" i="4"/>
  <c r="P205" i="4"/>
  <c r="P206" i="4"/>
  <c r="P207" i="4"/>
  <c r="P208" i="4"/>
  <c r="P209" i="4"/>
  <c r="P9" i="4"/>
  <c r="B249" i="2"/>
  <c r="C43" i="16" s="1"/>
  <c r="F70" i="1"/>
  <c r="F69" i="1"/>
  <c r="F68" i="1"/>
  <c r="F67" i="1"/>
  <c r="A68" i="1"/>
  <c r="B190" i="2"/>
  <c r="B202" i="2"/>
  <c r="B201" i="2"/>
  <c r="L42" i="16"/>
  <c r="L59" i="16"/>
  <c r="A50" i="16"/>
  <c r="A49" i="16"/>
  <c r="L50" i="16"/>
  <c r="L49" i="16"/>
  <c r="A43" i="16"/>
  <c r="L43" i="16" s="1"/>
  <c r="B13" i="2"/>
  <c r="B15" i="2" s="1"/>
  <c r="R4" i="8" s="1"/>
  <c r="S4" i="8" s="1"/>
  <c r="A269" i="2"/>
  <c r="B12" i="2"/>
  <c r="K50" i="16"/>
  <c r="K49" i="16"/>
  <c r="K44" i="16"/>
  <c r="K43" i="16"/>
  <c r="L48" i="16"/>
  <c r="K48" i="16"/>
  <c r="L62" i="16"/>
  <c r="L61" i="16"/>
  <c r="L60" i="16"/>
  <c r="L58" i="16"/>
  <c r="L57" i="16"/>
  <c r="L56" i="16"/>
  <c r="L55" i="16"/>
  <c r="L54" i="16"/>
  <c r="L53" i="16"/>
  <c r="L52" i="16"/>
  <c r="K62" i="16"/>
  <c r="K61" i="16"/>
  <c r="K60" i="16"/>
  <c r="K58" i="16"/>
  <c r="K56" i="16"/>
  <c r="K57" i="16"/>
  <c r="K55" i="16"/>
  <c r="K54" i="16"/>
  <c r="K53" i="16"/>
  <c r="K52" i="16"/>
  <c r="L47" i="16"/>
  <c r="L46" i="16"/>
  <c r="L45" i="16"/>
  <c r="K47" i="16"/>
  <c r="K46" i="16"/>
  <c r="K45" i="16"/>
  <c r="L41" i="16"/>
  <c r="L40" i="16"/>
  <c r="K42" i="16"/>
  <c r="K41" i="16"/>
  <c r="K40" i="16"/>
  <c r="L39" i="16"/>
  <c r="K39" i="16"/>
  <c r="L38" i="16"/>
  <c r="K38" i="16"/>
  <c r="L56" i="2"/>
  <c r="L52" i="2"/>
  <c r="L86" i="2"/>
  <c r="N86" i="2"/>
  <c r="N74" i="2"/>
  <c r="L74" i="2"/>
  <c r="C59" i="16"/>
  <c r="D59" i="16" s="1"/>
  <c r="C56" i="16"/>
  <c r="D56" i="16" s="1"/>
  <c r="B49" i="2"/>
  <c r="B58" i="2"/>
  <c r="B8" i="2"/>
  <c r="B9" i="2"/>
  <c r="S66" i="2" s="1"/>
  <c r="A2" i="17"/>
  <c r="B269" i="2"/>
  <c r="D49" i="16"/>
  <c r="I50" i="16"/>
  <c r="I49" i="16"/>
  <c r="B239" i="2"/>
  <c r="A239" i="2"/>
  <c r="D50" i="16"/>
  <c r="D58" i="16"/>
  <c r="D62" i="16"/>
  <c r="C48" i="16"/>
  <c r="D47" i="16"/>
  <c r="D46" i="16"/>
  <c r="D38" i="16"/>
  <c r="B258" i="2"/>
  <c r="B95" i="2"/>
  <c r="B106" i="2"/>
  <c r="B109" i="2"/>
  <c r="B96" i="2"/>
  <c r="D73" i="1"/>
  <c r="B689" i="3"/>
  <c r="N688" i="3"/>
  <c r="B114" i="2"/>
  <c r="B73" i="2"/>
  <c r="E145" i="2" s="1"/>
  <c r="B124" i="2"/>
  <c r="B10" i="2"/>
  <c r="B11" i="2"/>
  <c r="H191" i="4" s="1"/>
  <c r="B71" i="2"/>
  <c r="B24" i="4" s="1"/>
  <c r="B31" i="2"/>
  <c r="B18" i="4" s="1"/>
  <c r="B10" i="3"/>
  <c r="B11" i="3"/>
  <c r="B12" i="3"/>
  <c r="B13" i="3"/>
  <c r="B14" i="3"/>
  <c r="B15" i="3"/>
  <c r="B16" i="3"/>
  <c r="B17" i="3"/>
  <c r="B18" i="3"/>
  <c r="B9" i="3"/>
  <c r="B78" i="2"/>
  <c r="B59" i="4"/>
  <c r="B191" i="2"/>
  <c r="J200" i="2" s="1"/>
  <c r="B238" i="2"/>
  <c r="B243" i="2"/>
  <c r="B32" i="2"/>
  <c r="B7" i="2"/>
  <c r="AK187" i="4" s="1"/>
  <c r="B81" i="2"/>
  <c r="B248" i="2" s="1"/>
  <c r="B185" i="2"/>
  <c r="B37" i="4" s="1"/>
  <c r="B198" i="2"/>
  <c r="B49" i="4" s="1"/>
  <c r="B126" i="2"/>
  <c r="AJ674" i="3" s="1"/>
  <c r="B207" i="2"/>
  <c r="B56" i="4" s="1"/>
  <c r="B209" i="2"/>
  <c r="B204" i="2"/>
  <c r="AG3" i="4" s="1"/>
  <c r="B88" i="2"/>
  <c r="B90" i="2" s="1"/>
  <c r="B3" i="8" s="1"/>
  <c r="B187" i="2"/>
  <c r="B200" i="2"/>
  <c r="B51" i="4" s="1"/>
  <c r="B205" i="2"/>
  <c r="B54" i="4" s="1"/>
  <c r="B195" i="2"/>
  <c r="B46" i="4" s="1"/>
  <c r="B60" i="4"/>
  <c r="B188" i="2"/>
  <c r="B40" i="4" s="1"/>
  <c r="B189" i="2"/>
  <c r="B41" i="4"/>
  <c r="B193" i="2"/>
  <c r="B192" i="2"/>
  <c r="B43" i="4" s="1"/>
  <c r="B279" i="2"/>
  <c r="B196" i="2"/>
  <c r="B47" i="4" s="1"/>
  <c r="B169" i="2"/>
  <c r="B20" i="4" s="1"/>
  <c r="B83" i="2"/>
  <c r="B171" i="2" s="1"/>
  <c r="B23" i="4"/>
  <c r="B186" i="2"/>
  <c r="B199" i="2"/>
  <c r="D6" i="6"/>
  <c r="D7" i="6"/>
  <c r="D9" i="6"/>
  <c r="D10" i="6"/>
  <c r="D2" i="11"/>
  <c r="D3" i="11"/>
  <c r="B5" i="11"/>
  <c r="D5" i="11"/>
  <c r="B15" i="4"/>
  <c r="B21" i="4"/>
  <c r="B52" i="4"/>
  <c r="B55" i="4"/>
  <c r="AR9" i="3"/>
  <c r="A34" i="8"/>
  <c r="A46" i="8"/>
  <c r="A58" i="8" s="1"/>
  <c r="A35" i="8"/>
  <c r="A36" i="8"/>
  <c r="A48" i="8"/>
  <c r="A60" i="8"/>
  <c r="A72" i="8"/>
  <c r="A37" i="8"/>
  <c r="A49" i="8" s="1"/>
  <c r="A38" i="8"/>
  <c r="A39" i="8"/>
  <c r="A40" i="8"/>
  <c r="A41" i="8"/>
  <c r="A42" i="8"/>
  <c r="A54" i="8" s="1"/>
  <c r="A43" i="8"/>
  <c r="A55" i="8" s="1"/>
  <c r="A44" i="8"/>
  <c r="A56" i="8"/>
  <c r="A45" i="8"/>
  <c r="A57" i="8"/>
  <c r="A51" i="8"/>
  <c r="A63" i="8"/>
  <c r="A75" i="8"/>
  <c r="A87" i="8"/>
  <c r="A52" i="8"/>
  <c r="A64" i="8" s="1"/>
  <c r="AQ9" i="3"/>
  <c r="AR10" i="3"/>
  <c r="AQ10" i="3"/>
  <c r="AR11" i="3"/>
  <c r="AQ11" i="3"/>
  <c r="AR12" i="3"/>
  <c r="AQ12" i="3"/>
  <c r="AR13" i="3"/>
  <c r="AQ13" i="3"/>
  <c r="AR14" i="3"/>
  <c r="AQ14" i="3"/>
  <c r="AR15" i="3"/>
  <c r="AQ15" i="3"/>
  <c r="AR16" i="3"/>
  <c r="AQ16" i="3"/>
  <c r="AR17" i="3"/>
  <c r="AQ17" i="3"/>
  <c r="AR18" i="3"/>
  <c r="AQ18" i="3"/>
  <c r="A19" i="3"/>
  <c r="A20" i="3"/>
  <c r="A21" i="3"/>
  <c r="B21" i="3"/>
  <c r="AR21" i="3"/>
  <c r="A22" i="3"/>
  <c r="A23" i="3"/>
  <c r="AQ23" i="3"/>
  <c r="A24" i="3"/>
  <c r="B24" i="3" s="1"/>
  <c r="A25" i="3"/>
  <c r="A34" i="3"/>
  <c r="A26" i="3"/>
  <c r="AQ26" i="3" s="1"/>
  <c r="A27" i="3"/>
  <c r="AR27" i="3" s="1"/>
  <c r="A36" i="3"/>
  <c r="AQ36" i="3" s="1"/>
  <c r="A30" i="3"/>
  <c r="AQ30" i="3" s="1"/>
  <c r="N9" i="3"/>
  <c r="N10" i="3"/>
  <c r="N11" i="3"/>
  <c r="N12" i="3"/>
  <c r="N13" i="3"/>
  <c r="N14" i="3"/>
  <c r="N15" i="3"/>
  <c r="N16" i="3"/>
  <c r="N17" i="3"/>
  <c r="N18" i="3"/>
  <c r="N19" i="3"/>
  <c r="N20" i="3"/>
  <c r="N21" i="3"/>
  <c r="N22" i="3"/>
  <c r="N23" i="3"/>
  <c r="N24" i="3"/>
  <c r="N25" i="3"/>
  <c r="N26" i="3"/>
  <c r="N27" i="3"/>
  <c r="N28" i="3"/>
  <c r="N29" i="3"/>
  <c r="N30" i="3"/>
  <c r="N31" i="3"/>
  <c r="N32" i="3"/>
  <c r="N33" i="3"/>
  <c r="N34" i="3"/>
  <c r="N35" i="3"/>
  <c r="N36" i="3"/>
  <c r="N37" i="3"/>
  <c r="N38" i="3"/>
  <c r="N39" i="3"/>
  <c r="N40" i="3"/>
  <c r="AA40" i="3"/>
  <c r="N41" i="3"/>
  <c r="N42" i="3"/>
  <c r="N43" i="3"/>
  <c r="N44" i="3"/>
  <c r="N45" i="3"/>
  <c r="N46" i="3"/>
  <c r="N47" i="3"/>
  <c r="N48" i="3"/>
  <c r="N49" i="3"/>
  <c r="N50" i="3"/>
  <c r="N51" i="3"/>
  <c r="N52" i="3"/>
  <c r="N53" i="3"/>
  <c r="N54" i="3"/>
  <c r="N55" i="3"/>
  <c r="N56" i="3"/>
  <c r="N57" i="3"/>
  <c r="N58" i="3"/>
  <c r="N59" i="3"/>
  <c r="N60" i="3"/>
  <c r="N61" i="3"/>
  <c r="N62" i="3"/>
  <c r="N63" i="3"/>
  <c r="N64" i="3"/>
  <c r="N65" i="3"/>
  <c r="N66" i="3"/>
  <c r="N67" i="3"/>
  <c r="N68" i="3"/>
  <c r="N69" i="3"/>
  <c r="N70" i="3"/>
  <c r="N71" i="3"/>
  <c r="N72" i="3"/>
  <c r="N73" i="3"/>
  <c r="N74" i="3"/>
  <c r="N75" i="3"/>
  <c r="N76" i="3"/>
  <c r="N77" i="3"/>
  <c r="N78" i="3"/>
  <c r="N79" i="3"/>
  <c r="N80" i="3"/>
  <c r="N81" i="3"/>
  <c r="N82" i="3"/>
  <c r="N83" i="3"/>
  <c r="N84" i="3"/>
  <c r="N85" i="3"/>
  <c r="N86" i="3"/>
  <c r="N87" i="3"/>
  <c r="N88" i="3"/>
  <c r="N89" i="3"/>
  <c r="N90" i="3"/>
  <c r="N91" i="3"/>
  <c r="N92" i="3"/>
  <c r="N93" i="3"/>
  <c r="N94" i="3"/>
  <c r="N95" i="3"/>
  <c r="N96" i="3"/>
  <c r="N97" i="3"/>
  <c r="N98" i="3"/>
  <c r="N99" i="3"/>
  <c r="N100" i="3"/>
  <c r="N101" i="3"/>
  <c r="N102" i="3"/>
  <c r="N103" i="3"/>
  <c r="N104" i="3"/>
  <c r="N105" i="3"/>
  <c r="N106" i="3"/>
  <c r="N107" i="3"/>
  <c r="N108" i="3"/>
  <c r="N109" i="3"/>
  <c r="N110" i="3"/>
  <c r="N111" i="3"/>
  <c r="N112" i="3"/>
  <c r="N113" i="3"/>
  <c r="N114" i="3"/>
  <c r="N115" i="3"/>
  <c r="N116" i="3"/>
  <c r="N117" i="3"/>
  <c r="N118" i="3"/>
  <c r="N119" i="3"/>
  <c r="N120" i="3"/>
  <c r="N121" i="3"/>
  <c r="N122" i="3"/>
  <c r="N123" i="3"/>
  <c r="N124" i="3"/>
  <c r="N125" i="3"/>
  <c r="N126" i="3"/>
  <c r="N127" i="3"/>
  <c r="N128" i="3"/>
  <c r="N129" i="3"/>
  <c r="N130" i="3"/>
  <c r="N131" i="3"/>
  <c r="N132" i="3"/>
  <c r="N133" i="3"/>
  <c r="N134" i="3"/>
  <c r="N135" i="3"/>
  <c r="N136" i="3"/>
  <c r="N137" i="3"/>
  <c r="N138" i="3"/>
  <c r="N139" i="3"/>
  <c r="N140" i="3"/>
  <c r="N141" i="3"/>
  <c r="N142" i="3"/>
  <c r="N143" i="3"/>
  <c r="N144" i="3"/>
  <c r="N145" i="3"/>
  <c r="N146" i="3"/>
  <c r="N147" i="3"/>
  <c r="N148" i="3"/>
  <c r="N149" i="3"/>
  <c r="N150" i="3"/>
  <c r="N151" i="3"/>
  <c r="N152" i="3"/>
  <c r="N153" i="3"/>
  <c r="N154" i="3"/>
  <c r="N155" i="3"/>
  <c r="N156" i="3"/>
  <c r="N157" i="3"/>
  <c r="N158" i="3"/>
  <c r="N159" i="3"/>
  <c r="N160" i="3"/>
  <c r="N161" i="3"/>
  <c r="N162" i="3"/>
  <c r="N163" i="3"/>
  <c r="N164" i="3"/>
  <c r="N165" i="3"/>
  <c r="N166" i="3"/>
  <c r="N167" i="3"/>
  <c r="N168" i="3"/>
  <c r="N169" i="3"/>
  <c r="N170" i="3"/>
  <c r="N171" i="3"/>
  <c r="N172" i="3"/>
  <c r="N173" i="3"/>
  <c r="N174" i="3"/>
  <c r="N175" i="3"/>
  <c r="N176" i="3"/>
  <c r="N177" i="3"/>
  <c r="N178" i="3"/>
  <c r="N179" i="3"/>
  <c r="N180" i="3"/>
  <c r="N181" i="3"/>
  <c r="N182" i="3"/>
  <c r="N183" i="3"/>
  <c r="N184" i="3"/>
  <c r="N185" i="3"/>
  <c r="N186" i="3"/>
  <c r="N187" i="3"/>
  <c r="N188" i="3"/>
  <c r="N189" i="3"/>
  <c r="N190" i="3"/>
  <c r="N191" i="3"/>
  <c r="N192" i="3"/>
  <c r="N193" i="3"/>
  <c r="N194" i="3"/>
  <c r="N195" i="3"/>
  <c r="N196" i="3"/>
  <c r="N197" i="3"/>
  <c r="N198" i="3"/>
  <c r="N199" i="3"/>
  <c r="N200" i="3"/>
  <c r="N201" i="3"/>
  <c r="N202" i="3"/>
  <c r="N203" i="3"/>
  <c r="N204" i="3"/>
  <c r="N205" i="3"/>
  <c r="N206" i="3"/>
  <c r="N207" i="3"/>
  <c r="N208" i="3"/>
  <c r="N209" i="3"/>
  <c r="N210" i="3"/>
  <c r="N211" i="3"/>
  <c r="N212" i="3"/>
  <c r="N213" i="3"/>
  <c r="N214" i="3"/>
  <c r="N215" i="3"/>
  <c r="N216" i="3"/>
  <c r="N217" i="3"/>
  <c r="N218" i="3"/>
  <c r="N219" i="3"/>
  <c r="N220" i="3"/>
  <c r="N221" i="3"/>
  <c r="N222" i="3"/>
  <c r="N223" i="3"/>
  <c r="N224" i="3"/>
  <c r="N225" i="3"/>
  <c r="N226" i="3"/>
  <c r="N227" i="3"/>
  <c r="N228" i="3"/>
  <c r="N229" i="3"/>
  <c r="N230" i="3"/>
  <c r="N231" i="3"/>
  <c r="N232" i="3"/>
  <c r="N233" i="3"/>
  <c r="N234" i="3"/>
  <c r="N235" i="3"/>
  <c r="N236" i="3"/>
  <c r="N237" i="3"/>
  <c r="N238" i="3"/>
  <c r="N239" i="3"/>
  <c r="N240" i="3"/>
  <c r="N241" i="3"/>
  <c r="N242" i="3"/>
  <c r="N243" i="3"/>
  <c r="N244" i="3"/>
  <c r="N245" i="3"/>
  <c r="N246" i="3"/>
  <c r="N247" i="3"/>
  <c r="N248" i="3"/>
  <c r="N249" i="3"/>
  <c r="N250" i="3"/>
  <c r="N251" i="3"/>
  <c r="N252" i="3"/>
  <c r="N253" i="3"/>
  <c r="N254" i="3"/>
  <c r="N255" i="3"/>
  <c r="N256" i="3"/>
  <c r="N257" i="3"/>
  <c r="N258" i="3"/>
  <c r="N259" i="3"/>
  <c r="N260" i="3"/>
  <c r="N261" i="3"/>
  <c r="N262" i="3"/>
  <c r="N263" i="3"/>
  <c r="N264" i="3"/>
  <c r="N265" i="3"/>
  <c r="N266" i="3"/>
  <c r="N267" i="3"/>
  <c r="N268" i="3"/>
  <c r="N269" i="3"/>
  <c r="N270" i="3"/>
  <c r="N271" i="3"/>
  <c r="N272" i="3"/>
  <c r="N273" i="3"/>
  <c r="N274" i="3"/>
  <c r="N275" i="3"/>
  <c r="N276" i="3"/>
  <c r="N277" i="3"/>
  <c r="N278" i="3"/>
  <c r="N279" i="3"/>
  <c r="N280" i="3"/>
  <c r="N281" i="3"/>
  <c r="N282" i="3"/>
  <c r="N283" i="3"/>
  <c r="N284" i="3"/>
  <c r="N285" i="3"/>
  <c r="N286" i="3"/>
  <c r="N287" i="3"/>
  <c r="N288" i="3"/>
  <c r="N289" i="3"/>
  <c r="N290" i="3"/>
  <c r="N291" i="3"/>
  <c r="N292" i="3"/>
  <c r="N293" i="3"/>
  <c r="N294" i="3"/>
  <c r="N295" i="3"/>
  <c r="N296" i="3"/>
  <c r="N297" i="3"/>
  <c r="N298" i="3"/>
  <c r="N299" i="3"/>
  <c r="N300" i="3"/>
  <c r="N301" i="3"/>
  <c r="N302" i="3"/>
  <c r="N303" i="3"/>
  <c r="N304" i="3"/>
  <c r="N305" i="3"/>
  <c r="N306" i="3"/>
  <c r="N307" i="3"/>
  <c r="N308" i="3"/>
  <c r="N309" i="3"/>
  <c r="N310" i="3"/>
  <c r="N311" i="3"/>
  <c r="N312" i="3"/>
  <c r="N313" i="3"/>
  <c r="N314" i="3"/>
  <c r="N315" i="3"/>
  <c r="N316" i="3"/>
  <c r="N317" i="3"/>
  <c r="N318" i="3"/>
  <c r="N319" i="3"/>
  <c r="N320" i="3"/>
  <c r="N321" i="3"/>
  <c r="N322" i="3"/>
  <c r="N323" i="3"/>
  <c r="N324" i="3"/>
  <c r="N325" i="3"/>
  <c r="N326" i="3"/>
  <c r="N327" i="3"/>
  <c r="N328" i="3"/>
  <c r="N329" i="3"/>
  <c r="N330" i="3"/>
  <c r="N331" i="3"/>
  <c r="N332" i="3"/>
  <c r="N333" i="3"/>
  <c r="N334" i="3"/>
  <c r="N335" i="3"/>
  <c r="N336" i="3"/>
  <c r="N337" i="3"/>
  <c r="N338" i="3"/>
  <c r="N339" i="3"/>
  <c r="N340" i="3"/>
  <c r="N341" i="3"/>
  <c r="N342" i="3"/>
  <c r="N343" i="3"/>
  <c r="N344" i="3"/>
  <c r="N345" i="3"/>
  <c r="N346" i="3"/>
  <c r="N347" i="3"/>
  <c r="N348" i="3"/>
  <c r="N349" i="3"/>
  <c r="N350" i="3"/>
  <c r="N351" i="3"/>
  <c r="N352" i="3"/>
  <c r="N353" i="3"/>
  <c r="N354" i="3"/>
  <c r="N355" i="3"/>
  <c r="N356" i="3"/>
  <c r="N357" i="3"/>
  <c r="N358" i="3"/>
  <c r="N359" i="3"/>
  <c r="N360" i="3"/>
  <c r="N361" i="3"/>
  <c r="N362" i="3"/>
  <c r="N363" i="3"/>
  <c r="N364" i="3"/>
  <c r="N365" i="3"/>
  <c r="N366" i="3"/>
  <c r="N367" i="3"/>
  <c r="N368" i="3"/>
  <c r="N369" i="3"/>
  <c r="N370" i="3"/>
  <c r="N371" i="3"/>
  <c r="N372" i="3"/>
  <c r="N373" i="3"/>
  <c r="N374" i="3"/>
  <c r="N375" i="3"/>
  <c r="N376" i="3"/>
  <c r="N377" i="3"/>
  <c r="N378" i="3"/>
  <c r="N379" i="3"/>
  <c r="N380" i="3"/>
  <c r="N381" i="3"/>
  <c r="N382" i="3"/>
  <c r="N383" i="3"/>
  <c r="N384" i="3"/>
  <c r="N385" i="3"/>
  <c r="N386" i="3"/>
  <c r="N387" i="3"/>
  <c r="N388" i="3"/>
  <c r="N389" i="3"/>
  <c r="N390" i="3"/>
  <c r="N391" i="3"/>
  <c r="N392" i="3"/>
  <c r="N393" i="3"/>
  <c r="N394" i="3"/>
  <c r="N395" i="3"/>
  <c r="N396" i="3"/>
  <c r="N397" i="3"/>
  <c r="N398" i="3"/>
  <c r="N399" i="3"/>
  <c r="N400" i="3"/>
  <c r="N401" i="3"/>
  <c r="N402" i="3"/>
  <c r="N403" i="3"/>
  <c r="N404" i="3"/>
  <c r="N405" i="3"/>
  <c r="N406" i="3"/>
  <c r="N407" i="3"/>
  <c r="N408" i="3"/>
  <c r="N409" i="3"/>
  <c r="N410" i="3"/>
  <c r="N411" i="3"/>
  <c r="N412" i="3"/>
  <c r="N413" i="3"/>
  <c r="N414" i="3"/>
  <c r="N415" i="3"/>
  <c r="N416" i="3"/>
  <c r="N417" i="3"/>
  <c r="N418" i="3"/>
  <c r="N419" i="3"/>
  <c r="N420" i="3"/>
  <c r="N421" i="3"/>
  <c r="N422" i="3"/>
  <c r="N423" i="3"/>
  <c r="N424" i="3"/>
  <c r="N425" i="3"/>
  <c r="N426" i="3"/>
  <c r="N427" i="3"/>
  <c r="N428" i="3"/>
  <c r="N429" i="3"/>
  <c r="N430" i="3"/>
  <c r="N431" i="3"/>
  <c r="N432" i="3"/>
  <c r="N433" i="3"/>
  <c r="N434" i="3"/>
  <c r="N435" i="3"/>
  <c r="N436" i="3"/>
  <c r="N437" i="3"/>
  <c r="N438" i="3"/>
  <c r="N439" i="3"/>
  <c r="N440" i="3"/>
  <c r="N441" i="3"/>
  <c r="N442" i="3"/>
  <c r="N443" i="3"/>
  <c r="N444" i="3"/>
  <c r="N445" i="3"/>
  <c r="N446" i="3"/>
  <c r="N447" i="3"/>
  <c r="N448" i="3"/>
  <c r="N449" i="3"/>
  <c r="N450" i="3"/>
  <c r="N451" i="3"/>
  <c r="N452" i="3"/>
  <c r="N453" i="3"/>
  <c r="N454" i="3"/>
  <c r="N455" i="3"/>
  <c r="N456" i="3"/>
  <c r="N457" i="3"/>
  <c r="N458" i="3"/>
  <c r="N459" i="3"/>
  <c r="N460" i="3"/>
  <c r="N461" i="3"/>
  <c r="N462" i="3"/>
  <c r="N463" i="3"/>
  <c r="N464" i="3"/>
  <c r="N465" i="3"/>
  <c r="N466" i="3"/>
  <c r="N467" i="3"/>
  <c r="N468" i="3"/>
  <c r="N469" i="3"/>
  <c r="N470" i="3"/>
  <c r="N471" i="3"/>
  <c r="N472" i="3"/>
  <c r="N473" i="3"/>
  <c r="N474" i="3"/>
  <c r="N475" i="3"/>
  <c r="N476" i="3"/>
  <c r="N477" i="3"/>
  <c r="N478" i="3"/>
  <c r="N479" i="3"/>
  <c r="N480" i="3"/>
  <c r="N481" i="3"/>
  <c r="N482" i="3"/>
  <c r="N483" i="3"/>
  <c r="N484" i="3"/>
  <c r="N485" i="3"/>
  <c r="N486" i="3"/>
  <c r="N487" i="3"/>
  <c r="N488" i="3"/>
  <c r="N489" i="3"/>
  <c r="N490" i="3"/>
  <c r="N491" i="3"/>
  <c r="N492" i="3"/>
  <c r="N493" i="3"/>
  <c r="N494" i="3"/>
  <c r="N495" i="3"/>
  <c r="N496" i="3"/>
  <c r="N497" i="3"/>
  <c r="N498" i="3"/>
  <c r="N499" i="3"/>
  <c r="N500" i="3"/>
  <c r="N501" i="3"/>
  <c r="N502" i="3"/>
  <c r="N503" i="3"/>
  <c r="N504" i="3"/>
  <c r="N505" i="3"/>
  <c r="N506" i="3"/>
  <c r="N507" i="3"/>
  <c r="N508" i="3"/>
  <c r="N509" i="3"/>
  <c r="N510" i="3"/>
  <c r="N511" i="3"/>
  <c r="N512" i="3"/>
  <c r="N513" i="3"/>
  <c r="N514" i="3"/>
  <c r="N515" i="3"/>
  <c r="N516" i="3"/>
  <c r="N517" i="3"/>
  <c r="N518" i="3"/>
  <c r="N519" i="3"/>
  <c r="N520" i="3"/>
  <c r="N521" i="3"/>
  <c r="N522" i="3"/>
  <c r="N523" i="3"/>
  <c r="N524" i="3"/>
  <c r="N525" i="3"/>
  <c r="N526" i="3"/>
  <c r="N527" i="3"/>
  <c r="N528" i="3"/>
  <c r="N529" i="3"/>
  <c r="N530" i="3"/>
  <c r="N531" i="3"/>
  <c r="N532" i="3"/>
  <c r="N533" i="3"/>
  <c r="N534" i="3"/>
  <c r="N535" i="3"/>
  <c r="N536" i="3"/>
  <c r="N537" i="3"/>
  <c r="N538" i="3"/>
  <c r="N539" i="3"/>
  <c r="N540" i="3"/>
  <c r="N541" i="3"/>
  <c r="N542" i="3"/>
  <c r="N543" i="3"/>
  <c r="N544" i="3"/>
  <c r="N545" i="3"/>
  <c r="N546" i="3"/>
  <c r="N547" i="3"/>
  <c r="N548" i="3"/>
  <c r="N549" i="3"/>
  <c r="N550" i="3"/>
  <c r="N551" i="3"/>
  <c r="N552" i="3"/>
  <c r="N553" i="3"/>
  <c r="N554" i="3"/>
  <c r="N555" i="3"/>
  <c r="N556" i="3"/>
  <c r="N557" i="3"/>
  <c r="N558" i="3"/>
  <c r="N559" i="3"/>
  <c r="N560" i="3"/>
  <c r="N561" i="3"/>
  <c r="N562" i="3"/>
  <c r="N563" i="3"/>
  <c r="N564" i="3"/>
  <c r="N565" i="3"/>
  <c r="N566" i="3"/>
  <c r="N567" i="3"/>
  <c r="N568" i="3"/>
  <c r="N569" i="3"/>
  <c r="N570" i="3"/>
  <c r="N571" i="3"/>
  <c r="N572" i="3"/>
  <c r="N573" i="3"/>
  <c r="N574" i="3"/>
  <c r="N575" i="3"/>
  <c r="N576" i="3"/>
  <c r="N577" i="3"/>
  <c r="N578" i="3"/>
  <c r="N579" i="3"/>
  <c r="N580" i="3"/>
  <c r="N581" i="3"/>
  <c r="N582" i="3"/>
  <c r="N583" i="3"/>
  <c r="N584" i="3"/>
  <c r="N585" i="3"/>
  <c r="N586" i="3"/>
  <c r="N587" i="3"/>
  <c r="N588" i="3"/>
  <c r="N589" i="3"/>
  <c r="N590" i="3"/>
  <c r="N591" i="3"/>
  <c r="N592" i="3"/>
  <c r="N593" i="3"/>
  <c r="N594" i="3"/>
  <c r="N595" i="3"/>
  <c r="N596" i="3"/>
  <c r="N597" i="3"/>
  <c r="N598" i="3"/>
  <c r="N599" i="3"/>
  <c r="N600" i="3"/>
  <c r="N601" i="3"/>
  <c r="N602" i="3"/>
  <c r="N603" i="3"/>
  <c r="N604" i="3"/>
  <c r="N605" i="3"/>
  <c r="N606" i="3"/>
  <c r="N607" i="3"/>
  <c r="N608" i="3"/>
  <c r="N609" i="3"/>
  <c r="N610" i="3"/>
  <c r="N611" i="3"/>
  <c r="N612" i="3"/>
  <c r="N613" i="3"/>
  <c r="N614" i="3"/>
  <c r="N615" i="3"/>
  <c r="N616" i="3"/>
  <c r="N617" i="3"/>
  <c r="N618" i="3"/>
  <c r="N619" i="3"/>
  <c r="N620" i="3"/>
  <c r="N621" i="3"/>
  <c r="N622" i="3"/>
  <c r="N623" i="3"/>
  <c r="N624" i="3"/>
  <c r="N625" i="3"/>
  <c r="N626" i="3"/>
  <c r="N627" i="3"/>
  <c r="N628" i="3"/>
  <c r="N629" i="3"/>
  <c r="N630" i="3"/>
  <c r="N631" i="3"/>
  <c r="N632" i="3"/>
  <c r="N633" i="3"/>
  <c r="N634" i="3"/>
  <c r="N635" i="3"/>
  <c r="N636" i="3"/>
  <c r="N637" i="3"/>
  <c r="N638" i="3"/>
  <c r="N639" i="3"/>
  <c r="N640" i="3"/>
  <c r="N641" i="3"/>
  <c r="N642" i="3"/>
  <c r="N643" i="3"/>
  <c r="N644" i="3"/>
  <c r="N645" i="3"/>
  <c r="N646" i="3"/>
  <c r="N647" i="3"/>
  <c r="N648" i="3"/>
  <c r="N649" i="3"/>
  <c r="N650" i="3"/>
  <c r="N651" i="3"/>
  <c r="N652" i="3"/>
  <c r="N653" i="3"/>
  <c r="N654" i="3"/>
  <c r="N655" i="3"/>
  <c r="N656" i="3"/>
  <c r="N657" i="3"/>
  <c r="N658" i="3"/>
  <c r="N659" i="3"/>
  <c r="N660" i="3"/>
  <c r="N661" i="3"/>
  <c r="N662" i="3"/>
  <c r="N663" i="3"/>
  <c r="N664" i="3"/>
  <c r="N665" i="3"/>
  <c r="N666" i="3"/>
  <c r="N667" i="3"/>
  <c r="N668" i="3"/>
  <c r="N669" i="3"/>
  <c r="N670" i="3"/>
  <c r="N671" i="3"/>
  <c r="N672" i="3"/>
  <c r="N673" i="3"/>
  <c r="N674" i="3"/>
  <c r="N675" i="3"/>
  <c r="N676" i="3"/>
  <c r="BD677" i="3"/>
  <c r="BD678" i="3"/>
  <c r="BK679" i="3"/>
  <c r="N682" i="3"/>
  <c r="N683" i="3"/>
  <c r="N684" i="3"/>
  <c r="N685" i="3"/>
  <c r="N686" i="3"/>
  <c r="N687" i="3"/>
  <c r="I3" i="8"/>
  <c r="J3" i="8"/>
  <c r="K3" i="8"/>
  <c r="L3" i="8"/>
  <c r="M3" i="8"/>
  <c r="N3" i="8"/>
  <c r="N4" i="8"/>
  <c r="B41" i="2"/>
  <c r="A238" i="2"/>
  <c r="A241" i="2"/>
  <c r="B241" i="2"/>
  <c r="A243" i="2"/>
  <c r="A258" i="2"/>
  <c r="AQ27" i="3"/>
  <c r="AQ21" i="3"/>
  <c r="B278" i="2"/>
  <c r="B25" i="3"/>
  <c r="A32" i="3"/>
  <c r="AR32" i="3" s="1"/>
  <c r="B30" i="3"/>
  <c r="A37" i="3"/>
  <c r="AR37" i="3"/>
  <c r="B32" i="3"/>
  <c r="B23" i="3"/>
  <c r="AR23" i="3"/>
  <c r="A35" i="3"/>
  <c r="AR24" i="3"/>
  <c r="AR25" i="3"/>
  <c r="A33" i="3"/>
  <c r="B4" i="11"/>
  <c r="D4" i="11" s="1"/>
  <c r="B6" i="11" s="1"/>
  <c r="D6" i="11" s="1"/>
  <c r="AR26" i="3"/>
  <c r="AR30" i="3"/>
  <c r="AQ25" i="3"/>
  <c r="B26" i="3"/>
  <c r="H50" i="4"/>
  <c r="H54" i="4"/>
  <c r="H58" i="4"/>
  <c r="H62" i="4"/>
  <c r="H66" i="4"/>
  <c r="H70" i="4"/>
  <c r="H139" i="4"/>
  <c r="H147" i="4"/>
  <c r="H155" i="4"/>
  <c r="H163" i="4"/>
  <c r="H171" i="4"/>
  <c r="H183" i="4"/>
  <c r="H76" i="4"/>
  <c r="H92" i="4"/>
  <c r="H108" i="4"/>
  <c r="H124" i="4"/>
  <c r="H140" i="4"/>
  <c r="H156" i="4"/>
  <c r="H172" i="4"/>
  <c r="H188" i="4"/>
  <c r="H204" i="4"/>
  <c r="AK111" i="4"/>
  <c r="AK112" i="4"/>
  <c r="AK115" i="4"/>
  <c r="AK128" i="4"/>
  <c r="AK113" i="4"/>
  <c r="AK160" i="4"/>
  <c r="AK178" i="4"/>
  <c r="AK181" i="4"/>
  <c r="AK116" i="4"/>
  <c r="AK132" i="4"/>
  <c r="AK134" i="4"/>
  <c r="AK149" i="4"/>
  <c r="AK162" i="4"/>
  <c r="AK167" i="4"/>
  <c r="AK198" i="4"/>
  <c r="AK142" i="4"/>
  <c r="AK165" i="4"/>
  <c r="AK166" i="4"/>
  <c r="AK174" i="4"/>
  <c r="AK179" i="4"/>
  <c r="AK199" i="4"/>
  <c r="AK201" i="4"/>
  <c r="AK203" i="4"/>
  <c r="AK205" i="4"/>
  <c r="AK206" i="4"/>
  <c r="AK207" i="4"/>
  <c r="AK209" i="4"/>
  <c r="AK144" i="4"/>
  <c r="AK163" i="4"/>
  <c r="AK171" i="4"/>
  <c r="AK180" i="4"/>
  <c r="AK183" i="4"/>
  <c r="AK192" i="4"/>
  <c r="AK208" i="4"/>
  <c r="AK193" i="4"/>
  <c r="AK168" i="4"/>
  <c r="B34" i="3"/>
  <c r="AR34" i="3"/>
  <c r="AQ34" i="3"/>
  <c r="AQ24" i="3"/>
  <c r="AK24" i="4"/>
  <c r="C273" i="2"/>
  <c r="AJ19" i="3"/>
  <c r="AJ241" i="3"/>
  <c r="AJ511" i="3"/>
  <c r="B25" i="4"/>
  <c r="AK14" i="4"/>
  <c r="AK56" i="4"/>
  <c r="AK79" i="4"/>
  <c r="AK100" i="4"/>
  <c r="AK42" i="4"/>
  <c r="AK34" i="4"/>
  <c r="AK96" i="4"/>
  <c r="AK68" i="4"/>
  <c r="AK47" i="4"/>
  <c r="AK31" i="4"/>
  <c r="AK41" i="4"/>
  <c r="AK52" i="4"/>
  <c r="AK63" i="4"/>
  <c r="AK73" i="4"/>
  <c r="AK84" i="4"/>
  <c r="AK66" i="4"/>
  <c r="B280" i="2"/>
  <c r="AK9" i="4"/>
  <c r="AK23" i="4"/>
  <c r="AK28" i="4"/>
  <c r="AK33" i="4"/>
  <c r="AK55" i="4"/>
  <c r="AK60" i="4"/>
  <c r="AK65" i="4"/>
  <c r="AK71" i="4"/>
  <c r="AK76" i="4"/>
  <c r="AK80" i="4"/>
  <c r="AK94" i="4"/>
  <c r="AK99" i="4"/>
  <c r="AK46" i="4"/>
  <c r="AK26" i="4"/>
  <c r="AK81" i="4"/>
  <c r="AK75" i="4"/>
  <c r="AK69" i="4"/>
  <c r="AK64" i="4"/>
  <c r="AK92" i="4"/>
  <c r="AK54" i="4"/>
  <c r="AK105" i="4"/>
  <c r="AK88" i="4"/>
  <c r="AK86" i="4"/>
  <c r="AK70" i="4"/>
  <c r="AK50" i="4"/>
  <c r="B42" i="4"/>
  <c r="AR36" i="3"/>
  <c r="B36" i="3"/>
  <c r="B27" i="3"/>
  <c r="AR33" i="3"/>
  <c r="B33" i="3"/>
  <c r="AQ33" i="3"/>
  <c r="B35" i="3"/>
  <c r="AQ35" i="3"/>
  <c r="AR35" i="3"/>
  <c r="B273" i="2"/>
  <c r="BG17" i="4"/>
  <c r="BG11" i="4"/>
  <c r="BG16" i="4"/>
  <c r="BG9" i="4"/>
  <c r="BG15" i="4"/>
  <c r="BG13" i="4"/>
  <c r="BG14" i="4"/>
  <c r="BG12" i="4"/>
  <c r="BK14" i="4"/>
  <c r="BP14" i="4"/>
  <c r="BM14" i="4"/>
  <c r="BI15" i="4"/>
  <c r="BQ15" i="4"/>
  <c r="BK16" i="4"/>
  <c r="BQ16" i="4"/>
  <c r="BP16" i="4"/>
  <c r="BH16" i="4"/>
  <c r="BN16" i="4"/>
  <c r="BJ11" i="4"/>
  <c r="BQ11" i="4"/>
  <c r="BL11" i="4"/>
  <c r="BM11" i="4"/>
  <c r="BI11" i="4"/>
  <c r="BK11" i="4"/>
  <c r="BP11" i="4"/>
  <c r="BO13" i="4"/>
  <c r="BI13" i="4"/>
  <c r="BH13" i="4"/>
  <c r="BJ13" i="4"/>
  <c r="BN13" i="4"/>
  <c r="BK17" i="4"/>
  <c r="BP17" i="4"/>
  <c r="BM17" i="4"/>
  <c r="BO17" i="4"/>
  <c r="BN17" i="4"/>
  <c r="BL17" i="4"/>
  <c r="BH17" i="4"/>
  <c r="BQ17" i="4"/>
  <c r="BI17" i="4"/>
  <c r="BJ17" i="4"/>
  <c r="AK158" i="4" l="1"/>
  <c r="D145" i="2"/>
  <c r="B44" i="2"/>
  <c r="H60" i="4"/>
  <c r="H46" i="4"/>
  <c r="H38" i="4"/>
  <c r="H34" i="4"/>
  <c r="H111" i="4"/>
  <c r="H26" i="4"/>
  <c r="H95" i="4"/>
  <c r="AI95" i="4" s="1"/>
  <c r="H91" i="4"/>
  <c r="H83" i="4"/>
  <c r="I83" i="4" s="1"/>
  <c r="J83" i="4" s="1"/>
  <c r="H75" i="4"/>
  <c r="AP75" i="4" s="1"/>
  <c r="H67" i="4"/>
  <c r="AI67" i="4" s="1"/>
  <c r="H47" i="4"/>
  <c r="AI47" i="4" s="1"/>
  <c r="H21" i="4"/>
  <c r="AP21" i="4" s="1"/>
  <c r="H199" i="4"/>
  <c r="AP199" i="4" s="1"/>
  <c r="H196" i="4"/>
  <c r="I196" i="4" s="1"/>
  <c r="J196" i="4" s="1"/>
  <c r="L196" i="4" s="1"/>
  <c r="H42" i="4"/>
  <c r="H127" i="4"/>
  <c r="AP127" i="4" s="1"/>
  <c r="H119" i="4"/>
  <c r="H30" i="4"/>
  <c r="AJ30" i="4" s="1"/>
  <c r="H103" i="4"/>
  <c r="H55" i="4"/>
  <c r="AI55" i="4" s="1"/>
  <c r="H39" i="4"/>
  <c r="H17" i="4"/>
  <c r="H13" i="4"/>
  <c r="H207" i="4"/>
  <c r="AK62" i="4"/>
  <c r="AK35" i="4"/>
  <c r="AK173" i="4"/>
  <c r="AK87" i="4"/>
  <c r="AK110" i="4"/>
  <c r="AK103" i="4"/>
  <c r="AK185" i="4"/>
  <c r="AK131" i="4"/>
  <c r="AJ450" i="3"/>
  <c r="AJ267" i="3"/>
  <c r="AJ319" i="3"/>
  <c r="AJ552" i="3"/>
  <c r="AJ128" i="3"/>
  <c r="AJ144" i="3"/>
  <c r="AJ160" i="3"/>
  <c r="AJ462" i="3"/>
  <c r="AJ243" i="3"/>
  <c r="AJ192" i="3"/>
  <c r="AJ208" i="3"/>
  <c r="AJ224" i="3"/>
  <c r="AJ240" i="3"/>
  <c r="AJ256" i="3"/>
  <c r="AJ350" i="3"/>
  <c r="AJ460" i="3"/>
  <c r="AJ428" i="3"/>
  <c r="AJ484" i="3"/>
  <c r="AJ77" i="3"/>
  <c r="AJ125" i="3"/>
  <c r="AJ356" i="3"/>
  <c r="AJ452" i="3"/>
  <c r="AJ565" i="3"/>
  <c r="AJ444" i="3"/>
  <c r="AJ173" i="3"/>
  <c r="AJ436" i="3"/>
  <c r="AJ225" i="3"/>
  <c r="AJ62" i="3"/>
  <c r="AJ145" i="3"/>
  <c r="AJ273" i="3"/>
  <c r="AJ476" i="3"/>
  <c r="AJ512" i="3"/>
  <c r="AJ68" i="3"/>
  <c r="AJ283" i="3"/>
  <c r="AJ58" i="3"/>
  <c r="AJ127" i="3"/>
  <c r="AJ568" i="3"/>
  <c r="AJ200" i="3"/>
  <c r="AJ52" i="3"/>
  <c r="AJ209" i="3"/>
  <c r="AJ584" i="3"/>
  <c r="AJ328" i="3"/>
  <c r="AJ46" i="3"/>
  <c r="AJ289" i="3"/>
  <c r="AJ600" i="3"/>
  <c r="AJ463" i="3"/>
  <c r="AJ42" i="3"/>
  <c r="AJ493" i="3"/>
  <c r="AJ594" i="3"/>
  <c r="AJ616" i="3"/>
  <c r="AJ322" i="3"/>
  <c r="AJ37" i="3"/>
  <c r="AJ540" i="3"/>
  <c r="AJ559" i="3"/>
  <c r="AJ549" i="3"/>
  <c r="AJ475" i="3"/>
  <c r="AJ33" i="3"/>
  <c r="AJ532" i="3"/>
  <c r="AJ495" i="3"/>
  <c r="AJ517" i="3"/>
  <c r="AJ384" i="3"/>
  <c r="AJ31" i="3"/>
  <c r="AJ524" i="3"/>
  <c r="AJ391" i="3"/>
  <c r="AJ485" i="3"/>
  <c r="AJ634" i="3"/>
  <c r="AJ27" i="3"/>
  <c r="AJ516" i="3"/>
  <c r="AJ317" i="3"/>
  <c r="AJ453" i="3"/>
  <c r="AJ281" i="3"/>
  <c r="AJ23" i="3"/>
  <c r="AJ508" i="3"/>
  <c r="AJ205" i="3"/>
  <c r="AJ421" i="3"/>
  <c r="AJ195" i="3"/>
  <c r="AJ20" i="3"/>
  <c r="AJ500" i="3"/>
  <c r="AJ55" i="3"/>
  <c r="AJ96" i="3"/>
  <c r="AJ136" i="3"/>
  <c r="AJ15" i="3"/>
  <c r="AJ492" i="3"/>
  <c r="AJ112" i="3"/>
  <c r="AJ71" i="3"/>
  <c r="AJ599" i="3"/>
  <c r="AJ340" i="3"/>
  <c r="AJ567" i="3"/>
  <c r="AJ327" i="3"/>
  <c r="AJ197" i="3"/>
  <c r="AJ443" i="3"/>
  <c r="AJ535" i="3"/>
  <c r="AJ311" i="3"/>
  <c r="AJ261" i="3"/>
  <c r="AJ507" i="3"/>
  <c r="AJ519" i="3"/>
  <c r="AJ279" i="3"/>
  <c r="AJ587" i="3"/>
  <c r="AJ571" i="3"/>
  <c r="AJ487" i="3"/>
  <c r="AJ263" i="3"/>
  <c r="AJ619" i="3"/>
  <c r="AJ143" i="3"/>
  <c r="AJ455" i="3"/>
  <c r="AJ274" i="3"/>
  <c r="AJ59" i="3"/>
  <c r="AJ207" i="3"/>
  <c r="AJ250" i="3"/>
  <c r="AJ134" i="3"/>
  <c r="AJ159" i="3"/>
  <c r="AJ335" i="3"/>
  <c r="AJ90" i="3"/>
  <c r="AJ32" i="3"/>
  <c r="AJ191" i="3"/>
  <c r="AJ642" i="3"/>
  <c r="AJ84" i="3"/>
  <c r="AJ25" i="3"/>
  <c r="AJ223" i="3"/>
  <c r="AJ658" i="3"/>
  <c r="AJ78" i="3"/>
  <c r="AJ17" i="3"/>
  <c r="AJ255" i="3"/>
  <c r="AJ687" i="3"/>
  <c r="AJ74" i="3"/>
  <c r="AJ30" i="3"/>
  <c r="AJ287" i="3"/>
  <c r="AJ597" i="3"/>
  <c r="AJ321" i="3"/>
  <c r="AJ201" i="3"/>
  <c r="AJ247" i="3"/>
  <c r="AJ577" i="3"/>
  <c r="AJ405" i="3"/>
  <c r="AJ308" i="3"/>
  <c r="AJ566" i="3"/>
  <c r="AJ233" i="3"/>
  <c r="AJ213" i="3"/>
  <c r="AJ513" i="3"/>
  <c r="AJ302" i="3"/>
  <c r="AJ558" i="3"/>
  <c r="AJ265" i="3"/>
  <c r="AJ449" i="3"/>
  <c r="AJ609" i="3"/>
  <c r="AJ546" i="3"/>
  <c r="AJ297" i="3"/>
  <c r="AJ149" i="3"/>
  <c r="AJ353" i="3"/>
  <c r="AJ286" i="3"/>
  <c r="AJ534" i="3"/>
  <c r="AJ365" i="3"/>
  <c r="AJ305" i="3"/>
  <c r="AJ95" i="3"/>
  <c r="AJ9" i="3"/>
  <c r="AJ282" i="3"/>
  <c r="AJ526" i="3"/>
  <c r="AJ381" i="3"/>
  <c r="AJ39" i="3"/>
  <c r="AJ117" i="3"/>
  <c r="AJ29" i="3"/>
  <c r="AJ276" i="3"/>
  <c r="AJ514" i="3"/>
  <c r="AJ326" i="3"/>
  <c r="AJ53" i="3"/>
  <c r="AJ56" i="3"/>
  <c r="AJ270" i="3"/>
  <c r="AJ502" i="3"/>
  <c r="AJ429" i="3"/>
  <c r="AJ316" i="3"/>
  <c r="AJ471" i="3"/>
  <c r="AJ11" i="3"/>
  <c r="AJ88" i="3"/>
  <c r="AJ266" i="3"/>
  <c r="AJ494" i="3"/>
  <c r="AJ445" i="3"/>
  <c r="AJ306" i="3"/>
  <c r="AJ359" i="3"/>
  <c r="AJ35" i="3"/>
  <c r="AJ120" i="3"/>
  <c r="AJ260" i="3"/>
  <c r="AJ482" i="3"/>
  <c r="AJ461" i="3"/>
  <c r="AJ294" i="3"/>
  <c r="AJ147" i="3"/>
  <c r="AJ48" i="3"/>
  <c r="AJ141" i="3"/>
  <c r="AJ655" i="3"/>
  <c r="AJ181" i="3"/>
  <c r="AJ292" i="3"/>
  <c r="AJ385" i="3"/>
  <c r="AJ103" i="3"/>
  <c r="AJ397" i="3"/>
  <c r="AJ254" i="3"/>
  <c r="AJ470" i="3"/>
  <c r="AJ477" i="3"/>
  <c r="AJ284" i="3"/>
  <c r="AJ626" i="3"/>
  <c r="AJ64" i="3"/>
  <c r="AJ377" i="3"/>
  <c r="AJ651" i="3"/>
  <c r="AJ672" i="3"/>
  <c r="AJ643" i="3"/>
  <c r="AJ237" i="3"/>
  <c r="AJ165" i="3"/>
  <c r="AJ150" i="3"/>
  <c r="AJ105" i="3"/>
  <c r="AJ688" i="3"/>
  <c r="AJ624" i="3"/>
  <c r="AJ647" i="3"/>
  <c r="AJ613" i="3"/>
  <c r="AJ555" i="3"/>
  <c r="AJ582" i="3"/>
  <c r="AJ299" i="3"/>
  <c r="AJ38" i="3"/>
  <c r="AJ355" i="3"/>
  <c r="AJ364" i="3"/>
  <c r="AJ644" i="3"/>
  <c r="AJ129" i="3"/>
  <c r="AJ623" i="3"/>
  <c r="AJ590" i="3"/>
  <c r="AJ63" i="3"/>
  <c r="AJ142" i="3"/>
  <c r="AJ318" i="3"/>
  <c r="AJ683" i="3"/>
  <c r="AJ542" i="3"/>
  <c r="AJ338" i="3"/>
  <c r="AJ50" i="3"/>
  <c r="AJ371" i="3"/>
  <c r="AJ380" i="3"/>
  <c r="AJ648" i="3"/>
  <c r="AJ113" i="3"/>
  <c r="AJ12" i="3"/>
  <c r="AJ598" i="3"/>
  <c r="AJ109" i="3"/>
  <c r="AJ148" i="3"/>
  <c r="AJ324" i="3"/>
  <c r="AJ448" i="3"/>
  <c r="AJ312" i="3"/>
  <c r="AJ560" i="3"/>
  <c r="AJ423" i="3"/>
  <c r="AJ602" i="3"/>
  <c r="AJ670" i="3"/>
  <c r="AJ459" i="3"/>
  <c r="AJ498" i="3"/>
  <c r="AJ358" i="3"/>
  <c r="AJ403" i="3"/>
  <c r="AJ51" i="3"/>
  <c r="AJ280" i="3"/>
  <c r="AJ662" i="3"/>
  <c r="AJ82" i="3"/>
  <c r="AJ656" i="3"/>
  <c r="AJ622" i="3"/>
  <c r="AJ158" i="3"/>
  <c r="AJ591" i="3"/>
  <c r="AJ660" i="3"/>
  <c r="AJ45" i="3"/>
  <c r="AJ164" i="3"/>
  <c r="AJ236" i="3"/>
  <c r="AJ216" i="3"/>
  <c r="AJ464" i="3"/>
  <c r="AJ336" i="3"/>
  <c r="AJ474" i="3"/>
  <c r="AJ638" i="3"/>
  <c r="AJ363" i="3"/>
  <c r="AJ370" i="3"/>
  <c r="AJ446" i="3"/>
  <c r="AJ114" i="3"/>
  <c r="AJ467" i="3"/>
  <c r="AJ412" i="3"/>
  <c r="AJ664" i="3"/>
  <c r="AJ49" i="3"/>
  <c r="AJ203" i="3"/>
  <c r="AJ635" i="3"/>
  <c r="AJ22" i="3"/>
  <c r="AJ606" i="3"/>
  <c r="AJ184" i="3"/>
  <c r="AJ432" i="3"/>
  <c r="AJ304" i="3"/>
  <c r="AJ325" i="3"/>
  <c r="AJ315" i="3"/>
  <c r="AJ466" i="3"/>
  <c r="AJ124" i="3"/>
  <c r="AJ483" i="3"/>
  <c r="AJ420" i="3"/>
  <c r="AJ668" i="3"/>
  <c r="AJ641" i="3"/>
  <c r="AJ10" i="3"/>
  <c r="AJ174" i="3"/>
  <c r="AJ187" i="3"/>
  <c r="AJ400" i="3"/>
  <c r="AJ437" i="3"/>
  <c r="AJ375" i="3"/>
  <c r="AJ592" i="3"/>
  <c r="AJ333" i="3"/>
  <c r="AJ631" i="3"/>
  <c r="AJ491" i="3"/>
  <c r="AJ70" i="3"/>
  <c r="AJ388" i="3"/>
  <c r="AJ652" i="3"/>
  <c r="AJ97" i="3"/>
  <c r="AJ610" i="3"/>
  <c r="AJ93" i="3"/>
  <c r="AJ154" i="3"/>
  <c r="AJ330" i="3"/>
  <c r="AJ303" i="3"/>
  <c r="AJ528" i="3"/>
  <c r="AJ503" i="3"/>
  <c r="AJ538" i="3"/>
  <c r="AJ427" i="3"/>
  <c r="AJ454" i="3"/>
  <c r="AJ382" i="3"/>
  <c r="AJ419" i="3"/>
  <c r="AJ396" i="3"/>
  <c r="AJ81" i="3"/>
  <c r="AJ99" i="3"/>
  <c r="AJ69" i="3"/>
  <c r="AJ334" i="3"/>
  <c r="AJ603" i="3"/>
  <c r="AJ248" i="3"/>
  <c r="AJ496" i="3"/>
  <c r="AJ506" i="3"/>
  <c r="AJ654" i="3"/>
  <c r="AJ395" i="3"/>
  <c r="AJ414" i="3"/>
  <c r="AJ402" i="3"/>
  <c r="AJ92" i="3"/>
  <c r="AJ435" i="3"/>
  <c r="AJ404" i="3"/>
  <c r="AJ65" i="3"/>
  <c r="AJ179" i="3"/>
  <c r="AJ629" i="3"/>
  <c r="AJ170" i="3"/>
  <c r="AJ630" i="3"/>
  <c r="AJ219" i="3"/>
  <c r="AJ152" i="3"/>
  <c r="AJ442" i="3"/>
  <c r="AJ253" i="3"/>
  <c r="AJ618" i="3"/>
  <c r="AJ465" i="3"/>
  <c r="AJ682" i="3"/>
  <c r="AJ536" i="3"/>
  <c r="AJ118" i="3"/>
  <c r="AJ615" i="3"/>
  <c r="AJ146" i="3"/>
  <c r="AJ43" i="3"/>
  <c r="AJ556" i="3"/>
  <c r="AJ169" i="3"/>
  <c r="AJ307" i="3"/>
  <c r="AJ561" i="3"/>
  <c r="AJ94" i="3"/>
  <c r="AJ314" i="3"/>
  <c r="AJ227" i="3"/>
  <c r="AJ210" i="3"/>
  <c r="AJ604" i="3"/>
  <c r="AJ374" i="3"/>
  <c r="AJ457" i="3"/>
  <c r="AJ586" i="3"/>
  <c r="AJ408" i="3"/>
  <c r="AJ183" i="3"/>
  <c r="AJ433" i="3"/>
  <c r="AJ301" i="3"/>
  <c r="AJ67" i="3"/>
  <c r="AJ530" i="3"/>
  <c r="AJ632" i="3"/>
  <c r="AJ409" i="3"/>
  <c r="AJ41" i="3"/>
  <c r="AJ73" i="3"/>
  <c r="AJ607" i="3"/>
  <c r="AJ425" i="3"/>
  <c r="AJ550" i="3"/>
  <c r="AJ242" i="3"/>
  <c r="AJ215" i="3"/>
  <c r="AJ636" i="3"/>
  <c r="AJ418" i="3"/>
  <c r="AJ393" i="3"/>
  <c r="AJ153" i="3"/>
  <c r="AJ217" i="3"/>
  <c r="AJ543" i="3"/>
  <c r="AJ360" i="3"/>
  <c r="AJ593" i="3"/>
  <c r="AJ574" i="3"/>
  <c r="AJ252" i="3"/>
  <c r="AJ231" i="3"/>
  <c r="AJ640" i="3"/>
  <c r="AJ430" i="3"/>
  <c r="AJ369" i="3"/>
  <c r="AJ186" i="3"/>
  <c r="AJ373" i="3"/>
  <c r="AJ272" i="3"/>
  <c r="AJ344" i="3"/>
  <c r="AJ232" i="3"/>
  <c r="AJ554" i="3"/>
  <c r="AJ637" i="3"/>
  <c r="AJ663" i="3"/>
  <c r="AJ504" i="3"/>
  <c r="AJ98" i="3"/>
  <c r="AJ26" i="3"/>
  <c r="AJ166" i="3"/>
  <c r="AJ75" i="3"/>
  <c r="AJ564" i="3"/>
  <c r="AJ137" i="3"/>
  <c r="AJ331" i="3"/>
  <c r="AJ537" i="3"/>
  <c r="AJ100" i="3"/>
  <c r="AJ104" i="3"/>
  <c r="AJ426" i="3"/>
  <c r="AJ562" i="3"/>
  <c r="AJ410" i="3"/>
  <c r="AJ488" i="3"/>
  <c r="AJ76" i="3"/>
  <c r="AJ115" i="3"/>
  <c r="AJ178" i="3"/>
  <c r="AJ107" i="3"/>
  <c r="AJ572" i="3"/>
  <c r="AJ79" i="3"/>
  <c r="AJ342" i="3"/>
  <c r="AJ521" i="3"/>
  <c r="AJ106" i="3"/>
  <c r="AJ40" i="3"/>
  <c r="AJ362" i="3"/>
  <c r="AJ478" i="3"/>
  <c r="AJ378" i="3"/>
  <c r="AJ472" i="3"/>
  <c r="AJ54" i="3"/>
  <c r="AJ171" i="3"/>
  <c r="AJ188" i="3"/>
  <c r="AJ135" i="3"/>
  <c r="AJ588" i="3"/>
  <c r="AJ354" i="3"/>
  <c r="AJ497" i="3"/>
  <c r="AJ110" i="3"/>
  <c r="AJ417" i="3"/>
  <c r="AJ259" i="3"/>
  <c r="AJ390" i="3"/>
  <c r="AJ291" i="3"/>
  <c r="AJ440" i="3"/>
  <c r="AJ36" i="3"/>
  <c r="AJ211" i="3"/>
  <c r="AJ198" i="3"/>
  <c r="AJ151" i="3"/>
  <c r="AJ596" i="3"/>
  <c r="AJ366" i="3"/>
  <c r="AJ473" i="3"/>
  <c r="AJ116" i="3"/>
  <c r="AJ671" i="3"/>
  <c r="AJ131" i="3"/>
  <c r="AJ275" i="3"/>
  <c r="AJ424" i="3"/>
  <c r="AJ21" i="3"/>
  <c r="AJ251" i="3"/>
  <c r="AJ167" i="3"/>
  <c r="AJ122" i="3"/>
  <c r="AJ447" i="3"/>
  <c r="AJ83" i="3"/>
  <c r="AJ163" i="3"/>
  <c r="AJ101" i="3"/>
  <c r="AJ486" i="3"/>
  <c r="AJ220" i="3"/>
  <c r="AJ620" i="3"/>
  <c r="AJ386" i="3"/>
  <c r="AJ132" i="3"/>
  <c r="R10" i="8"/>
  <c r="S10" i="8" s="1"/>
  <c r="AJ583" i="3"/>
  <c r="AJ392" i="3"/>
  <c r="AJ337" i="3"/>
  <c r="AJ230" i="3"/>
  <c r="AJ199" i="3"/>
  <c r="AJ406" i="3"/>
  <c r="AJ138" i="3"/>
  <c r="AJ376" i="3"/>
  <c r="AJ180" i="3"/>
  <c r="AJ288" i="3"/>
  <c r="AJ341" i="3"/>
  <c r="AJ479" i="3"/>
  <c r="AJ669" i="3"/>
  <c r="AJ244" i="3"/>
  <c r="AJ345" i="3"/>
  <c r="AJ431" i="3"/>
  <c r="AJ509" i="3"/>
  <c r="AJ611" i="3"/>
  <c r="AJ361" i="3"/>
  <c r="AJ649" i="3"/>
  <c r="AJ389" i="3"/>
  <c r="AJ28" i="3"/>
  <c r="AJ238" i="3"/>
  <c r="AJ585" i="3"/>
  <c r="AJ399" i="3"/>
  <c r="AJ525" i="3"/>
  <c r="AJ595" i="3"/>
  <c r="AJ401" i="3"/>
  <c r="AJ140" i="3"/>
  <c r="AJ357" i="3"/>
  <c r="AJ257" i="3"/>
  <c r="AJ194" i="3"/>
  <c r="AJ234" i="3"/>
  <c r="AJ601" i="3"/>
  <c r="AJ367" i="3"/>
  <c r="AJ541" i="3"/>
  <c r="AJ579" i="3"/>
  <c r="AJ489" i="3"/>
  <c r="AJ162" i="3"/>
  <c r="AJ313" i="3"/>
  <c r="AJ61" i="3"/>
  <c r="AJ91" i="3"/>
  <c r="AJ228" i="3"/>
  <c r="AJ625" i="3"/>
  <c r="AJ285" i="3"/>
  <c r="AJ557" i="3"/>
  <c r="AJ563" i="3"/>
  <c r="AJ529" i="3"/>
  <c r="AJ182" i="3"/>
  <c r="AJ249" i="3"/>
  <c r="AJ86" i="3"/>
  <c r="AJ239" i="3"/>
  <c r="AJ222" i="3"/>
  <c r="AJ684" i="3"/>
  <c r="AJ221" i="3"/>
  <c r="AJ573" i="3"/>
  <c r="AJ547" i="3"/>
  <c r="AJ569" i="3"/>
  <c r="AJ204" i="3"/>
  <c r="AJ185" i="3"/>
  <c r="AJ130" i="3"/>
  <c r="AJ352" i="3"/>
  <c r="AJ218" i="3"/>
  <c r="AJ673" i="3"/>
  <c r="AJ189" i="3"/>
  <c r="AJ589" i="3"/>
  <c r="AJ531" i="3"/>
  <c r="AJ617" i="3"/>
  <c r="AJ226" i="3"/>
  <c r="AJ111" i="3"/>
  <c r="AJ172" i="3"/>
  <c r="AJ416" i="3"/>
  <c r="AJ212" i="3"/>
  <c r="AJ667" i="3"/>
  <c r="AJ157" i="3"/>
  <c r="AJ605" i="3"/>
  <c r="AJ515" i="3"/>
  <c r="AJ686" i="3"/>
  <c r="AJ246" i="3"/>
  <c r="AJ121" i="3"/>
  <c r="AJ214" i="3"/>
  <c r="AJ544" i="3"/>
  <c r="AJ206" i="3"/>
  <c r="AJ661" i="3"/>
  <c r="AJ269" i="3"/>
  <c r="AJ621" i="3"/>
  <c r="AJ499" i="3"/>
  <c r="AJ665" i="3"/>
  <c r="AJ290" i="3"/>
  <c r="AJ89" i="3"/>
  <c r="AJ258" i="3"/>
  <c r="AJ608" i="3"/>
  <c r="AJ202" i="3"/>
  <c r="AJ657" i="3"/>
  <c r="AJ407" i="3"/>
  <c r="AJ685" i="3"/>
  <c r="AJ339" i="3"/>
  <c r="AJ653" i="3"/>
  <c r="AJ310" i="3"/>
  <c r="AJ87" i="3"/>
  <c r="AJ300" i="3"/>
  <c r="AJ650" i="3"/>
  <c r="AJ196" i="3"/>
  <c r="AJ527" i="3"/>
  <c r="AJ277" i="3"/>
  <c r="AJ332" i="3"/>
  <c r="AJ190" i="3"/>
  <c r="AJ645" i="3"/>
  <c r="AJ548" i="3"/>
  <c r="AJ245" i="3"/>
  <c r="AJ614" i="3"/>
  <c r="AJ133" i="3"/>
  <c r="AJ351" i="3"/>
  <c r="AJ379" i="3"/>
  <c r="AJ501" i="3"/>
  <c r="AJ155" i="3"/>
  <c r="AJ676" i="3"/>
  <c r="AJ468" i="3"/>
  <c r="AJ627" i="3"/>
  <c r="AJ262" i="3"/>
  <c r="AJ441" i="3"/>
  <c r="AJ439" i="3"/>
  <c r="AJ161" i="3"/>
  <c r="AJ123" i="3"/>
  <c r="AJ581" i="3"/>
  <c r="AJ570" i="3"/>
  <c r="AJ320" i="3"/>
  <c r="AJ271" i="3"/>
  <c r="AJ16" i="3"/>
  <c r="AJ323" i="3"/>
  <c r="AJ175" i="3"/>
  <c r="AJ438" i="3"/>
  <c r="AJ343" i="3"/>
  <c r="AJ349" i="3"/>
  <c r="AJ612" i="3"/>
  <c r="AJ348" i="3"/>
  <c r="AJ387" i="3"/>
  <c r="AJ102" i="3"/>
  <c r="AJ510" i="3"/>
  <c r="AJ268" i="3"/>
  <c r="AJ456" i="3"/>
  <c r="AJ57" i="3"/>
  <c r="AJ24" i="3"/>
  <c r="AJ675" i="3"/>
  <c r="AJ533" i="3"/>
  <c r="AJ518" i="3"/>
  <c r="AJ576" i="3"/>
  <c r="AJ398" i="3"/>
  <c r="AJ119" i="3"/>
  <c r="AJ413" i="3"/>
  <c r="AJ580" i="3"/>
  <c r="AJ295" i="3"/>
  <c r="AJ309" i="3"/>
  <c r="AJ60" i="3"/>
  <c r="AJ422" i="3"/>
  <c r="AJ235" i="3"/>
  <c r="AJ34" i="3"/>
  <c r="AJ520" i="3"/>
  <c r="AJ415" i="3"/>
  <c r="AJ80" i="3"/>
  <c r="AJ13" i="3"/>
  <c r="AJ47" i="3"/>
  <c r="AJ278" i="3"/>
  <c r="AJ394" i="3"/>
  <c r="B53" i="4"/>
  <c r="H94" i="4"/>
  <c r="AI94" i="4" s="1"/>
  <c r="H74" i="4"/>
  <c r="AP74" i="4" s="1"/>
  <c r="H206" i="4"/>
  <c r="AI206" i="4" s="1"/>
  <c r="H33" i="4"/>
  <c r="I33" i="4" s="1"/>
  <c r="J33" i="4" s="1"/>
  <c r="H161" i="4"/>
  <c r="AP161" i="4" s="1"/>
  <c r="H167" i="4"/>
  <c r="AJ167" i="4" s="1"/>
  <c r="H24" i="4"/>
  <c r="AI24" i="4" s="1"/>
  <c r="H37" i="4"/>
  <c r="H40" i="4"/>
  <c r="H82" i="4"/>
  <c r="H11" i="4"/>
  <c r="AI11" i="4" s="1"/>
  <c r="H41" i="4"/>
  <c r="H169" i="4"/>
  <c r="AJ169" i="4" s="1"/>
  <c r="H179" i="4"/>
  <c r="H56" i="4"/>
  <c r="AJ56" i="4" s="1"/>
  <c r="B14" i="4"/>
  <c r="H86" i="4"/>
  <c r="AI86" i="4" s="1"/>
  <c r="H23" i="4"/>
  <c r="AJ23" i="4" s="1"/>
  <c r="H45" i="4"/>
  <c r="H173" i="4"/>
  <c r="AI173" i="4" s="1"/>
  <c r="H187" i="4"/>
  <c r="H72" i="4"/>
  <c r="AP72" i="4" s="1"/>
  <c r="H90" i="4"/>
  <c r="I90" i="4" s="1"/>
  <c r="J90" i="4" s="1"/>
  <c r="U90" i="4" s="1"/>
  <c r="V90" i="4" s="1"/>
  <c r="W90" i="4" s="1"/>
  <c r="H31" i="4"/>
  <c r="I31" i="4" s="1"/>
  <c r="J31" i="4" s="1"/>
  <c r="K31" i="4" s="1"/>
  <c r="H49" i="4"/>
  <c r="I49" i="4" s="1"/>
  <c r="H177" i="4"/>
  <c r="H195" i="4"/>
  <c r="H88" i="4"/>
  <c r="H98" i="4"/>
  <c r="H35" i="4"/>
  <c r="H53" i="4"/>
  <c r="H203" i="4"/>
  <c r="AJ203" i="4" s="1"/>
  <c r="H104" i="4"/>
  <c r="H102" i="4"/>
  <c r="I102" i="4" s="1"/>
  <c r="J102" i="4" s="1"/>
  <c r="H43" i="4"/>
  <c r="AJ43" i="4" s="1"/>
  <c r="H57" i="4"/>
  <c r="H185" i="4"/>
  <c r="AI185" i="4" s="1"/>
  <c r="H12" i="4"/>
  <c r="H120" i="4"/>
  <c r="H106" i="4"/>
  <c r="H51" i="4"/>
  <c r="H61" i="4"/>
  <c r="H189" i="4"/>
  <c r="AP189" i="4" s="1"/>
  <c r="H16" i="4"/>
  <c r="AI16" i="4" s="1"/>
  <c r="H136" i="4"/>
  <c r="AP136" i="4" s="1"/>
  <c r="H110" i="4"/>
  <c r="H59" i="4"/>
  <c r="H65" i="4"/>
  <c r="I65" i="4" s="1"/>
  <c r="H193" i="4"/>
  <c r="AI193" i="4" s="1"/>
  <c r="H32" i="4"/>
  <c r="H152" i="4"/>
  <c r="I152" i="4" s="1"/>
  <c r="J152" i="4" s="1"/>
  <c r="K152" i="4" s="1"/>
  <c r="H114" i="4"/>
  <c r="AP114" i="4" s="1"/>
  <c r="H63" i="4"/>
  <c r="AP63" i="4" s="1"/>
  <c r="H69" i="4"/>
  <c r="AP69" i="4" s="1"/>
  <c r="H197" i="4"/>
  <c r="I197" i="4" s="1"/>
  <c r="J197" i="4" s="1"/>
  <c r="R197" i="4" s="1"/>
  <c r="S197" i="4" s="1"/>
  <c r="T197" i="4" s="1"/>
  <c r="H48" i="4"/>
  <c r="H168" i="4"/>
  <c r="AJ168" i="4" s="1"/>
  <c r="H118" i="4"/>
  <c r="H71" i="4"/>
  <c r="AJ71" i="4" s="1"/>
  <c r="H73" i="4"/>
  <c r="H201" i="4"/>
  <c r="H64" i="4"/>
  <c r="H184" i="4"/>
  <c r="AJ184" i="4" s="1"/>
  <c r="H122" i="4"/>
  <c r="AP122" i="4" s="1"/>
  <c r="H79" i="4"/>
  <c r="H77" i="4"/>
  <c r="H205" i="4"/>
  <c r="AI205" i="4" s="1"/>
  <c r="H80" i="4"/>
  <c r="AI80" i="4" s="1"/>
  <c r="H200" i="4"/>
  <c r="H126" i="4"/>
  <c r="H87" i="4"/>
  <c r="H81" i="4"/>
  <c r="AI81" i="4" s="1"/>
  <c r="H209" i="4"/>
  <c r="AP209" i="4" s="1"/>
  <c r="H96" i="4"/>
  <c r="AI96" i="4" s="1"/>
  <c r="H28" i="4"/>
  <c r="AI28" i="4" s="1"/>
  <c r="H130" i="4"/>
  <c r="AJ130" i="4" s="1"/>
  <c r="H99" i="4"/>
  <c r="AJ99" i="4" s="1"/>
  <c r="H85" i="4"/>
  <c r="H15" i="4"/>
  <c r="AP15" i="4" s="1"/>
  <c r="H112" i="4"/>
  <c r="AI112" i="4" s="1"/>
  <c r="H44" i="4"/>
  <c r="AI44" i="4" s="1"/>
  <c r="H134" i="4"/>
  <c r="AP134" i="4" s="1"/>
  <c r="H107" i="4"/>
  <c r="AP107" i="4" s="1"/>
  <c r="H89" i="4"/>
  <c r="AJ89" i="4" s="1"/>
  <c r="H19" i="4"/>
  <c r="AI19" i="4" s="1"/>
  <c r="H128" i="4"/>
  <c r="I128" i="4" s="1"/>
  <c r="J128" i="4" s="1"/>
  <c r="H78" i="4"/>
  <c r="H9" i="4"/>
  <c r="AI9" i="4" s="1"/>
  <c r="H165" i="4"/>
  <c r="H175" i="4"/>
  <c r="I175" i="4" s="1"/>
  <c r="J175" i="4" s="1"/>
  <c r="N175" i="4" s="1"/>
  <c r="O175" i="4" s="1"/>
  <c r="Q175" i="4" s="1"/>
  <c r="H181" i="4"/>
  <c r="H180" i="4"/>
  <c r="H27" i="4"/>
  <c r="H131" i="4"/>
  <c r="H22" i="4"/>
  <c r="AJ22" i="4" s="1"/>
  <c r="H164" i="4"/>
  <c r="I164" i="4" s="1"/>
  <c r="J164" i="4" s="1"/>
  <c r="K164" i="4" s="1"/>
  <c r="H157" i="4"/>
  <c r="AJ157" i="4" s="1"/>
  <c r="H123" i="4"/>
  <c r="H18" i="4"/>
  <c r="H148" i="4"/>
  <c r="H153" i="4"/>
  <c r="H115" i="4"/>
  <c r="I115" i="4" s="1"/>
  <c r="H14" i="4"/>
  <c r="AP14" i="4" s="1"/>
  <c r="H132" i="4"/>
  <c r="I132" i="4" s="1"/>
  <c r="H149" i="4"/>
  <c r="H202" i="4"/>
  <c r="H10" i="4"/>
  <c r="I10" i="4" s="1"/>
  <c r="J10" i="4" s="1"/>
  <c r="AD10" i="4" s="1"/>
  <c r="AE10" i="4" s="1"/>
  <c r="H116" i="4"/>
  <c r="H145" i="4"/>
  <c r="AI145" i="4" s="1"/>
  <c r="H198" i="4"/>
  <c r="I198" i="4" s="1"/>
  <c r="J198" i="4" s="1"/>
  <c r="R198" i="4" s="1"/>
  <c r="S198" i="4" s="1"/>
  <c r="T198" i="4" s="1"/>
  <c r="H100" i="4"/>
  <c r="AI100" i="4" s="1"/>
  <c r="H141" i="4"/>
  <c r="AJ141" i="4" s="1"/>
  <c r="H194" i="4"/>
  <c r="AI194" i="4" s="1"/>
  <c r="H84" i="4"/>
  <c r="AP84" i="4" s="1"/>
  <c r="H137" i="4"/>
  <c r="I137" i="4" s="1"/>
  <c r="J137" i="4" s="1"/>
  <c r="H190" i="4"/>
  <c r="AJ190" i="4" s="1"/>
  <c r="H68" i="4"/>
  <c r="I68" i="4" s="1"/>
  <c r="J68" i="4" s="1"/>
  <c r="H133" i="4"/>
  <c r="H186" i="4"/>
  <c r="H52" i="4"/>
  <c r="H129" i="4"/>
  <c r="AJ129" i="4" s="1"/>
  <c r="H182" i="4"/>
  <c r="AJ182" i="4" s="1"/>
  <c r="H36" i="4"/>
  <c r="AP36" i="4" s="1"/>
  <c r="H125" i="4"/>
  <c r="AP125" i="4" s="1"/>
  <c r="H178" i="4"/>
  <c r="H20" i="4"/>
  <c r="H121" i="4"/>
  <c r="I121" i="4" s="1"/>
  <c r="J121" i="4" s="1"/>
  <c r="N121" i="4" s="1"/>
  <c r="O121" i="4" s="1"/>
  <c r="Q121" i="4" s="1"/>
  <c r="H174" i="4"/>
  <c r="I174" i="4" s="1"/>
  <c r="J174" i="4" s="1"/>
  <c r="R174" i="4" s="1"/>
  <c r="S174" i="4" s="1"/>
  <c r="T174" i="4" s="1"/>
  <c r="H208" i="4"/>
  <c r="H117" i="4"/>
  <c r="H170" i="4"/>
  <c r="H192" i="4"/>
  <c r="AJ192" i="4" s="1"/>
  <c r="H113" i="4"/>
  <c r="I113" i="4" s="1"/>
  <c r="H166" i="4"/>
  <c r="H176" i="4"/>
  <c r="H109" i="4"/>
  <c r="H162" i="4"/>
  <c r="I162" i="4" s="1"/>
  <c r="J162" i="4" s="1"/>
  <c r="X162" i="4" s="1"/>
  <c r="Y162" i="4" s="1"/>
  <c r="H160" i="4"/>
  <c r="H105" i="4"/>
  <c r="H158" i="4"/>
  <c r="H144" i="4"/>
  <c r="AP144" i="4" s="1"/>
  <c r="H101" i="4"/>
  <c r="I101" i="4" s="1"/>
  <c r="J101" i="4" s="1"/>
  <c r="K101" i="4" s="1"/>
  <c r="H154" i="4"/>
  <c r="H159" i="4"/>
  <c r="H97" i="4"/>
  <c r="I97" i="4" s="1"/>
  <c r="J97" i="4" s="1"/>
  <c r="N97" i="4" s="1"/>
  <c r="O97" i="4" s="1"/>
  <c r="Q97" i="4" s="1"/>
  <c r="H150" i="4"/>
  <c r="AP150" i="4" s="1"/>
  <c r="H151" i="4"/>
  <c r="AJ151" i="4" s="1"/>
  <c r="H93" i="4"/>
  <c r="AJ93" i="4" s="1"/>
  <c r="H146" i="4"/>
  <c r="I146" i="4" s="1"/>
  <c r="J146" i="4" s="1"/>
  <c r="R146" i="4" s="1"/>
  <c r="S146" i="4" s="1"/>
  <c r="T146" i="4" s="1"/>
  <c r="H143" i="4"/>
  <c r="AI143" i="4" s="1"/>
  <c r="H29" i="4"/>
  <c r="I29" i="4" s="1"/>
  <c r="J29" i="4" s="1"/>
  <c r="H142" i="4"/>
  <c r="AJ142" i="4" s="1"/>
  <c r="H135" i="4"/>
  <c r="AI135" i="4" s="1"/>
  <c r="H25" i="4"/>
  <c r="AJ25" i="4" s="1"/>
  <c r="H138" i="4"/>
  <c r="I138" i="4" s="1"/>
  <c r="J138" i="4" s="1"/>
  <c r="L138" i="4" s="1"/>
  <c r="AJ31" i="4"/>
  <c r="AP137" i="4"/>
  <c r="AP50" i="4"/>
  <c r="AP171" i="4"/>
  <c r="AP156" i="4"/>
  <c r="AP155" i="4"/>
  <c r="I92" i="4"/>
  <c r="J92" i="4" s="1"/>
  <c r="AK49" i="4"/>
  <c r="AK148" i="4"/>
  <c r="AK188" i="4"/>
  <c r="AK44" i="4"/>
  <c r="AK200" i="4"/>
  <c r="AK175" i="4"/>
  <c r="AK39" i="4"/>
  <c r="AK197" i="4"/>
  <c r="AK169" i="4"/>
  <c r="AK204" i="4"/>
  <c r="AK161" i="4"/>
  <c r="AK11" i="4"/>
  <c r="AK17" i="4"/>
  <c r="AK104" i="4"/>
  <c r="AK196" i="4"/>
  <c r="AK154" i="4"/>
  <c r="AK135" i="4"/>
  <c r="AK16" i="4"/>
  <c r="AK74" i="4"/>
  <c r="AK130" i="4"/>
  <c r="AK153" i="4"/>
  <c r="AK109" i="4"/>
  <c r="AK20" i="4"/>
  <c r="AK159" i="4"/>
  <c r="AK59" i="4"/>
  <c r="AK120" i="4"/>
  <c r="AK152" i="4"/>
  <c r="AK93" i="4"/>
  <c r="AK19" i="4"/>
  <c r="AK90" i="4"/>
  <c r="AK151" i="4"/>
  <c r="AK27" i="4"/>
  <c r="AK29" i="4"/>
  <c r="AK45" i="4"/>
  <c r="AK194" i="4"/>
  <c r="AK150" i="4"/>
  <c r="AK191" i="4"/>
  <c r="AK124" i="4"/>
  <c r="AK114" i="4"/>
  <c r="AK157" i="4"/>
  <c r="AK147" i="4"/>
  <c r="AK78" i="4"/>
  <c r="AK18" i="4"/>
  <c r="AK12" i="4"/>
  <c r="AK91" i="4"/>
  <c r="AK119" i="4"/>
  <c r="AK164" i="4"/>
  <c r="AK202" i="4"/>
  <c r="AK67" i="4"/>
  <c r="AK36" i="4"/>
  <c r="AK22" i="4"/>
  <c r="AK13" i="4"/>
  <c r="AK126" i="4"/>
  <c r="AK172" i="4"/>
  <c r="AK117" i="4"/>
  <c r="AK57" i="4"/>
  <c r="AK89" i="4"/>
  <c r="AK82" i="4"/>
  <c r="AK30" i="4"/>
  <c r="AK145" i="4"/>
  <c r="AK176" i="4"/>
  <c r="AK136" i="4"/>
  <c r="AK15" i="4"/>
  <c r="AK107" i="4"/>
  <c r="B11" i="4"/>
  <c r="AK118" i="4"/>
  <c r="AK177" i="4"/>
  <c r="AK139" i="4"/>
  <c r="AK106" i="4"/>
  <c r="AK95" i="4"/>
  <c r="AK102" i="4"/>
  <c r="AK122" i="4"/>
  <c r="AK121" i="4"/>
  <c r="AK155" i="4"/>
  <c r="AK38" i="4"/>
  <c r="AK83" i="4"/>
  <c r="AK97" i="4"/>
  <c r="AK125" i="4"/>
  <c r="AK138" i="4"/>
  <c r="AK156" i="4"/>
  <c r="AK108" i="4"/>
  <c r="AK72" i="4"/>
  <c r="AK85" i="4"/>
  <c r="AK21" i="4"/>
  <c r="AK195" i="4"/>
  <c r="AK32" i="4"/>
  <c r="AK40" i="4"/>
  <c r="AK77" i="4"/>
  <c r="AK25" i="4"/>
  <c r="AK10" i="4"/>
  <c r="AK143" i="4"/>
  <c r="AK37" i="4"/>
  <c r="AK51" i="4"/>
  <c r="B131" i="2"/>
  <c r="AK190" i="4"/>
  <c r="AK133" i="4"/>
  <c r="AK43" i="4"/>
  <c r="AK61" i="4"/>
  <c r="AK98" i="4"/>
  <c r="AK189" i="4"/>
  <c r="AK129" i="4"/>
  <c r="AK48" i="4"/>
  <c r="AK58" i="4"/>
  <c r="AK186" i="4"/>
  <c r="AK141" i="4"/>
  <c r="AK53" i="4"/>
  <c r="AK101" i="4"/>
  <c r="AK184" i="4"/>
  <c r="AK182" i="4"/>
  <c r="AK137" i="4"/>
  <c r="AL165" i="4"/>
  <c r="AN165" i="4" s="1"/>
  <c r="AM128" i="4"/>
  <c r="AM180" i="4"/>
  <c r="AM32" i="4"/>
  <c r="B39" i="4"/>
  <c r="AL36" i="4"/>
  <c r="AM21" i="4"/>
  <c r="AL99" i="4"/>
  <c r="AN99" i="4" s="1"/>
  <c r="AL106" i="4"/>
  <c r="AM109" i="4"/>
  <c r="AM66" i="4"/>
  <c r="AL164" i="4"/>
  <c r="AL37" i="4"/>
  <c r="AL95" i="4"/>
  <c r="AL174" i="4"/>
  <c r="AN174" i="4" s="1"/>
  <c r="AL46" i="4"/>
  <c r="AN46" i="4" s="1"/>
  <c r="AM110" i="4"/>
  <c r="AM70" i="4"/>
  <c r="B148" i="2"/>
  <c r="C36" i="3" s="1"/>
  <c r="F3" i="8"/>
  <c r="I38" i="4"/>
  <c r="J38" i="4" s="1"/>
  <c r="AD38" i="4" s="1"/>
  <c r="AE38" i="4" s="1"/>
  <c r="AJ298" i="3"/>
  <c r="AJ126" i="3"/>
  <c r="AJ193" i="3"/>
  <c r="AJ578" i="3"/>
  <c r="AJ139" i="3"/>
  <c r="AJ329" i="3"/>
  <c r="AJ628" i="3"/>
  <c r="AJ372" i="3"/>
  <c r="AJ451" i="3"/>
  <c r="AJ156" i="3"/>
  <c r="AJ633" i="3"/>
  <c r="AJ505" i="3"/>
  <c r="AJ523" i="3"/>
  <c r="AJ646" i="3"/>
  <c r="AJ346" i="3"/>
  <c r="AJ176" i="3"/>
  <c r="AJ44" i="3"/>
  <c r="AJ469" i="3"/>
  <c r="AJ551" i="3"/>
  <c r="AJ85" i="3"/>
  <c r="AJ522" i="3"/>
  <c r="AJ293" i="3"/>
  <c r="AJ575" i="3"/>
  <c r="AJ659" i="3"/>
  <c r="AJ347" i="3"/>
  <c r="AJ14" i="3"/>
  <c r="AJ490" i="3"/>
  <c r="AJ229" i="3"/>
  <c r="AJ666" i="3"/>
  <c r="AJ177" i="3"/>
  <c r="AJ368" i="3"/>
  <c r="AJ481" i="3"/>
  <c r="AJ480" i="3"/>
  <c r="AJ639" i="3"/>
  <c r="AJ109" i="4"/>
  <c r="AL24" i="4"/>
  <c r="AN24" i="4" s="1"/>
  <c r="AL195" i="4"/>
  <c r="AM63" i="4"/>
  <c r="AL152" i="4"/>
  <c r="AN152" i="4" s="1"/>
  <c r="AM44" i="4"/>
  <c r="AJ139" i="4"/>
  <c r="AM163" i="4"/>
  <c r="J467" i="3"/>
  <c r="J552" i="3"/>
  <c r="AK170" i="4"/>
  <c r="AK123" i="4"/>
  <c r="AK146" i="4"/>
  <c r="AK127" i="4"/>
  <c r="J399" i="3"/>
  <c r="J46" i="3"/>
  <c r="J145" i="3"/>
  <c r="AK140" i="4"/>
  <c r="J218" i="3"/>
  <c r="J40" i="3"/>
  <c r="J123" i="3"/>
  <c r="J215" i="3"/>
  <c r="J423" i="3"/>
  <c r="J470" i="3"/>
  <c r="J612" i="3"/>
  <c r="J263" i="3"/>
  <c r="BL12" i="4"/>
  <c r="BJ12" i="4"/>
  <c r="BI12" i="4"/>
  <c r="BN12" i="4"/>
  <c r="BH12" i="4"/>
  <c r="BQ12" i="4"/>
  <c r="BO12" i="4"/>
  <c r="BP12" i="4"/>
  <c r="BK12" i="4"/>
  <c r="BM12" i="4"/>
  <c r="A47" i="8"/>
  <c r="A84" i="8"/>
  <c r="A76" i="8"/>
  <c r="AQ22" i="3"/>
  <c r="A31" i="3"/>
  <c r="AR22" i="3"/>
  <c r="B22" i="3"/>
  <c r="B20" i="3"/>
  <c r="AR20" i="3"/>
  <c r="AQ20" i="3"/>
  <c r="A29" i="3"/>
  <c r="A69" i="8"/>
  <c r="A66" i="8"/>
  <c r="B19" i="3"/>
  <c r="AQ19" i="3"/>
  <c r="A28" i="3"/>
  <c r="A70" i="8"/>
  <c r="BN14" i="4"/>
  <c r="BQ14" i="4"/>
  <c r="BJ14" i="4"/>
  <c r="BI14" i="4"/>
  <c r="BH14" i="4"/>
  <c r="BO14" i="4"/>
  <c r="BQ13" i="4"/>
  <c r="BK13" i="4"/>
  <c r="BP13" i="4"/>
  <c r="BL13" i="4"/>
  <c r="BM13" i="4"/>
  <c r="BM15" i="4"/>
  <c r="BK15" i="4"/>
  <c r="BL15" i="4"/>
  <c r="BH15" i="4"/>
  <c r="BM9" i="4"/>
  <c r="BJ9" i="4"/>
  <c r="BL9" i="4"/>
  <c r="BO9" i="4"/>
  <c r="BQ9" i="4"/>
  <c r="BK9" i="4"/>
  <c r="BP9" i="4"/>
  <c r="A67" i="8"/>
  <c r="BI9" i="4"/>
  <c r="BN9" i="4"/>
  <c r="BI16" i="4"/>
  <c r="BO16" i="4"/>
  <c r="BM16" i="4"/>
  <c r="BL16" i="4"/>
  <c r="BJ16" i="4"/>
  <c r="BH9" i="4"/>
  <c r="BN11" i="4"/>
  <c r="BO11" i="4"/>
  <c r="BH11" i="4"/>
  <c r="BN15" i="4"/>
  <c r="A53" i="8"/>
  <c r="I154" i="4"/>
  <c r="J154" i="4" s="1"/>
  <c r="K154" i="4" s="1"/>
  <c r="B43" i="2"/>
  <c r="I194" i="4"/>
  <c r="J194" i="4" s="1"/>
  <c r="B19" i="4"/>
  <c r="BO15" i="4"/>
  <c r="BJ15" i="4"/>
  <c r="BP15" i="4"/>
  <c r="AR19" i="3"/>
  <c r="BL14" i="4"/>
  <c r="AQ37" i="3"/>
  <c r="A38" i="3"/>
  <c r="B37" i="3"/>
  <c r="A61" i="8"/>
  <c r="A99" i="8"/>
  <c r="A68" i="8"/>
  <c r="AQ32" i="3"/>
  <c r="AJ383" i="3"/>
  <c r="AJ72" i="3"/>
  <c r="AJ458" i="3"/>
  <c r="AJ434" i="3"/>
  <c r="A50" i="8"/>
  <c r="AJ168" i="3"/>
  <c r="AJ545" i="3"/>
  <c r="AJ108" i="3"/>
  <c r="AJ296" i="3"/>
  <c r="AJ553" i="3"/>
  <c r="A35" i="16"/>
  <c r="AJ411" i="3"/>
  <c r="AJ18" i="3"/>
  <c r="AJ264" i="3"/>
  <c r="AJ539" i="3"/>
  <c r="AJ66" i="3"/>
  <c r="B281" i="2"/>
  <c r="B97" i="2"/>
  <c r="R16" i="8" s="1"/>
  <c r="S16" i="8" s="1"/>
  <c r="D97" i="2" s="1"/>
  <c r="B98" i="2" s="1"/>
  <c r="R17" i="8" s="1"/>
  <c r="S17" i="8" s="1"/>
  <c r="D98" i="2" s="1"/>
  <c r="B101" i="2" s="1"/>
  <c r="G3" i="8"/>
  <c r="B250" i="2"/>
  <c r="E250" i="2" s="1"/>
  <c r="B22" i="4"/>
  <c r="D43" i="16"/>
  <c r="R66" i="2"/>
  <c r="AI21" i="4"/>
  <c r="B58" i="4"/>
  <c r="AP140" i="4"/>
  <c r="AP83" i="4"/>
  <c r="I34" i="4"/>
  <c r="I108" i="4"/>
  <c r="J108" i="4" s="1"/>
  <c r="AP47" i="4"/>
  <c r="AP33" i="4"/>
  <c r="B89" i="2"/>
  <c r="AP139" i="4"/>
  <c r="I124" i="4"/>
  <c r="J124" i="4" s="1"/>
  <c r="AD124" i="4" s="1"/>
  <c r="I95" i="4"/>
  <c r="J95" i="4" s="1"/>
  <c r="B12" i="4"/>
  <c r="I159" i="4"/>
  <c r="I129" i="4"/>
  <c r="AP34" i="4"/>
  <c r="I140" i="4"/>
  <c r="J140" i="4" s="1"/>
  <c r="R140" i="4" s="1"/>
  <c r="S140" i="4" s="1"/>
  <c r="T140" i="4" s="1"/>
  <c r="AP92" i="4"/>
  <c r="AP67" i="4"/>
  <c r="I76" i="4"/>
  <c r="J76" i="4" s="1"/>
  <c r="K76" i="4" s="1"/>
  <c r="AP38" i="4"/>
  <c r="I60" i="4"/>
  <c r="J60" i="4" s="1"/>
  <c r="N44" i="2"/>
  <c r="M44" i="2" s="1"/>
  <c r="C242" i="2" s="1"/>
  <c r="C243" i="2" s="1"/>
  <c r="F243" i="2" s="1"/>
  <c r="C44" i="16" s="1"/>
  <c r="I134" i="4"/>
  <c r="J134" i="4" s="1"/>
  <c r="X134" i="4" s="1"/>
  <c r="Y134" i="4" s="1"/>
  <c r="I204" i="4"/>
  <c r="J204" i="4" s="1"/>
  <c r="N204" i="4" s="1"/>
  <c r="O204" i="4" s="1"/>
  <c r="Q204" i="4" s="1"/>
  <c r="AP193" i="4"/>
  <c r="AP146" i="4"/>
  <c r="AP23" i="4"/>
  <c r="I139" i="4"/>
  <c r="J139" i="4" s="1"/>
  <c r="L139" i="4" s="1"/>
  <c r="AP164" i="4"/>
  <c r="AP66" i="4"/>
  <c r="I58" i="4"/>
  <c r="J58" i="4" s="1"/>
  <c r="AP94" i="4"/>
  <c r="AP55" i="4"/>
  <c r="AP95" i="4"/>
  <c r="AP102" i="4"/>
  <c r="I11" i="4"/>
  <c r="J11" i="4" s="1"/>
  <c r="F64" i="1"/>
  <c r="AP159" i="4"/>
  <c r="I193" i="4"/>
  <c r="AP76" i="4"/>
  <c r="AP58" i="4"/>
  <c r="B127" i="2"/>
  <c r="R11" i="8" s="1"/>
  <c r="S11" i="8" s="1"/>
  <c r="B128" i="2" s="1"/>
  <c r="E64" i="1" s="1"/>
  <c r="C57" i="16" s="1"/>
  <c r="D57" i="16" s="1"/>
  <c r="I171" i="4"/>
  <c r="J171" i="4" s="1"/>
  <c r="K171" i="4" s="1"/>
  <c r="I21" i="4"/>
  <c r="J21" i="4" s="1"/>
  <c r="X21" i="4" s="1"/>
  <c r="Y21" i="4" s="1"/>
  <c r="I150" i="4"/>
  <c r="J150" i="4" s="1"/>
  <c r="AP141" i="4"/>
  <c r="AP152" i="4"/>
  <c r="AP194" i="4"/>
  <c r="AP17" i="4"/>
  <c r="I74" i="4"/>
  <c r="J74" i="4" s="1"/>
  <c r="I94" i="4"/>
  <c r="J94" i="4" s="1"/>
  <c r="K94" i="4" s="1"/>
  <c r="AP70" i="4"/>
  <c r="AP60" i="4"/>
  <c r="AP108" i="4"/>
  <c r="B38" i="2"/>
  <c r="B17" i="2" s="1"/>
  <c r="B23" i="2"/>
  <c r="B24" i="2" s="1"/>
  <c r="AP124" i="4"/>
  <c r="AP147" i="4"/>
  <c r="AP204" i="4"/>
  <c r="AP100" i="4"/>
  <c r="I56" i="4"/>
  <c r="J56" i="4" s="1"/>
  <c r="AP65" i="4"/>
  <c r="B25" i="2"/>
  <c r="B26" i="2" s="1"/>
  <c r="AP26" i="4"/>
  <c r="I25" i="4"/>
  <c r="J25" i="4" s="1"/>
  <c r="L25" i="4" s="1"/>
  <c r="B27" i="2"/>
  <c r="I199" i="4"/>
  <c r="J199" i="4" s="1"/>
  <c r="N199" i="4" s="1"/>
  <c r="O199" i="4" s="1"/>
  <c r="Q199" i="4" s="1"/>
  <c r="I62" i="4"/>
  <c r="J62" i="4" s="1"/>
  <c r="U62" i="4" s="1"/>
  <c r="V62" i="4" s="1"/>
  <c r="W62" i="4" s="1"/>
  <c r="B36" i="2"/>
  <c r="B37" i="2" s="1"/>
  <c r="B18" i="2" s="1"/>
  <c r="I127" i="4"/>
  <c r="I147" i="4"/>
  <c r="J147" i="4" s="1"/>
  <c r="N147" i="4" s="1"/>
  <c r="O147" i="4" s="1"/>
  <c r="Q147" i="4" s="1"/>
  <c r="AP62" i="4"/>
  <c r="I44" i="4"/>
  <c r="J44" i="4" s="1"/>
  <c r="K44" i="4" s="1"/>
  <c r="B34" i="2"/>
  <c r="B35" i="2" s="1"/>
  <c r="B79" i="2" s="1"/>
  <c r="E46" i="1" s="1"/>
  <c r="I155" i="4"/>
  <c r="J155" i="4" s="1"/>
  <c r="X155" i="4" s="1"/>
  <c r="Y155" i="4" s="1"/>
  <c r="I67" i="4"/>
  <c r="J67" i="4" s="1"/>
  <c r="L67" i="4" s="1"/>
  <c r="I26" i="4"/>
  <c r="J26" i="4" s="1"/>
  <c r="I66" i="4"/>
  <c r="J66" i="4" s="1"/>
  <c r="M66" i="2"/>
  <c r="L66" i="2" s="1"/>
  <c r="G243" i="2" s="1"/>
  <c r="I153" i="4"/>
  <c r="AP154" i="4"/>
  <c r="I156" i="4"/>
  <c r="J156" i="4" s="1"/>
  <c r="K156" i="4" s="1"/>
  <c r="I32" i="4"/>
  <c r="AP90" i="4"/>
  <c r="AP97" i="4"/>
  <c r="I15" i="4"/>
  <c r="J15" i="4" s="1"/>
  <c r="I70" i="4"/>
  <c r="J70" i="4" s="1"/>
  <c r="L70" i="4" s="1"/>
  <c r="B44" i="4"/>
  <c r="B194" i="2"/>
  <c r="B217" i="2" s="1"/>
  <c r="I183" i="4"/>
  <c r="J183" i="4" s="1"/>
  <c r="R183" i="4" s="1"/>
  <c r="S183" i="4" s="1"/>
  <c r="T183" i="4" s="1"/>
  <c r="AP188" i="4"/>
  <c r="AP91" i="4"/>
  <c r="I172" i="4"/>
  <c r="J172" i="4" s="1"/>
  <c r="R172" i="4" s="1"/>
  <c r="S172" i="4" s="1"/>
  <c r="T172" i="4" s="1"/>
  <c r="AP163" i="4"/>
  <c r="I75" i="4"/>
  <c r="J75" i="4" s="1"/>
  <c r="I208" i="4"/>
  <c r="J208" i="4" s="1"/>
  <c r="U208" i="4" s="1"/>
  <c r="V208" i="4" s="1"/>
  <c r="W208" i="4" s="1"/>
  <c r="I206" i="4"/>
  <c r="J206" i="4" s="1"/>
  <c r="X206" i="4" s="1"/>
  <c r="Y206" i="4" s="1"/>
  <c r="AL50" i="4"/>
  <c r="AN50" i="4" s="1"/>
  <c r="AP115" i="4"/>
  <c r="I80" i="4"/>
  <c r="J80" i="4" s="1"/>
  <c r="R80" i="4" s="1"/>
  <c r="S80" i="4" s="1"/>
  <c r="T80" i="4" s="1"/>
  <c r="I205" i="4"/>
  <c r="J205" i="4" s="1"/>
  <c r="U205" i="4" s="1"/>
  <c r="V205" i="4" s="1"/>
  <c r="W205" i="4" s="1"/>
  <c r="AP54" i="4"/>
  <c r="AI192" i="4"/>
  <c r="AI89" i="4"/>
  <c r="AI33" i="4"/>
  <c r="AP183" i="4"/>
  <c r="I163" i="4"/>
  <c r="J163" i="4" s="1"/>
  <c r="AD163" i="4" s="1"/>
  <c r="AE163" i="4" s="1"/>
  <c r="I91" i="4"/>
  <c r="J91" i="4" s="1"/>
  <c r="E13" i="1"/>
  <c r="C55" i="16" s="1"/>
  <c r="D55" i="16" s="1"/>
  <c r="B275" i="2"/>
  <c r="AJ65" i="4"/>
  <c r="AM81" i="4"/>
  <c r="AM43" i="4"/>
  <c r="AM19" i="4"/>
  <c r="AM62" i="4"/>
  <c r="AM20" i="4"/>
  <c r="AM37" i="4"/>
  <c r="AI83" i="4"/>
  <c r="AI92" i="4"/>
  <c r="AJ38" i="4"/>
  <c r="AJ74" i="4"/>
  <c r="AJ163" i="4"/>
  <c r="AJ153" i="4"/>
  <c r="AJ208" i="4"/>
  <c r="B13" i="4"/>
  <c r="AM205" i="4"/>
  <c r="AM161" i="4"/>
  <c r="AM160" i="4"/>
  <c r="AM156" i="4"/>
  <c r="AM176" i="4"/>
  <c r="AM127" i="4"/>
  <c r="AM133" i="4"/>
  <c r="AI140" i="4"/>
  <c r="AL17" i="4"/>
  <c r="AN17" i="4" s="1"/>
  <c r="AL88" i="4"/>
  <c r="AN88" i="4" s="1"/>
  <c r="AL159" i="4"/>
  <c r="AL31" i="4"/>
  <c r="AN31" i="4" s="1"/>
  <c r="AL110" i="4"/>
  <c r="AN110" i="4" s="1"/>
  <c r="AL191" i="4"/>
  <c r="AL101" i="4"/>
  <c r="AL207" i="4"/>
  <c r="AN207" i="4" s="1"/>
  <c r="AL100" i="4"/>
  <c r="AN100" i="4" s="1"/>
  <c r="AL171" i="4"/>
  <c r="AN171" i="4" s="1"/>
  <c r="AL35" i="4"/>
  <c r="AL170" i="4"/>
  <c r="AL42" i="4"/>
  <c r="AN42" i="4" s="1"/>
  <c r="AM22" i="4"/>
  <c r="AM57" i="4"/>
  <c r="AM59" i="4"/>
  <c r="AM84" i="4"/>
  <c r="AI43" i="4"/>
  <c r="AI39" i="4"/>
  <c r="AJ154" i="4"/>
  <c r="AM198" i="4"/>
  <c r="AM179" i="4"/>
  <c r="AM166" i="4"/>
  <c r="AM173" i="4"/>
  <c r="AM126" i="4"/>
  <c r="AM132" i="4"/>
  <c r="AI146" i="4"/>
  <c r="AL208" i="4"/>
  <c r="AN208" i="4" s="1"/>
  <c r="AL80" i="4"/>
  <c r="AN80" i="4" s="1"/>
  <c r="AL151" i="4"/>
  <c r="AL23" i="4"/>
  <c r="AN23" i="4" s="1"/>
  <c r="AL102" i="4"/>
  <c r="AL206" i="4"/>
  <c r="AN206" i="4" s="1"/>
  <c r="AL93" i="4"/>
  <c r="AL183" i="4"/>
  <c r="AN183" i="4" s="1"/>
  <c r="AL92" i="4"/>
  <c r="AN92" i="4" s="1"/>
  <c r="AL163" i="4"/>
  <c r="AN163" i="4" s="1"/>
  <c r="AL27" i="4"/>
  <c r="AN27" i="4" s="1"/>
  <c r="AL162" i="4"/>
  <c r="AN162" i="4" s="1"/>
  <c r="AL34" i="4"/>
  <c r="AN34" i="4" s="1"/>
  <c r="AM35" i="4"/>
  <c r="AM105" i="4"/>
  <c r="AM77" i="4"/>
  <c r="AM71" i="4"/>
  <c r="AM61" i="4"/>
  <c r="AM97" i="4"/>
  <c r="AM14" i="4"/>
  <c r="AJ70" i="4"/>
  <c r="AJ187" i="4"/>
  <c r="AJ186" i="4"/>
  <c r="AM203" i="4"/>
  <c r="AM178" i="4"/>
  <c r="AM192" i="4"/>
  <c r="AM153" i="4"/>
  <c r="AM151" i="4"/>
  <c r="AM172" i="4"/>
  <c r="AM131" i="4"/>
  <c r="AI124" i="4"/>
  <c r="AJ46" i="4"/>
  <c r="AL200" i="4"/>
  <c r="AL72" i="4"/>
  <c r="AL143" i="4"/>
  <c r="AL15" i="4"/>
  <c r="AL94" i="4"/>
  <c r="AN94" i="4" s="1"/>
  <c r="AL190" i="4"/>
  <c r="AL85" i="4"/>
  <c r="AL182" i="4"/>
  <c r="AL84" i="4"/>
  <c r="AN84" i="4" s="1"/>
  <c r="AL147" i="4"/>
  <c r="AL19" i="4"/>
  <c r="AL154" i="4"/>
  <c r="AN154" i="4" s="1"/>
  <c r="AL26" i="4"/>
  <c r="AN26" i="4" s="1"/>
  <c r="AM106" i="4"/>
  <c r="AM31" i="4"/>
  <c r="AM9" i="4"/>
  <c r="AM85" i="4"/>
  <c r="AM67" i="4"/>
  <c r="AM52" i="4"/>
  <c r="AM86" i="4"/>
  <c r="AI62" i="4"/>
  <c r="AI66" i="4"/>
  <c r="AJ147" i="4"/>
  <c r="B4" i="6"/>
  <c r="B12" i="6" s="1"/>
  <c r="B223" i="2"/>
  <c r="AM201" i="4"/>
  <c r="AM177" i="4"/>
  <c r="AM150" i="4"/>
  <c r="AM159" i="4"/>
  <c r="AM171" i="4"/>
  <c r="AM141" i="4"/>
  <c r="AM123" i="4"/>
  <c r="AL192" i="4"/>
  <c r="AN192" i="4" s="1"/>
  <c r="AL64" i="4"/>
  <c r="AN64" i="4" s="1"/>
  <c r="AL135" i="4"/>
  <c r="AL185" i="4"/>
  <c r="AN185" i="4" s="1"/>
  <c r="AL86" i="4"/>
  <c r="AN86" i="4" s="1"/>
  <c r="AL205" i="4"/>
  <c r="AN205" i="4" s="1"/>
  <c r="AL77" i="4"/>
  <c r="AL204" i="4"/>
  <c r="AN204" i="4" s="1"/>
  <c r="AL76" i="4"/>
  <c r="AN76" i="4" s="1"/>
  <c r="AL139" i="4"/>
  <c r="AL11" i="4"/>
  <c r="AL146" i="4"/>
  <c r="AL18" i="4"/>
  <c r="AM60" i="4"/>
  <c r="AM104" i="4"/>
  <c r="AM15" i="4"/>
  <c r="AM107" i="4"/>
  <c r="AM25" i="4"/>
  <c r="AM91" i="4"/>
  <c r="AJ58" i="4"/>
  <c r="AJ155" i="4"/>
  <c r="B78" i="4"/>
  <c r="B77" i="4"/>
  <c r="AM181" i="4"/>
  <c r="AM199" i="4"/>
  <c r="AM149" i="4"/>
  <c r="AM158" i="4"/>
  <c r="AM148" i="4"/>
  <c r="AM170" i="4"/>
  <c r="AM137" i="4"/>
  <c r="AM124" i="4"/>
  <c r="AM114" i="4"/>
  <c r="AI151" i="4"/>
  <c r="AJ173" i="4"/>
  <c r="AL184" i="4"/>
  <c r="AL56" i="4"/>
  <c r="AN56" i="4" s="1"/>
  <c r="AL127" i="4"/>
  <c r="AL121" i="4"/>
  <c r="AN121" i="4" s="1"/>
  <c r="AL78" i="4"/>
  <c r="AN78" i="4" s="1"/>
  <c r="AL197" i="4"/>
  <c r="AL69" i="4"/>
  <c r="AN69" i="4" s="1"/>
  <c r="AL196" i="4"/>
  <c r="AL68" i="4"/>
  <c r="AN68" i="4" s="1"/>
  <c r="AL131" i="4"/>
  <c r="AN131" i="4" s="1"/>
  <c r="AL201" i="4"/>
  <c r="AN201" i="4" s="1"/>
  <c r="AL138" i="4"/>
  <c r="AL10" i="4"/>
  <c r="AM33" i="4"/>
  <c r="AM80" i="4"/>
  <c r="AM46" i="4"/>
  <c r="AM11" i="4"/>
  <c r="AM45" i="4"/>
  <c r="AM13" i="4"/>
  <c r="AJ47" i="4"/>
  <c r="AI75" i="4"/>
  <c r="AI10" i="4"/>
  <c r="AJ42" i="4"/>
  <c r="AI70" i="4"/>
  <c r="AJ84" i="4"/>
  <c r="AJ194" i="4"/>
  <c r="AJ128" i="4"/>
  <c r="AJ134" i="4"/>
  <c r="AJ204" i="4"/>
  <c r="AM169" i="4"/>
  <c r="AM145" i="4"/>
  <c r="AM168" i="4"/>
  <c r="AM134" i="4"/>
  <c r="AM119" i="4"/>
  <c r="AM113" i="4"/>
  <c r="AL176" i="4"/>
  <c r="AL48" i="4"/>
  <c r="AL119" i="4"/>
  <c r="AL49" i="4"/>
  <c r="AN49" i="4" s="1"/>
  <c r="AL70" i="4"/>
  <c r="AN70" i="4" s="1"/>
  <c r="AL189" i="4"/>
  <c r="AL61" i="4"/>
  <c r="AL188" i="4"/>
  <c r="AN188" i="4" s="1"/>
  <c r="AL60" i="4"/>
  <c r="AN60" i="4" s="1"/>
  <c r="AL123" i="4"/>
  <c r="AL153" i="4"/>
  <c r="AL130" i="4"/>
  <c r="AM53" i="4"/>
  <c r="AM24" i="4"/>
  <c r="AM102" i="4"/>
  <c r="AM74" i="4"/>
  <c r="AM79" i="4"/>
  <c r="AM12" i="4"/>
  <c r="AJ108" i="4"/>
  <c r="AI91" i="4"/>
  <c r="AJ124" i="4"/>
  <c r="B224" i="2"/>
  <c r="AM195" i="4"/>
  <c r="AM157" i="4"/>
  <c r="AM202" i="4"/>
  <c r="AM165" i="4"/>
  <c r="AI191" i="4"/>
  <c r="AL168" i="4"/>
  <c r="AN168" i="4" s="1"/>
  <c r="AL40" i="4"/>
  <c r="AL111" i="4"/>
  <c r="AN111" i="4" s="1"/>
  <c r="AL199" i="4"/>
  <c r="AN199" i="4" s="1"/>
  <c r="AL62" i="4"/>
  <c r="AL181" i="4"/>
  <c r="AN181" i="4" s="1"/>
  <c r="AL53" i="4"/>
  <c r="AL180" i="4"/>
  <c r="AN180" i="4" s="1"/>
  <c r="AL52" i="4"/>
  <c r="AN52" i="4" s="1"/>
  <c r="AL115" i="4"/>
  <c r="AN115" i="4" s="1"/>
  <c r="AL105" i="4"/>
  <c r="AN105" i="4" s="1"/>
  <c r="AL122" i="4"/>
  <c r="AN122" i="4" s="1"/>
  <c r="AM27" i="4"/>
  <c r="AM99" i="4"/>
  <c r="AM78" i="4"/>
  <c r="AM38" i="4"/>
  <c r="AM90" i="4"/>
  <c r="AM100" i="4"/>
  <c r="AM73" i="4"/>
  <c r="AJ21" i="4"/>
  <c r="AJ76" i="4"/>
  <c r="AJ91" i="4"/>
  <c r="AI38" i="4"/>
  <c r="AM152" i="4"/>
  <c r="AM194" i="4"/>
  <c r="AM208" i="4"/>
  <c r="AM164" i="4"/>
  <c r="AM146" i="4"/>
  <c r="AM115" i="4"/>
  <c r="AI183" i="4"/>
  <c r="AL160" i="4"/>
  <c r="AN160" i="4" s="1"/>
  <c r="AL32" i="4"/>
  <c r="AL103" i="4"/>
  <c r="AN103" i="4" s="1"/>
  <c r="AL198" i="4"/>
  <c r="AN198" i="4" s="1"/>
  <c r="AL54" i="4"/>
  <c r="AN54" i="4" s="1"/>
  <c r="AL173" i="4"/>
  <c r="AL45" i="4"/>
  <c r="AL172" i="4"/>
  <c r="AL44" i="4"/>
  <c r="AL107" i="4"/>
  <c r="AL57" i="4"/>
  <c r="AL114" i="4"/>
  <c r="AM36" i="4"/>
  <c r="AM23" i="4"/>
  <c r="AM89" i="4"/>
  <c r="AM92" i="4"/>
  <c r="AM29" i="4"/>
  <c r="AM75" i="4"/>
  <c r="AJ33" i="4"/>
  <c r="AM191" i="4"/>
  <c r="AM147" i="4"/>
  <c r="AM118" i="4"/>
  <c r="AM183" i="4"/>
  <c r="AM125" i="4"/>
  <c r="AM162" i="4"/>
  <c r="AM121" i="4"/>
  <c r="AM144" i="4"/>
  <c r="AI111" i="4"/>
  <c r="AI49" i="4"/>
  <c r="AI171" i="4"/>
  <c r="AL144" i="4"/>
  <c r="AN144" i="4" s="1"/>
  <c r="AL16" i="4"/>
  <c r="AL87" i="4"/>
  <c r="AL166" i="4"/>
  <c r="AN166" i="4" s="1"/>
  <c r="AL38" i="4"/>
  <c r="AL157" i="4"/>
  <c r="AL29" i="4"/>
  <c r="AL156" i="4"/>
  <c r="AL28" i="4"/>
  <c r="AN28" i="4" s="1"/>
  <c r="AL91" i="4"/>
  <c r="AL179" i="4"/>
  <c r="AN179" i="4" s="1"/>
  <c r="AL98" i="4"/>
  <c r="AM65" i="4"/>
  <c r="AM83" i="4"/>
  <c r="AM18" i="4"/>
  <c r="AM50" i="4"/>
  <c r="AM48" i="4"/>
  <c r="AM39" i="4"/>
  <c r="AM69" i="4"/>
  <c r="AJ62" i="4"/>
  <c r="AJ60" i="4"/>
  <c r="AI34" i="4"/>
  <c r="AJ197" i="4"/>
  <c r="AM190" i="4"/>
  <c r="AM175" i="4"/>
  <c r="AM197" i="4"/>
  <c r="AM120" i="4"/>
  <c r="AM142" i="4"/>
  <c r="AM112" i="4"/>
  <c r="AI204" i="4"/>
  <c r="AI164" i="4"/>
  <c r="AI203" i="4"/>
  <c r="AJ111" i="4"/>
  <c r="AL136" i="4"/>
  <c r="AL193" i="4"/>
  <c r="AN193" i="4" s="1"/>
  <c r="AL79" i="4"/>
  <c r="AN79" i="4" s="1"/>
  <c r="AL158" i="4"/>
  <c r="AN158" i="4" s="1"/>
  <c r="AL30" i="4"/>
  <c r="AL149" i="4"/>
  <c r="AN149" i="4" s="1"/>
  <c r="AL21" i="4"/>
  <c r="AL148" i="4"/>
  <c r="AL20" i="4"/>
  <c r="AL83" i="4"/>
  <c r="AL155" i="4"/>
  <c r="AL90" i="4"/>
  <c r="AM98" i="4"/>
  <c r="AM94" i="4"/>
  <c r="AM16" i="4"/>
  <c r="AM40" i="4"/>
  <c r="AM17" i="4"/>
  <c r="AM54" i="4"/>
  <c r="AM87" i="4"/>
  <c r="AI108" i="4"/>
  <c r="AI88" i="4"/>
  <c r="AJ26" i="4"/>
  <c r="AI58" i="4"/>
  <c r="AJ140" i="4"/>
  <c r="AM189" i="4"/>
  <c r="AM204" i="4"/>
  <c r="AM193" i="4"/>
  <c r="AM187" i="4"/>
  <c r="AM117" i="4"/>
  <c r="AM140" i="4"/>
  <c r="AM111" i="4"/>
  <c r="AI188" i="4"/>
  <c r="AI163" i="4"/>
  <c r="AL128" i="4"/>
  <c r="AN128" i="4" s="1"/>
  <c r="AL137" i="4"/>
  <c r="AL71" i="4"/>
  <c r="AN71" i="4" s="1"/>
  <c r="AL150" i="4"/>
  <c r="AL22" i="4"/>
  <c r="AL141" i="4"/>
  <c r="AL13" i="4"/>
  <c r="AL140" i="4"/>
  <c r="AL12" i="4"/>
  <c r="AL75" i="4"/>
  <c r="AN75" i="4" s="1"/>
  <c r="AL9" i="4"/>
  <c r="AN9" i="4" s="1"/>
  <c r="AL82" i="4"/>
  <c r="AM82" i="4"/>
  <c r="AM55" i="4"/>
  <c r="AM101" i="4"/>
  <c r="AM58" i="4"/>
  <c r="AM26" i="4"/>
  <c r="AM103" i="4"/>
  <c r="AJ92" i="4"/>
  <c r="AJ95" i="4"/>
  <c r="AJ97" i="4"/>
  <c r="AJ156" i="4"/>
  <c r="AM209" i="4"/>
  <c r="AM122" i="4"/>
  <c r="AM188" i="4"/>
  <c r="AM186" i="4"/>
  <c r="AM155" i="4"/>
  <c r="AM116" i="4"/>
  <c r="AM139" i="4"/>
  <c r="AI155" i="4"/>
  <c r="AI122" i="4"/>
  <c r="AL177" i="4"/>
  <c r="AL120" i="4"/>
  <c r="AL89" i="4"/>
  <c r="AL63" i="4"/>
  <c r="AN63" i="4" s="1"/>
  <c r="AL142" i="4"/>
  <c r="AN142" i="4" s="1"/>
  <c r="AL14" i="4"/>
  <c r="AN14" i="4" s="1"/>
  <c r="AL133" i="4"/>
  <c r="AL209" i="4"/>
  <c r="AN209" i="4" s="1"/>
  <c r="AL132" i="4"/>
  <c r="AN132" i="4" s="1"/>
  <c r="AL161" i="4"/>
  <c r="AN161" i="4" s="1"/>
  <c r="AL67" i="4"/>
  <c r="AL202" i="4"/>
  <c r="AL74" i="4"/>
  <c r="AM42" i="4"/>
  <c r="AM49" i="4"/>
  <c r="AM47" i="4"/>
  <c r="AM56" i="4"/>
  <c r="AM96" i="4"/>
  <c r="AM76" i="4"/>
  <c r="AJ66" i="4"/>
  <c r="AJ86" i="4"/>
  <c r="AJ67" i="4"/>
  <c r="AI26" i="4"/>
  <c r="AM184" i="4"/>
  <c r="AM167" i="4"/>
  <c r="AM185" i="4"/>
  <c r="AM154" i="4"/>
  <c r="AM143" i="4"/>
  <c r="AM138" i="4"/>
  <c r="AI172" i="4"/>
  <c r="AI132" i="4"/>
  <c r="AI147" i="4"/>
  <c r="AI154" i="4"/>
  <c r="AL129" i="4"/>
  <c r="AL112" i="4"/>
  <c r="AN112" i="4" s="1"/>
  <c r="AL25" i="4"/>
  <c r="AL55" i="4"/>
  <c r="AN55" i="4" s="1"/>
  <c r="AL134" i="4"/>
  <c r="AN134" i="4" s="1"/>
  <c r="AL169" i="4"/>
  <c r="AL125" i="4"/>
  <c r="AL145" i="4"/>
  <c r="AL124" i="4"/>
  <c r="AL73" i="4"/>
  <c r="AN73" i="4" s="1"/>
  <c r="AL59" i="4"/>
  <c r="AL194" i="4"/>
  <c r="AL66" i="4"/>
  <c r="AN66" i="4" s="1"/>
  <c r="AM28" i="4"/>
  <c r="AM95" i="4"/>
  <c r="AM88" i="4"/>
  <c r="AM108" i="4"/>
  <c r="AM93" i="4"/>
  <c r="AM51" i="4"/>
  <c r="AI76" i="4"/>
  <c r="AJ83" i="4"/>
  <c r="AJ171" i="4"/>
  <c r="AM10" i="4"/>
  <c r="AM207" i="4"/>
  <c r="AM136" i="4"/>
  <c r="AM130" i="4"/>
  <c r="AI152" i="4"/>
  <c r="AL81" i="4"/>
  <c r="AN81" i="4" s="1"/>
  <c r="AL104" i="4"/>
  <c r="AN104" i="4" s="1"/>
  <c r="AL175" i="4"/>
  <c r="AN175" i="4" s="1"/>
  <c r="AL47" i="4"/>
  <c r="AN47" i="4" s="1"/>
  <c r="AL126" i="4"/>
  <c r="AL113" i="4"/>
  <c r="AN113" i="4" s="1"/>
  <c r="AL117" i="4"/>
  <c r="AL97" i="4"/>
  <c r="AL116" i="4"/>
  <c r="AN116" i="4" s="1"/>
  <c r="AL203" i="4"/>
  <c r="AN203" i="4" s="1"/>
  <c r="AL51" i="4"/>
  <c r="AL186" i="4"/>
  <c r="AL58" i="4"/>
  <c r="AM64" i="4"/>
  <c r="AM34" i="4"/>
  <c r="AM72" i="4"/>
  <c r="AM68" i="4"/>
  <c r="AM30" i="4"/>
  <c r="AM41" i="4"/>
  <c r="AJ34" i="4"/>
  <c r="AJ100" i="4"/>
  <c r="AJ18" i="4"/>
  <c r="AJ55" i="4"/>
  <c r="AI74" i="4"/>
  <c r="AI60" i="4"/>
  <c r="AJ94" i="4"/>
  <c r="AJ80" i="4"/>
  <c r="AM206" i="4"/>
  <c r="AM182" i="4"/>
  <c r="AM200" i="4"/>
  <c r="AM196" i="4"/>
  <c r="AM174" i="4"/>
  <c r="AM135" i="4"/>
  <c r="AM129" i="4"/>
  <c r="AI156" i="4"/>
  <c r="AI139" i="4"/>
  <c r="AL65" i="4"/>
  <c r="AN65" i="4" s="1"/>
  <c r="AL96" i="4"/>
  <c r="AN96" i="4" s="1"/>
  <c r="AL167" i="4"/>
  <c r="AN167" i="4" s="1"/>
  <c r="AL39" i="4"/>
  <c r="AL118" i="4"/>
  <c r="AL41" i="4"/>
  <c r="AN41" i="4" s="1"/>
  <c r="AL109" i="4"/>
  <c r="AL33" i="4"/>
  <c r="AN33" i="4" s="1"/>
  <c r="AL108" i="4"/>
  <c r="AL187" i="4"/>
  <c r="AN187" i="4" s="1"/>
  <c r="AL43" i="4"/>
  <c r="AL178" i="4"/>
  <c r="AN178" i="4" s="1"/>
  <c r="AP174" i="4"/>
  <c r="AP46" i="4"/>
  <c r="I45" i="4"/>
  <c r="I112" i="4"/>
  <c r="J112" i="4" s="1"/>
  <c r="N112" i="4" s="1"/>
  <c r="O112" i="4" s="1"/>
  <c r="Q112" i="4" s="1"/>
  <c r="AJ146" i="4"/>
  <c r="AJ114" i="4"/>
  <c r="AJ206" i="4"/>
  <c r="AJ177" i="4"/>
  <c r="AI50" i="4"/>
  <c r="AJ50" i="4"/>
  <c r="AJ113" i="4"/>
  <c r="I119" i="4"/>
  <c r="J119" i="4" s="1"/>
  <c r="L119" i="4" s="1"/>
  <c r="AJ103" i="4"/>
  <c r="AP80" i="4"/>
  <c r="AJ54" i="4"/>
  <c r="AJ188" i="4"/>
  <c r="AP191" i="4"/>
  <c r="AI46" i="4"/>
  <c r="I114" i="4"/>
  <c r="J114" i="4" s="1"/>
  <c r="R114" i="4" s="1"/>
  <c r="S114" i="4" s="1"/>
  <c r="T114" i="4" s="1"/>
  <c r="I111" i="4"/>
  <c r="AP111" i="4"/>
  <c r="AP196" i="4"/>
  <c r="I50" i="4"/>
  <c r="J50" i="4" s="1"/>
  <c r="X50" i="4" s="1"/>
  <c r="Y50" i="4" s="1"/>
  <c r="I54" i="4"/>
  <c r="J54" i="4" s="1"/>
  <c r="AD54" i="4" s="1"/>
  <c r="AE54" i="4" s="1"/>
  <c r="I46" i="4"/>
  <c r="AI54" i="4"/>
  <c r="AP172" i="4"/>
  <c r="I191" i="4"/>
  <c r="J191" i="4" s="1"/>
  <c r="N191" i="4" s="1"/>
  <c r="O191" i="4" s="1"/>
  <c r="Q191" i="4" s="1"/>
  <c r="AJ205" i="4"/>
  <c r="AJ183" i="4"/>
  <c r="I188" i="4"/>
  <c r="J188" i="4" s="1"/>
  <c r="N188" i="4" s="1"/>
  <c r="O188" i="4" s="1"/>
  <c r="Q188" i="4" s="1"/>
  <c r="AJ191" i="4"/>
  <c r="AJ172" i="4"/>
  <c r="J141" i="3" l="1"/>
  <c r="J521" i="3"/>
  <c r="J339" i="3"/>
  <c r="J65" i="3"/>
  <c r="J196" i="3"/>
  <c r="J553" i="3"/>
  <c r="J390" i="3"/>
  <c r="J377" i="3"/>
  <c r="J234" i="3"/>
  <c r="J578" i="3"/>
  <c r="J88" i="3"/>
  <c r="J657" i="3"/>
  <c r="J48" i="3"/>
  <c r="J561" i="3"/>
  <c r="J676" i="3"/>
  <c r="J69" i="3"/>
  <c r="J411" i="3"/>
  <c r="J309" i="3"/>
  <c r="J151" i="3"/>
  <c r="J441" i="3"/>
  <c r="J172" i="3"/>
  <c r="J433" i="3"/>
  <c r="J271" i="3"/>
  <c r="J674" i="3"/>
  <c r="J443" i="3"/>
  <c r="J538" i="3"/>
  <c r="J531" i="3"/>
  <c r="J240" i="3"/>
  <c r="J160" i="3"/>
  <c r="J371" i="3"/>
  <c r="J477" i="3"/>
  <c r="J294" i="3"/>
  <c r="J372" i="3"/>
  <c r="J628" i="3"/>
  <c r="J31" i="3"/>
  <c r="J346" i="3"/>
  <c r="J209" i="3"/>
  <c r="J584" i="3"/>
  <c r="J471" i="3"/>
  <c r="J440" i="3"/>
  <c r="J551" i="3"/>
  <c r="J505" i="3"/>
  <c r="J685" i="3"/>
  <c r="J438" i="3"/>
  <c r="J666" i="3"/>
  <c r="J374" i="3"/>
  <c r="J140" i="3"/>
  <c r="J605" i="3"/>
  <c r="J473" i="3"/>
  <c r="J457" i="3"/>
  <c r="J370" i="3"/>
  <c r="J585" i="3"/>
  <c r="J311" i="3"/>
  <c r="J508" i="3"/>
  <c r="J611" i="3"/>
  <c r="J127" i="3"/>
  <c r="J314" i="3"/>
  <c r="J108" i="3"/>
  <c r="J526" i="3"/>
  <c r="J380" i="3"/>
  <c r="J369" i="3"/>
  <c r="J143" i="3"/>
  <c r="J490" i="3"/>
  <c r="J567" i="3"/>
  <c r="J358" i="3"/>
  <c r="J660" i="3"/>
  <c r="J563" i="3"/>
  <c r="J326" i="3"/>
  <c r="J483" i="3"/>
  <c r="J452" i="3"/>
  <c r="J512" i="3"/>
  <c r="J523" i="3"/>
  <c r="J663" i="3"/>
  <c r="J316" i="3"/>
  <c r="J298" i="3"/>
  <c r="J586" i="3"/>
  <c r="J587" i="3"/>
  <c r="J101" i="3"/>
  <c r="J570" i="3"/>
  <c r="J288" i="3"/>
  <c r="J562" i="3"/>
  <c r="J195" i="3"/>
  <c r="J164" i="3"/>
  <c r="J503" i="3"/>
  <c r="J121" i="3"/>
  <c r="J278" i="3"/>
  <c r="J416" i="3"/>
  <c r="J571" i="3"/>
  <c r="J539" i="3"/>
  <c r="J155" i="3"/>
  <c r="J83" i="3"/>
  <c r="J233" i="3"/>
  <c r="J632" i="3"/>
  <c r="J462" i="3"/>
  <c r="J517" i="3"/>
  <c r="J366" i="3"/>
  <c r="J202" i="3"/>
  <c r="J610" i="3"/>
  <c r="J303" i="3"/>
  <c r="J243" i="3"/>
  <c r="J312" i="3"/>
  <c r="J232" i="3"/>
  <c r="J402" i="3"/>
  <c r="J379" i="3"/>
  <c r="J492" i="3"/>
  <c r="J9" i="3"/>
  <c r="J497" i="3"/>
  <c r="J414" i="3"/>
  <c r="J668" i="3"/>
  <c r="J651" i="3"/>
  <c r="J99" i="3"/>
  <c r="J664" i="3"/>
  <c r="J248" i="3"/>
  <c r="J275" i="3"/>
  <c r="J77" i="3"/>
  <c r="J167" i="3"/>
  <c r="J644" i="3"/>
  <c r="J480" i="3"/>
  <c r="J530" i="3"/>
  <c r="J328" i="3"/>
  <c r="J616" i="3"/>
  <c r="J107" i="3"/>
  <c r="J491" i="3"/>
  <c r="J112" i="3"/>
  <c r="J26" i="3"/>
  <c r="J653" i="3"/>
  <c r="J607" i="3"/>
  <c r="J434" i="3"/>
  <c r="J223" i="3"/>
  <c r="J446" i="3"/>
  <c r="J75" i="3"/>
  <c r="J137" i="3"/>
  <c r="J212" i="3"/>
  <c r="J207" i="3"/>
  <c r="J181" i="3"/>
  <c r="J344" i="3"/>
  <c r="J242" i="3"/>
  <c r="J543" i="3"/>
  <c r="J454" i="3"/>
  <c r="J686" i="3"/>
  <c r="J410" i="3"/>
  <c r="J33" i="3"/>
  <c r="J114" i="3"/>
  <c r="J565" i="3"/>
  <c r="J272" i="3"/>
  <c r="J352" i="3"/>
  <c r="J506" i="3"/>
  <c r="J73" i="3"/>
  <c r="J27" i="3"/>
  <c r="AN107" i="4"/>
  <c r="AN44" i="4"/>
  <c r="AN20" i="4"/>
  <c r="AN125" i="4"/>
  <c r="AN148" i="4"/>
  <c r="AN62" i="4"/>
  <c r="AN109" i="4"/>
  <c r="AN51" i="4"/>
  <c r="AN169" i="4"/>
  <c r="AN173" i="4"/>
  <c r="AN29" i="4"/>
  <c r="AN118" i="4"/>
  <c r="AN150" i="4"/>
  <c r="AN72" i="4"/>
  <c r="AN200" i="4"/>
  <c r="AN120" i="4"/>
  <c r="AN87" i="4"/>
  <c r="AN153" i="4"/>
  <c r="AN35" i="4"/>
  <c r="C29" i="3"/>
  <c r="AP85" i="4"/>
  <c r="AI85" i="4"/>
  <c r="AI158" i="4"/>
  <c r="AP158" i="4"/>
  <c r="AI116" i="4"/>
  <c r="I116" i="4"/>
  <c r="J116" i="4" s="1"/>
  <c r="U116" i="4" s="1"/>
  <c r="V116" i="4" s="1"/>
  <c r="W116" i="4" s="1"/>
  <c r="AP116" i="4"/>
  <c r="AJ116" i="4"/>
  <c r="AI41" i="4"/>
  <c r="AJ41" i="4"/>
  <c r="AI144" i="4"/>
  <c r="AI82" i="4"/>
  <c r="AJ82" i="4"/>
  <c r="I82" i="4"/>
  <c r="J82" i="4" s="1"/>
  <c r="R82" i="4" s="1"/>
  <c r="S82" i="4" s="1"/>
  <c r="T82" i="4" s="1"/>
  <c r="AJ198" i="4"/>
  <c r="AJ149" i="4"/>
  <c r="AI149" i="4"/>
  <c r="AP149" i="4"/>
  <c r="AP51" i="4"/>
  <c r="I51" i="4"/>
  <c r="J51" i="4" s="1"/>
  <c r="R51" i="4" s="1"/>
  <c r="S51" i="4" s="1"/>
  <c r="T51" i="4" s="1"/>
  <c r="AP96" i="4"/>
  <c r="AI109" i="4"/>
  <c r="AP109" i="4"/>
  <c r="I109" i="4"/>
  <c r="B68" i="4" s="1"/>
  <c r="B69" i="4" s="1"/>
  <c r="AI37" i="4"/>
  <c r="I37" i="4"/>
  <c r="J37" i="4" s="1"/>
  <c r="X37" i="4" s="1"/>
  <c r="Y37" i="4" s="1"/>
  <c r="AJ37" i="4"/>
  <c r="AJ209" i="4"/>
  <c r="AJ87" i="4"/>
  <c r="AP87" i="4"/>
  <c r="I120" i="4"/>
  <c r="J120" i="4" s="1"/>
  <c r="U120" i="4" s="1"/>
  <c r="V120" i="4" s="1"/>
  <c r="W120" i="4" s="1"/>
  <c r="AP120" i="4"/>
  <c r="AI120" i="4"/>
  <c r="AI166" i="4"/>
  <c r="I166" i="4"/>
  <c r="J166" i="4" s="1"/>
  <c r="X166" i="4" s="1"/>
  <c r="Y166" i="4" s="1"/>
  <c r="AJ166" i="4"/>
  <c r="AI126" i="4"/>
  <c r="I126" i="4"/>
  <c r="J126" i="4" s="1"/>
  <c r="R126" i="4" s="1"/>
  <c r="S126" i="4" s="1"/>
  <c r="T126" i="4" s="1"/>
  <c r="AP13" i="4"/>
  <c r="I13" i="4"/>
  <c r="J13" i="4" s="1"/>
  <c r="R13" i="4" s="1"/>
  <c r="S13" i="4" s="1"/>
  <c r="T13" i="4" s="1"/>
  <c r="AI153" i="4"/>
  <c r="AP153" i="4"/>
  <c r="AJ145" i="4"/>
  <c r="AJ115" i="4"/>
  <c r="AI87" i="4"/>
  <c r="AP24" i="4"/>
  <c r="AP148" i="4"/>
  <c r="I148" i="4"/>
  <c r="J148" i="4" s="1"/>
  <c r="U148" i="4" s="1"/>
  <c r="V148" i="4" s="1"/>
  <c r="W148" i="4" s="1"/>
  <c r="AI148" i="4"/>
  <c r="AJ39" i="4"/>
  <c r="I39" i="4"/>
  <c r="J39" i="4" s="1"/>
  <c r="K39" i="4" s="1"/>
  <c r="AJ13" i="4"/>
  <c r="I87" i="4"/>
  <c r="J87" i="4" s="1"/>
  <c r="L87" i="4" s="1"/>
  <c r="AP170" i="4"/>
  <c r="I170" i="4"/>
  <c r="J170" i="4" s="1"/>
  <c r="U170" i="4" s="1"/>
  <c r="V170" i="4" s="1"/>
  <c r="W170" i="4" s="1"/>
  <c r="AI170" i="4"/>
  <c r="AI18" i="4"/>
  <c r="I18" i="4"/>
  <c r="J18" i="4" s="1"/>
  <c r="U18" i="4" s="1"/>
  <c r="V18" i="4" s="1"/>
  <c r="W18" i="4" s="1"/>
  <c r="AI117" i="4"/>
  <c r="AJ117" i="4"/>
  <c r="AP117" i="4"/>
  <c r="I117" i="4"/>
  <c r="J117" i="4" s="1"/>
  <c r="R117" i="4" s="1"/>
  <c r="S117" i="4" s="1"/>
  <c r="T117" i="4" s="1"/>
  <c r="AP123" i="4"/>
  <c r="AJ123" i="4"/>
  <c r="I123" i="4"/>
  <c r="J123" i="4" s="1"/>
  <c r="K123" i="4" s="1"/>
  <c r="AJ77" i="4"/>
  <c r="I77" i="4"/>
  <c r="J77" i="4" s="1"/>
  <c r="N77" i="4" s="1"/>
  <c r="O77" i="4" s="1"/>
  <c r="Q77" i="4" s="1"/>
  <c r="AP77" i="4"/>
  <c r="AI103" i="4"/>
  <c r="I103" i="4"/>
  <c r="J103" i="4" s="1"/>
  <c r="AD103" i="4" s="1"/>
  <c r="AP103" i="4"/>
  <c r="AI51" i="4"/>
  <c r="AP79" i="4"/>
  <c r="AJ79" i="4"/>
  <c r="I79" i="4"/>
  <c r="J79" i="4" s="1"/>
  <c r="K79" i="4" s="1"/>
  <c r="AJ51" i="4"/>
  <c r="AJ126" i="4"/>
  <c r="AP81" i="4"/>
  <c r="AJ119" i="4"/>
  <c r="AP119" i="4"/>
  <c r="AI79" i="4"/>
  <c r="AP192" i="4"/>
  <c r="AJ122" i="4"/>
  <c r="I192" i="4"/>
  <c r="J192" i="4" s="1"/>
  <c r="R192" i="4" s="1"/>
  <c r="S192" i="4" s="1"/>
  <c r="T192" i="4" s="1"/>
  <c r="AI13" i="4"/>
  <c r="AP42" i="4"/>
  <c r="I42" i="4"/>
  <c r="J42" i="4" s="1"/>
  <c r="L42" i="4" s="1"/>
  <c r="AB42" i="4" s="1"/>
  <c r="AJ10" i="4"/>
  <c r="I203" i="4"/>
  <c r="J203" i="4" s="1"/>
  <c r="AD203" i="4" s="1"/>
  <c r="AE203" i="4" s="1"/>
  <c r="AP39" i="4"/>
  <c r="AP206" i="4"/>
  <c r="AI162" i="4"/>
  <c r="I122" i="4"/>
  <c r="J122" i="4" s="1"/>
  <c r="R122" i="4" s="1"/>
  <c r="S122" i="4" s="1"/>
  <c r="T122" i="4" s="1"/>
  <c r="I185" i="4"/>
  <c r="J185" i="4" s="1"/>
  <c r="X185" i="4" s="1"/>
  <c r="Y185" i="4" s="1"/>
  <c r="AP203" i="4"/>
  <c r="AJ170" i="4"/>
  <c r="AI113" i="4"/>
  <c r="AJ185" i="4"/>
  <c r="AI157" i="4"/>
  <c r="AJ174" i="4"/>
  <c r="I43" i="4"/>
  <c r="J43" i="4" s="1"/>
  <c r="L43" i="4" s="1"/>
  <c r="I157" i="4"/>
  <c r="J157" i="4" s="1"/>
  <c r="X157" i="4" s="1"/>
  <c r="Y157" i="4" s="1"/>
  <c r="AJ121" i="4"/>
  <c r="AJ120" i="4"/>
  <c r="AP157" i="4"/>
  <c r="AJ132" i="4"/>
  <c r="AI115" i="4"/>
  <c r="I85" i="4"/>
  <c r="J85" i="4" s="1"/>
  <c r="K85" i="4" s="1"/>
  <c r="I149" i="4"/>
  <c r="J149" i="4" s="1"/>
  <c r="U149" i="4" s="1"/>
  <c r="V149" i="4" s="1"/>
  <c r="W149" i="4" s="1"/>
  <c r="AP30" i="4"/>
  <c r="AJ148" i="4"/>
  <c r="AP43" i="4"/>
  <c r="AJ162" i="4"/>
  <c r="AJ161" i="4"/>
  <c r="I30" i="4"/>
  <c r="J30" i="4" s="1"/>
  <c r="U30" i="4" s="1"/>
  <c r="V30" i="4" s="1"/>
  <c r="W30" i="4" s="1"/>
  <c r="AI42" i="4"/>
  <c r="I14" i="4"/>
  <c r="J14" i="4" s="1"/>
  <c r="R14" i="4" s="1"/>
  <c r="S14" i="4" s="1"/>
  <c r="T14" i="4" s="1"/>
  <c r="I161" i="4"/>
  <c r="J161" i="4" s="1"/>
  <c r="X161" i="4" s="1"/>
  <c r="Y161" i="4" s="1"/>
  <c r="AJ164" i="4"/>
  <c r="AI174" i="4"/>
  <c r="AI119" i="4"/>
  <c r="I81" i="4"/>
  <c r="J81" i="4" s="1"/>
  <c r="AD81" i="4" s="1"/>
  <c r="AP162" i="4"/>
  <c r="AI123" i="4"/>
  <c r="AI198" i="4"/>
  <c r="I130" i="4"/>
  <c r="J130" i="4" s="1"/>
  <c r="L130" i="4" s="1"/>
  <c r="M130" i="4" s="1"/>
  <c r="AA130" i="4" s="1"/>
  <c r="AJ110" i="4"/>
  <c r="AP110" i="4"/>
  <c r="AI110" i="4"/>
  <c r="AI179" i="4"/>
  <c r="I179" i="4"/>
  <c r="J179" i="4" s="1"/>
  <c r="N179" i="4" s="1"/>
  <c r="O179" i="4" s="1"/>
  <c r="Q179" i="4" s="1"/>
  <c r="AP179" i="4"/>
  <c r="I136" i="4"/>
  <c r="J136" i="4" s="1"/>
  <c r="U136" i="4" s="1"/>
  <c r="V136" i="4" s="1"/>
  <c r="W136" i="4" s="1"/>
  <c r="AJ136" i="4"/>
  <c r="I105" i="4"/>
  <c r="J105" i="4" s="1"/>
  <c r="N105" i="4" s="1"/>
  <c r="O105" i="4" s="1"/>
  <c r="Q105" i="4" s="1"/>
  <c r="AI105" i="4"/>
  <c r="AJ160" i="4"/>
  <c r="AI160" i="4"/>
  <c r="AP202" i="4"/>
  <c r="I202" i="4"/>
  <c r="J202" i="4" s="1"/>
  <c r="K202" i="4" s="1"/>
  <c r="AP61" i="4"/>
  <c r="I61" i="4"/>
  <c r="J61" i="4" s="1"/>
  <c r="K61" i="4" s="1"/>
  <c r="AI61" i="4"/>
  <c r="AJ61" i="4"/>
  <c r="I209" i="4"/>
  <c r="J209" i="4" s="1"/>
  <c r="K209" i="4" s="1"/>
  <c r="AI209" i="4"/>
  <c r="AI40" i="4"/>
  <c r="AP40" i="4"/>
  <c r="I106" i="4"/>
  <c r="J106" i="4" s="1"/>
  <c r="X106" i="4" s="1"/>
  <c r="Y106" i="4" s="1"/>
  <c r="AI106" i="4"/>
  <c r="AP106" i="4"/>
  <c r="AP176" i="4"/>
  <c r="AJ176" i="4"/>
  <c r="AJ24" i="4"/>
  <c r="I24" i="4"/>
  <c r="J24" i="4" s="1"/>
  <c r="AD24" i="4" s="1"/>
  <c r="AP207" i="4"/>
  <c r="I207" i="4"/>
  <c r="J207" i="4" s="1"/>
  <c r="AD207" i="4" s="1"/>
  <c r="AE207" i="4" s="1"/>
  <c r="AJ207" i="4"/>
  <c r="AJ202" i="4"/>
  <c r="AI12" i="4"/>
  <c r="AP12" i="4"/>
  <c r="AJ12" i="4"/>
  <c r="I167" i="4"/>
  <c r="J167" i="4" s="1"/>
  <c r="U167" i="4" s="1"/>
  <c r="V167" i="4" s="1"/>
  <c r="W167" i="4" s="1"/>
  <c r="AP167" i="4"/>
  <c r="AI167" i="4"/>
  <c r="I200" i="4"/>
  <c r="J200" i="4" s="1"/>
  <c r="X200" i="4" s="1"/>
  <c r="Y200" i="4" s="1"/>
  <c r="AI200" i="4"/>
  <c r="I17" i="4"/>
  <c r="J17" i="4" s="1"/>
  <c r="AD17" i="4" s="1"/>
  <c r="AI17" i="4"/>
  <c r="AJ17" i="4"/>
  <c r="AJ57" i="4"/>
  <c r="I57" i="4"/>
  <c r="J57" i="4" s="1"/>
  <c r="K57" i="4" s="1"/>
  <c r="AJ81" i="4"/>
  <c r="AP101" i="4"/>
  <c r="I176" i="4"/>
  <c r="J176" i="4" s="1"/>
  <c r="K176" i="4" s="1"/>
  <c r="AI176" i="4"/>
  <c r="AP105" i="4"/>
  <c r="I160" i="4"/>
  <c r="J160" i="4" s="1"/>
  <c r="L160" i="4" s="1"/>
  <c r="M160" i="4" s="1"/>
  <c r="AA160" i="4" s="1"/>
  <c r="AP126" i="4"/>
  <c r="AJ96" i="4"/>
  <c r="AI208" i="4"/>
  <c r="AP208" i="4"/>
  <c r="AP104" i="4"/>
  <c r="AJ104" i="4"/>
  <c r="AI104" i="4"/>
  <c r="I104" i="4"/>
  <c r="J104" i="4" s="1"/>
  <c r="R104" i="4" s="1"/>
  <c r="S104" i="4" s="1"/>
  <c r="T104" i="4" s="1"/>
  <c r="AJ200" i="4"/>
  <c r="AP185" i="4"/>
  <c r="AP205" i="4"/>
  <c r="I55" i="4"/>
  <c r="J55" i="4" s="1"/>
  <c r="U55" i="4" s="1"/>
  <c r="V55" i="4" s="1"/>
  <c r="W55" i="4" s="1"/>
  <c r="AP121" i="4"/>
  <c r="AI121" i="4"/>
  <c r="AI127" i="4"/>
  <c r="AJ127" i="4"/>
  <c r="AI30" i="4"/>
  <c r="AP18" i="4"/>
  <c r="AP82" i="4"/>
  <c r="AJ64" i="4"/>
  <c r="I64" i="4"/>
  <c r="J64" i="4" s="1"/>
  <c r="L64" i="4" s="1"/>
  <c r="AB64" i="4" s="1"/>
  <c r="AP64" i="4"/>
  <c r="AI64" i="4"/>
  <c r="AP200" i="4"/>
  <c r="I96" i="4"/>
  <c r="J96" i="4" s="1"/>
  <c r="K96" i="4" s="1"/>
  <c r="AI102" i="4"/>
  <c r="AJ102" i="4"/>
  <c r="AP132" i="4"/>
  <c r="AP160" i="4"/>
  <c r="AI77" i="4"/>
  <c r="AI207" i="4"/>
  <c r="AI161" i="4"/>
  <c r="AI196" i="4"/>
  <c r="AI199" i="4"/>
  <c r="AJ9" i="4"/>
  <c r="AI69" i="4"/>
  <c r="I69" i="4"/>
  <c r="J69" i="4" s="1"/>
  <c r="K69" i="4" s="1"/>
  <c r="I93" i="4"/>
  <c r="J93" i="4" s="1"/>
  <c r="K93" i="4" s="1"/>
  <c r="AJ75" i="4"/>
  <c r="AJ199" i="4"/>
  <c r="I36" i="4"/>
  <c r="J36" i="4" s="1"/>
  <c r="AD36" i="4" s="1"/>
  <c r="AE36" i="4" s="1"/>
  <c r="I47" i="4"/>
  <c r="J47" i="4" s="1"/>
  <c r="L47" i="4" s="1"/>
  <c r="AJ196" i="4"/>
  <c r="AI31" i="4"/>
  <c r="AP29" i="4"/>
  <c r="AP89" i="4"/>
  <c r="AP151" i="4"/>
  <c r="J343" i="3"/>
  <c r="J173" i="3"/>
  <c r="J375" i="3"/>
  <c r="J296" i="3"/>
  <c r="J568" i="3"/>
  <c r="J603" i="3"/>
  <c r="J609" i="3"/>
  <c r="J593" i="3"/>
  <c r="J254" i="3"/>
  <c r="J149" i="3"/>
  <c r="J564" i="3"/>
  <c r="J120" i="3"/>
  <c r="J300" i="3"/>
  <c r="J70" i="3"/>
  <c r="J157" i="3"/>
  <c r="J444" i="3"/>
  <c r="J591" i="3"/>
  <c r="J144" i="3"/>
  <c r="J97" i="3"/>
  <c r="J597" i="3"/>
  <c r="J669" i="3"/>
  <c r="J80" i="3"/>
  <c r="J21" i="3"/>
  <c r="J432" i="3"/>
  <c r="J205" i="3"/>
  <c r="J106" i="3"/>
  <c r="J540" i="3"/>
  <c r="J466" i="3"/>
  <c r="J94" i="3"/>
  <c r="J478" i="3"/>
  <c r="J162" i="3"/>
  <c r="J134" i="3"/>
  <c r="J513" i="3"/>
  <c r="J353" i="3"/>
  <c r="J284" i="3"/>
  <c r="J335" i="3"/>
  <c r="J363" i="3"/>
  <c r="J675" i="3"/>
  <c r="J147" i="3"/>
  <c r="J28" i="3"/>
  <c r="J64" i="3"/>
  <c r="J373" i="3"/>
  <c r="J86" i="3"/>
  <c r="J252" i="3"/>
  <c r="J665" i="3"/>
  <c r="J85" i="3"/>
  <c r="J622" i="3"/>
  <c r="J256" i="3"/>
  <c r="J558" i="3"/>
  <c r="J110" i="3"/>
  <c r="J39" i="3"/>
  <c r="J20" i="3"/>
  <c r="J111" i="3"/>
  <c r="J184" i="3"/>
  <c r="J419" i="3"/>
  <c r="J14" i="3"/>
  <c r="J638" i="3"/>
  <c r="J237" i="3"/>
  <c r="J599" i="3"/>
  <c r="J413" i="3"/>
  <c r="J453" i="3"/>
  <c r="J682" i="3"/>
  <c r="J391" i="3"/>
  <c r="J81" i="3"/>
  <c r="J461" i="3"/>
  <c r="J633" i="3"/>
  <c r="J548" i="3"/>
  <c r="J332" i="3"/>
  <c r="J146" i="3"/>
  <c r="J187" i="3"/>
  <c r="J79" i="3"/>
  <c r="J89" i="3"/>
  <c r="J82" i="3"/>
  <c r="J495" i="3"/>
  <c r="J153" i="3"/>
  <c r="AN119" i="4"/>
  <c r="AN138" i="4"/>
  <c r="J465" i="3"/>
  <c r="J485" i="3"/>
  <c r="J502" i="3"/>
  <c r="J84" i="3"/>
  <c r="J429" i="3"/>
  <c r="J169" i="3"/>
  <c r="J203" i="3"/>
  <c r="J340" i="3"/>
  <c r="AN137" i="4"/>
  <c r="J18" i="3"/>
  <c r="J191" i="3"/>
  <c r="J12" i="3"/>
  <c r="J546" i="3"/>
  <c r="J655" i="3"/>
  <c r="J383" i="3"/>
  <c r="J270" i="3"/>
  <c r="J602" i="3"/>
  <c r="J269" i="3"/>
  <c r="J72" i="3"/>
  <c r="J376" i="3"/>
  <c r="J302" i="3"/>
  <c r="J239" i="3"/>
  <c r="J476" i="3"/>
  <c r="J592" i="3"/>
  <c r="J588" i="3"/>
  <c r="AN39" i="4"/>
  <c r="AN11" i="4"/>
  <c r="J304" i="3"/>
  <c r="J422" i="3"/>
  <c r="J199" i="3"/>
  <c r="J43" i="3"/>
  <c r="J264" i="3"/>
  <c r="J658" i="3"/>
  <c r="J519" i="3"/>
  <c r="J361" i="3"/>
  <c r="J47" i="3"/>
  <c r="J652" i="3"/>
  <c r="J235" i="3"/>
  <c r="J498" i="3"/>
  <c r="J279" i="3"/>
  <c r="J37" i="3"/>
  <c r="J32" i="3"/>
  <c r="J331" i="3"/>
  <c r="J25" i="3"/>
  <c r="J262" i="3"/>
  <c r="J534" i="3"/>
  <c r="D17" i="3"/>
  <c r="C10" i="3"/>
  <c r="D13" i="3"/>
  <c r="C30" i="3"/>
  <c r="C18" i="3"/>
  <c r="D27" i="3"/>
  <c r="C32" i="3"/>
  <c r="D14" i="3"/>
  <c r="D23" i="3"/>
  <c r="D30" i="3"/>
  <c r="A682" i="3"/>
  <c r="D682" i="3" s="1"/>
  <c r="C34" i="3"/>
  <c r="C13" i="3"/>
  <c r="D9" i="3"/>
  <c r="C9" i="3"/>
  <c r="C11" i="3"/>
  <c r="D11" i="3"/>
  <c r="D22" i="3"/>
  <c r="D20" i="3"/>
  <c r="D33" i="3"/>
  <c r="D16" i="3"/>
  <c r="D21" i="3"/>
  <c r="D15" i="3"/>
  <c r="C24" i="3"/>
  <c r="C21" i="3"/>
  <c r="C27" i="3"/>
  <c r="D12" i="3"/>
  <c r="D36" i="3"/>
  <c r="AP22" i="4"/>
  <c r="AI22" i="4"/>
  <c r="I22" i="4"/>
  <c r="J22" i="4" s="1"/>
  <c r="K22" i="4" s="1"/>
  <c r="I184" i="4"/>
  <c r="J184" i="4" s="1"/>
  <c r="L184" i="4" s="1"/>
  <c r="M184" i="4" s="1"/>
  <c r="AA184" i="4" s="1"/>
  <c r="AP184" i="4"/>
  <c r="AI184" i="4"/>
  <c r="AP53" i="4"/>
  <c r="AJ53" i="4"/>
  <c r="AI53" i="4"/>
  <c r="I53" i="4"/>
  <c r="J53" i="4" s="1"/>
  <c r="AD53" i="4" s="1"/>
  <c r="I20" i="4"/>
  <c r="J20" i="4" s="1"/>
  <c r="U20" i="4" s="1"/>
  <c r="V20" i="4" s="1"/>
  <c r="W20" i="4" s="1"/>
  <c r="AI20" i="4"/>
  <c r="AJ20" i="4"/>
  <c r="AP20" i="4"/>
  <c r="AJ131" i="4"/>
  <c r="AI131" i="4"/>
  <c r="AP131" i="4"/>
  <c r="I131" i="4"/>
  <c r="J131" i="4" s="1"/>
  <c r="X131" i="4" s="1"/>
  <c r="Y131" i="4" s="1"/>
  <c r="AI35" i="4"/>
  <c r="AP35" i="4"/>
  <c r="AJ35" i="4"/>
  <c r="I35" i="4"/>
  <c r="J35" i="4" s="1"/>
  <c r="K35" i="4" s="1"/>
  <c r="AJ178" i="4"/>
  <c r="AP178" i="4"/>
  <c r="AI178" i="4"/>
  <c r="I178" i="4"/>
  <c r="J178" i="4" s="1"/>
  <c r="K178" i="4" s="1"/>
  <c r="AJ27" i="4"/>
  <c r="I27" i="4"/>
  <c r="J27" i="4" s="1"/>
  <c r="R27" i="4" s="1"/>
  <c r="S27" i="4" s="1"/>
  <c r="T27" i="4" s="1"/>
  <c r="AI27" i="4"/>
  <c r="AP27" i="4"/>
  <c r="AP201" i="4"/>
  <c r="I201" i="4"/>
  <c r="J201" i="4" s="1"/>
  <c r="L201" i="4" s="1"/>
  <c r="M201" i="4" s="1"/>
  <c r="AA201" i="4" s="1"/>
  <c r="AJ201" i="4"/>
  <c r="AI201" i="4"/>
  <c r="AJ98" i="4"/>
  <c r="AI98" i="4"/>
  <c r="I98" i="4"/>
  <c r="J98" i="4" s="1"/>
  <c r="N98" i="4" s="1"/>
  <c r="O98" i="4" s="1"/>
  <c r="Q98" i="4" s="1"/>
  <c r="AP98" i="4"/>
  <c r="AI125" i="4"/>
  <c r="AJ125" i="4"/>
  <c r="I125" i="4"/>
  <c r="J125" i="4" s="1"/>
  <c r="R125" i="4" s="1"/>
  <c r="S125" i="4" s="1"/>
  <c r="T125" i="4" s="1"/>
  <c r="AJ73" i="4"/>
  <c r="AP73" i="4"/>
  <c r="I73" i="4"/>
  <c r="J73" i="4" s="1"/>
  <c r="X73" i="4" s="1"/>
  <c r="Y73" i="4" s="1"/>
  <c r="AI73" i="4"/>
  <c r="AI180" i="4"/>
  <c r="AJ180" i="4"/>
  <c r="AP88" i="4"/>
  <c r="I88" i="4"/>
  <c r="J88" i="4" s="1"/>
  <c r="N88" i="4" s="1"/>
  <c r="O88" i="4" s="1"/>
  <c r="Q88" i="4" s="1"/>
  <c r="AI181" i="4"/>
  <c r="AP181" i="4"/>
  <c r="AJ195" i="4"/>
  <c r="AI195" i="4"/>
  <c r="AP177" i="4"/>
  <c r="I177" i="4"/>
  <c r="J177" i="4" s="1"/>
  <c r="K177" i="4" s="1"/>
  <c r="AP138" i="4"/>
  <c r="AP165" i="4"/>
  <c r="I165" i="4"/>
  <c r="J165" i="4" s="1"/>
  <c r="R165" i="4" s="1"/>
  <c r="S165" i="4" s="1"/>
  <c r="T165" i="4" s="1"/>
  <c r="AP129" i="4"/>
  <c r="I52" i="4"/>
  <c r="J52" i="4" s="1"/>
  <c r="X52" i="4" s="1"/>
  <c r="Y52" i="4" s="1"/>
  <c r="AP52" i="4"/>
  <c r="AI52" i="4"/>
  <c r="AP48" i="4"/>
  <c r="AI48" i="4"/>
  <c r="AJ181" i="4"/>
  <c r="AP197" i="4"/>
  <c r="AI197" i="4"/>
  <c r="I187" i="4"/>
  <c r="J187" i="4" s="1"/>
  <c r="N187" i="4" s="1"/>
  <c r="O187" i="4" s="1"/>
  <c r="Q187" i="4" s="1"/>
  <c r="AP187" i="4"/>
  <c r="AJ36" i="4"/>
  <c r="AP25" i="4"/>
  <c r="I182" i="4"/>
  <c r="J182" i="4" s="1"/>
  <c r="U182" i="4" s="1"/>
  <c r="V182" i="4" s="1"/>
  <c r="W182" i="4" s="1"/>
  <c r="AI190" i="4"/>
  <c r="I190" i="4"/>
  <c r="J190" i="4" s="1"/>
  <c r="U190" i="4" s="1"/>
  <c r="V190" i="4" s="1"/>
  <c r="W190" i="4" s="1"/>
  <c r="I9" i="4"/>
  <c r="J9" i="4" s="1"/>
  <c r="U9" i="4" s="1"/>
  <c r="V9" i="4" s="1"/>
  <c r="W9" i="4" s="1"/>
  <c r="AI90" i="4"/>
  <c r="AP142" i="4"/>
  <c r="AP190" i="4"/>
  <c r="AP32" i="4"/>
  <c r="AI32" i="4"/>
  <c r="AJ49" i="4"/>
  <c r="AJ32" i="4"/>
  <c r="AI114" i="4"/>
  <c r="AJ159" i="4"/>
  <c r="AI159" i="4"/>
  <c r="I141" i="4"/>
  <c r="J141" i="4" s="1"/>
  <c r="X141" i="4" s="1"/>
  <c r="Y141" i="4" s="1"/>
  <c r="AJ193" i="4"/>
  <c r="AJ152" i="4"/>
  <c r="I71" i="4"/>
  <c r="J71" i="4" s="1"/>
  <c r="L71" i="4" s="1"/>
  <c r="I173" i="4"/>
  <c r="J173" i="4" s="1"/>
  <c r="AD173" i="4" s="1"/>
  <c r="AE173" i="4" s="1"/>
  <c r="AJ143" i="4"/>
  <c r="AI25" i="4"/>
  <c r="AJ150" i="4"/>
  <c r="I99" i="4"/>
  <c r="J99" i="4" s="1"/>
  <c r="X99" i="4" s="1"/>
  <c r="Y99" i="4" s="1"/>
  <c r="AP99" i="4"/>
  <c r="AI187" i="4"/>
  <c r="AJ16" i="4"/>
  <c r="AP16" i="4"/>
  <c r="I145" i="4"/>
  <c r="J145" i="4" s="1"/>
  <c r="AD145" i="4" s="1"/>
  <c r="AE145" i="4" s="1"/>
  <c r="AJ44" i="4"/>
  <c r="AJ28" i="4"/>
  <c r="I28" i="4"/>
  <c r="J28" i="4" s="1"/>
  <c r="R28" i="4" s="1"/>
  <c r="S28" i="4" s="1"/>
  <c r="T28" i="4" s="1"/>
  <c r="AI189" i="4"/>
  <c r="I189" i="4"/>
  <c r="J189" i="4" s="1"/>
  <c r="N189" i="4" s="1"/>
  <c r="O189" i="4" s="1"/>
  <c r="Q189" i="4" s="1"/>
  <c r="AJ189" i="4"/>
  <c r="AI168" i="4"/>
  <c r="AJ88" i="4"/>
  <c r="AP195" i="4"/>
  <c r="AP44" i="4"/>
  <c r="AP168" i="4"/>
  <c r="AP180" i="4"/>
  <c r="AI93" i="4"/>
  <c r="AP143" i="4"/>
  <c r="AI84" i="4"/>
  <c r="AI134" i="4"/>
  <c r="I143" i="4"/>
  <c r="J143" i="4" s="1"/>
  <c r="N143" i="4" s="1"/>
  <c r="O143" i="4" s="1"/>
  <c r="Q143" i="4" s="1"/>
  <c r="I151" i="4"/>
  <c r="J151" i="4" s="1"/>
  <c r="L151" i="4" s="1"/>
  <c r="M151" i="4" s="1"/>
  <c r="AA151" i="4" s="1"/>
  <c r="AI150" i="4"/>
  <c r="AI56" i="4"/>
  <c r="AJ85" i="4"/>
  <c r="AI202" i="4"/>
  <c r="I110" i="4"/>
  <c r="J110" i="4" s="1"/>
  <c r="L110" i="4" s="1"/>
  <c r="AB110" i="4" s="1"/>
  <c r="AI72" i="4"/>
  <c r="AI99" i="4"/>
  <c r="AJ137" i="4"/>
  <c r="I135" i="4"/>
  <c r="J135" i="4" s="1"/>
  <c r="R135" i="4" s="1"/>
  <c r="S135" i="4" s="1"/>
  <c r="T135" i="4" s="1"/>
  <c r="I84" i="4"/>
  <c r="J84" i="4" s="1"/>
  <c r="K84" i="4" s="1"/>
  <c r="AI137" i="4"/>
  <c r="AP198" i="4"/>
  <c r="I48" i="4"/>
  <c r="J48" i="4" s="1"/>
  <c r="N48" i="4" s="1"/>
  <c r="O48" i="4" s="1"/>
  <c r="Q48" i="4" s="1"/>
  <c r="AI175" i="4"/>
  <c r="AI15" i="4"/>
  <c r="AI177" i="4"/>
  <c r="AI97" i="4"/>
  <c r="AP86" i="4"/>
  <c r="AP11" i="4"/>
  <c r="AI136" i="4"/>
  <c r="AJ48" i="4"/>
  <c r="AJ112" i="4"/>
  <c r="AP49" i="4"/>
  <c r="AI71" i="4"/>
  <c r="AP71" i="4"/>
  <c r="AI118" i="4"/>
  <c r="AP118" i="4"/>
  <c r="AI138" i="4"/>
  <c r="AP135" i="4"/>
  <c r="AJ135" i="4"/>
  <c r="AI36" i="4"/>
  <c r="AJ138" i="4"/>
  <c r="I180" i="4"/>
  <c r="J180" i="4" s="1"/>
  <c r="K180" i="4" s="1"/>
  <c r="AI186" i="4"/>
  <c r="AP186" i="4"/>
  <c r="AJ78" i="4"/>
  <c r="I78" i="4"/>
  <c r="J78" i="4" s="1"/>
  <c r="X78" i="4" s="1"/>
  <c r="Y78" i="4" s="1"/>
  <c r="AP9" i="4"/>
  <c r="AP31" i="4"/>
  <c r="AJ133" i="4"/>
  <c r="AP133" i="4"/>
  <c r="AI133" i="4"/>
  <c r="I133" i="4"/>
  <c r="J133" i="4" s="1"/>
  <c r="N133" i="4" s="1"/>
  <c r="O133" i="4" s="1"/>
  <c r="Q133" i="4" s="1"/>
  <c r="AP19" i="4"/>
  <c r="I19" i="4"/>
  <c r="J19" i="4" s="1"/>
  <c r="N19" i="4" s="1"/>
  <c r="O19" i="4" s="1"/>
  <c r="Q19" i="4" s="1"/>
  <c r="AJ19" i="4"/>
  <c r="AJ63" i="4"/>
  <c r="I63" i="4"/>
  <c r="J63" i="4" s="1"/>
  <c r="L63" i="4" s="1"/>
  <c r="M63" i="4" s="1"/>
  <c r="AA63" i="4" s="1"/>
  <c r="AJ165" i="4"/>
  <c r="I107" i="4"/>
  <c r="J107" i="4" s="1"/>
  <c r="AD107" i="4" s="1"/>
  <c r="AJ107" i="4"/>
  <c r="AJ45" i="4"/>
  <c r="AI45" i="4"/>
  <c r="AP45" i="4"/>
  <c r="AJ68" i="4"/>
  <c r="AJ69" i="4"/>
  <c r="I23" i="4"/>
  <c r="J23" i="4" s="1"/>
  <c r="U23" i="4" s="1"/>
  <c r="V23" i="4" s="1"/>
  <c r="W23" i="4" s="1"/>
  <c r="AI23" i="4"/>
  <c r="AI165" i="4"/>
  <c r="AJ90" i="4"/>
  <c r="AI182" i="4"/>
  <c r="AP128" i="4"/>
  <c r="AP59" i="4"/>
  <c r="AI59" i="4"/>
  <c r="AI141" i="4"/>
  <c r="AI63" i="4"/>
  <c r="AJ72" i="4"/>
  <c r="I100" i="4"/>
  <c r="J100" i="4" s="1"/>
  <c r="K100" i="4" s="1"/>
  <c r="AI101" i="4"/>
  <c r="AJ101" i="4"/>
  <c r="AP68" i="4"/>
  <c r="AJ52" i="4"/>
  <c r="AJ175" i="4"/>
  <c r="I144" i="4"/>
  <c r="J144" i="4" s="1"/>
  <c r="K144" i="4" s="1"/>
  <c r="AJ144" i="4"/>
  <c r="I169" i="4"/>
  <c r="J169" i="4" s="1"/>
  <c r="N169" i="4" s="1"/>
  <c r="O169" i="4" s="1"/>
  <c r="Q169" i="4" s="1"/>
  <c r="AP169" i="4"/>
  <c r="AI169" i="4"/>
  <c r="AJ15" i="4"/>
  <c r="AI29" i="4"/>
  <c r="AI128" i="4"/>
  <c r="I72" i="4"/>
  <c r="J72" i="4" s="1"/>
  <c r="N72" i="4" s="1"/>
  <c r="O72" i="4" s="1"/>
  <c r="Q72" i="4" s="1"/>
  <c r="AP93" i="4"/>
  <c r="I89" i="4"/>
  <c r="J89" i="4" s="1"/>
  <c r="AD89" i="4" s="1"/>
  <c r="I158" i="4"/>
  <c r="J158" i="4" s="1"/>
  <c r="R158" i="4" s="1"/>
  <c r="S158" i="4" s="1"/>
  <c r="T158" i="4" s="1"/>
  <c r="AJ158" i="4"/>
  <c r="AI130" i="4"/>
  <c r="AP130" i="4"/>
  <c r="I41" i="4"/>
  <c r="J41" i="4" s="1"/>
  <c r="AD41" i="4" s="1"/>
  <c r="I16" i="4"/>
  <c r="J16" i="4" s="1"/>
  <c r="R16" i="4" s="1"/>
  <c r="S16" i="4" s="1"/>
  <c r="T16" i="4" s="1"/>
  <c r="AP41" i="4"/>
  <c r="AJ59" i="4"/>
  <c r="I195" i="4"/>
  <c r="J195" i="4" s="1"/>
  <c r="U195" i="4" s="1"/>
  <c r="V195" i="4" s="1"/>
  <c r="W195" i="4" s="1"/>
  <c r="AP175" i="4"/>
  <c r="AP56" i="4"/>
  <c r="I168" i="4"/>
  <c r="J168" i="4" s="1"/>
  <c r="R168" i="4" s="1"/>
  <c r="S168" i="4" s="1"/>
  <c r="T168" i="4" s="1"/>
  <c r="I142" i="4"/>
  <c r="J142" i="4" s="1"/>
  <c r="U142" i="4" s="1"/>
  <c r="V142" i="4" s="1"/>
  <c r="W142" i="4" s="1"/>
  <c r="AP145" i="4"/>
  <c r="AI65" i="4"/>
  <c r="AJ118" i="4"/>
  <c r="AP173" i="4"/>
  <c r="I59" i="4"/>
  <c r="J59" i="4" s="1"/>
  <c r="K59" i="4" s="1"/>
  <c r="AI78" i="4"/>
  <c r="AI107" i="4"/>
  <c r="AI142" i="4"/>
  <c r="I86" i="4"/>
  <c r="J86" i="4" s="1"/>
  <c r="AD86" i="4" s="1"/>
  <c r="AE86" i="4" s="1"/>
  <c r="AJ29" i="4"/>
  <c r="AI129" i="4"/>
  <c r="I118" i="4"/>
  <c r="J118" i="4" s="1"/>
  <c r="N118" i="4" s="1"/>
  <c r="O118" i="4" s="1"/>
  <c r="Q118" i="4" s="1"/>
  <c r="AP78" i="4"/>
  <c r="I181" i="4"/>
  <c r="J181" i="4" s="1"/>
  <c r="AD181" i="4" s="1"/>
  <c r="AE181" i="4" s="1"/>
  <c r="AP182" i="4"/>
  <c r="AP10" i="4"/>
  <c r="AP112" i="4"/>
  <c r="AJ105" i="4"/>
  <c r="AJ179" i="4"/>
  <c r="AJ11" i="4"/>
  <c r="AI68" i="4"/>
  <c r="I186" i="4"/>
  <c r="J186" i="4" s="1"/>
  <c r="L186" i="4" s="1"/>
  <c r="M186" i="4" s="1"/>
  <c r="AA186" i="4" s="1"/>
  <c r="AP28" i="4"/>
  <c r="AI14" i="4"/>
  <c r="I40" i="4"/>
  <c r="J40" i="4" s="1"/>
  <c r="U40" i="4" s="1"/>
  <c r="V40" i="4" s="1"/>
  <c r="W40" i="4" s="1"/>
  <c r="AJ40" i="4"/>
  <c r="AJ106" i="4"/>
  <c r="AI57" i="4"/>
  <c r="AP37" i="4"/>
  <c r="AP113" i="4"/>
  <c r="AP57" i="4"/>
  <c r="AJ14" i="4"/>
  <c r="AP166" i="4"/>
  <c r="I12" i="4"/>
  <c r="J12" i="4" s="1"/>
  <c r="K12" i="4" s="1"/>
  <c r="B72" i="4"/>
  <c r="B45" i="4"/>
  <c r="B73" i="4"/>
  <c r="B216" i="2"/>
  <c r="B153" i="2"/>
  <c r="B146" i="2" s="1"/>
  <c r="E59" i="1" s="1"/>
  <c r="AN136" i="4"/>
  <c r="AN85" i="4"/>
  <c r="AN59" i="4"/>
  <c r="AN196" i="4"/>
  <c r="J387" i="3"/>
  <c r="J29" i="3"/>
  <c r="J11" i="3"/>
  <c r="J401" i="3"/>
  <c r="J656" i="3"/>
  <c r="J274" i="3"/>
  <c r="J518" i="3"/>
  <c r="J621" i="3"/>
  <c r="J42" i="3"/>
  <c r="J185" i="3"/>
  <c r="J229" i="3"/>
  <c r="J95" i="3"/>
  <c r="J474" i="3"/>
  <c r="J672" i="3"/>
  <c r="J606" i="3"/>
  <c r="AN108" i="4"/>
  <c r="AN15" i="4"/>
  <c r="J204" i="3"/>
  <c r="J156" i="3"/>
  <c r="J225" i="3"/>
  <c r="J629" i="3"/>
  <c r="J53" i="3"/>
  <c r="J645" i="3"/>
  <c r="J589" i="3"/>
  <c r="J139" i="3"/>
  <c r="J231" i="3"/>
  <c r="J572" i="3"/>
  <c r="J507" i="3"/>
  <c r="J268" i="3"/>
  <c r="J327" i="3"/>
  <c r="J670" i="3"/>
  <c r="J54" i="3"/>
  <c r="AN124" i="4"/>
  <c r="AN82" i="4"/>
  <c r="AN197" i="4"/>
  <c r="AN143" i="4"/>
  <c r="AN159" i="4"/>
  <c r="J210" i="3"/>
  <c r="J688" i="3"/>
  <c r="J200" i="3"/>
  <c r="J222" i="3"/>
  <c r="J671" i="3"/>
  <c r="J342" i="3"/>
  <c r="J398" i="3"/>
  <c r="J291" i="3"/>
  <c r="J98" i="3"/>
  <c r="J636" i="3"/>
  <c r="J527" i="3"/>
  <c r="J648" i="3"/>
  <c r="J333" i="3"/>
  <c r="J582" i="3"/>
  <c r="J594" i="3"/>
  <c r="J350" i="3"/>
  <c r="J45" i="3"/>
  <c r="J514" i="3"/>
  <c r="J464" i="3"/>
  <c r="J253" i="3"/>
  <c r="J392" i="3"/>
  <c r="AN22" i="4"/>
  <c r="AN130" i="4"/>
  <c r="J355" i="3"/>
  <c r="J113" i="3"/>
  <c r="J286" i="3"/>
  <c r="J535" i="3"/>
  <c r="J536" i="3"/>
  <c r="J34" i="3"/>
  <c r="J496" i="3"/>
  <c r="J459" i="3"/>
  <c r="J41" i="3"/>
  <c r="J525" i="3"/>
  <c r="J620" i="3"/>
  <c r="J310" i="3"/>
  <c r="J132" i="3"/>
  <c r="J357" i="3"/>
  <c r="J186" i="3"/>
  <c r="AN156" i="4"/>
  <c r="AN139" i="4"/>
  <c r="J211" i="3"/>
  <c r="J598" i="3"/>
  <c r="J307" i="3"/>
  <c r="J198" i="3"/>
  <c r="J194" i="3"/>
  <c r="J158" i="3"/>
  <c r="J545" i="3"/>
  <c r="J105" i="3"/>
  <c r="J406" i="3"/>
  <c r="AN164" i="4"/>
  <c r="J581" i="3"/>
  <c r="J475" i="3"/>
  <c r="J214" i="3"/>
  <c r="J615" i="3"/>
  <c r="J407" i="3"/>
  <c r="AN129" i="4"/>
  <c r="J192" i="3"/>
  <c r="J138" i="3"/>
  <c r="J241" i="3"/>
  <c r="J394" i="3"/>
  <c r="J315" i="3"/>
  <c r="J455" i="3"/>
  <c r="J104" i="3"/>
  <c r="J486" i="3"/>
  <c r="J449" i="3"/>
  <c r="J125" i="3"/>
  <c r="J388" i="3"/>
  <c r="J170" i="3"/>
  <c r="J13" i="3"/>
  <c r="J317" i="3"/>
  <c r="J537" i="3"/>
  <c r="J400" i="3"/>
  <c r="J290" i="3"/>
  <c r="J360" i="3"/>
  <c r="J511" i="3"/>
  <c r="J469" i="3"/>
  <c r="J528" i="3"/>
  <c r="J547" i="3"/>
  <c r="J404" i="3"/>
  <c r="J159" i="3"/>
  <c r="J487" i="3"/>
  <c r="J265" i="3"/>
  <c r="J325" i="3"/>
  <c r="J56" i="3"/>
  <c r="AN61" i="4"/>
  <c r="AN106" i="4"/>
  <c r="J439" i="3"/>
  <c r="J161" i="3"/>
  <c r="J418" i="3"/>
  <c r="J362" i="3"/>
  <c r="AN189" i="4"/>
  <c r="J165" i="3"/>
  <c r="J119" i="3"/>
  <c r="AN74" i="4"/>
  <c r="AN202" i="4"/>
  <c r="AN93" i="4"/>
  <c r="J550" i="3"/>
  <c r="J55" i="3"/>
  <c r="AN141" i="4"/>
  <c r="AN98" i="4"/>
  <c r="AN67" i="4"/>
  <c r="AN16" i="4"/>
  <c r="AN36" i="4"/>
  <c r="J250" i="3"/>
  <c r="J15" i="3"/>
  <c r="AN90" i="4"/>
  <c r="AN135" i="4"/>
  <c r="J341" i="3"/>
  <c r="J255" i="3"/>
  <c r="J135" i="3"/>
  <c r="J62" i="3"/>
  <c r="J57" i="3"/>
  <c r="J318" i="3"/>
  <c r="J100" i="3"/>
  <c r="J323" i="3"/>
  <c r="J183" i="3"/>
  <c r="J510" i="3"/>
  <c r="J329" i="3"/>
  <c r="J320" i="3"/>
  <c r="J257" i="3"/>
  <c r="J382" i="3"/>
  <c r="J626" i="3"/>
  <c r="J228" i="3"/>
  <c r="J661" i="3"/>
  <c r="AN151" i="4"/>
  <c r="J430" i="3"/>
  <c r="J542" i="3"/>
  <c r="J177" i="3"/>
  <c r="AN13" i="4"/>
  <c r="AN176" i="4"/>
  <c r="AN133" i="4"/>
  <c r="J359" i="3"/>
  <c r="J230" i="3"/>
  <c r="J590" i="3"/>
  <c r="J501" i="3"/>
  <c r="J23" i="3"/>
  <c r="J574" i="3"/>
  <c r="J227" i="3"/>
  <c r="J180" i="3"/>
  <c r="J52" i="3"/>
  <c r="J604" i="3"/>
  <c r="J50" i="3"/>
  <c r="J295" i="3"/>
  <c r="J448" i="3"/>
  <c r="J283" i="3"/>
  <c r="AN12" i="4"/>
  <c r="AN91" i="4"/>
  <c r="AN40" i="4"/>
  <c r="AN77" i="4"/>
  <c r="AN58" i="4"/>
  <c r="AN155" i="4"/>
  <c r="AN48" i="4"/>
  <c r="AN182" i="4"/>
  <c r="AN32" i="4"/>
  <c r="AN101" i="4"/>
  <c r="AN95" i="4"/>
  <c r="J136" i="3"/>
  <c r="J267" i="3"/>
  <c r="J206" i="3"/>
  <c r="J368" i="3"/>
  <c r="J627" i="3"/>
  <c r="J244" i="3"/>
  <c r="J179" i="3"/>
  <c r="J208" i="3"/>
  <c r="J122" i="3"/>
  <c r="J330" i="3"/>
  <c r="J174" i="3"/>
  <c r="J338" i="3"/>
  <c r="J405" i="3"/>
  <c r="J458" i="3"/>
  <c r="J224" i="3"/>
  <c r="J38" i="3"/>
  <c r="J385" i="3"/>
  <c r="J354" i="3"/>
  <c r="J299" i="3"/>
  <c r="J630" i="3"/>
  <c r="J412" i="3"/>
  <c r="J544" i="3"/>
  <c r="J642" i="3"/>
  <c r="J30" i="3"/>
  <c r="J285" i="3"/>
  <c r="J639" i="3"/>
  <c r="J324" i="3"/>
  <c r="J260" i="3"/>
  <c r="J395" i="3"/>
  <c r="J516" i="3"/>
  <c r="J251" i="3"/>
  <c r="J129" i="3"/>
  <c r="J10" i="3"/>
  <c r="J687" i="3"/>
  <c r="J667" i="3"/>
  <c r="J456" i="3"/>
  <c r="J577" i="3"/>
  <c r="J488" i="3"/>
  <c r="J573" i="3"/>
  <c r="J190" i="3"/>
  <c r="J308" i="3"/>
  <c r="J524" i="3"/>
  <c r="J617" i="3"/>
  <c r="J349" i="3"/>
  <c r="J403" i="3"/>
  <c r="J91" i="3"/>
  <c r="J499" i="3"/>
  <c r="J555" i="3"/>
  <c r="J92" i="3"/>
  <c r="J182" i="3"/>
  <c r="J175" i="3"/>
  <c r="J128" i="3"/>
  <c r="J509" i="3"/>
  <c r="J336" i="3"/>
  <c r="J219" i="3"/>
  <c r="J189" i="3"/>
  <c r="J683" i="3"/>
  <c r="J650" i="3"/>
  <c r="J117" i="3"/>
  <c r="J305" i="3"/>
  <c r="J659" i="3"/>
  <c r="J493" i="3"/>
  <c r="J624" i="3"/>
  <c r="J345" i="3"/>
  <c r="J168" i="3"/>
  <c r="J93" i="3"/>
  <c r="J306" i="3"/>
  <c r="J389" i="3"/>
  <c r="J126" i="3"/>
  <c r="J201" i="3"/>
  <c r="J415" i="3"/>
  <c r="J575" i="3"/>
  <c r="J393" i="3"/>
  <c r="J116" i="3"/>
  <c r="J647" i="3"/>
  <c r="J35" i="3"/>
  <c r="J447" i="3"/>
  <c r="J367" i="3"/>
  <c r="J649" i="3"/>
  <c r="J484" i="3"/>
  <c r="J522" i="3"/>
  <c r="J554" i="3"/>
  <c r="J321" i="3"/>
  <c r="J197" i="3"/>
  <c r="J384" i="3"/>
  <c r="J637" i="3"/>
  <c r="J684" i="3"/>
  <c r="J337" i="3"/>
  <c r="J494" i="3"/>
  <c r="J442" i="3"/>
  <c r="J63" i="3"/>
  <c r="J238" i="3"/>
  <c r="J220" i="3"/>
  <c r="J150" i="3"/>
  <c r="J635" i="3"/>
  <c r="J96" i="3"/>
  <c r="J67" i="3"/>
  <c r="J131" i="3"/>
  <c r="J60" i="3"/>
  <c r="J152" i="3"/>
  <c r="J287" i="3"/>
  <c r="J259" i="3"/>
  <c r="J277" i="3"/>
  <c r="J68" i="3"/>
  <c r="J319" i="3"/>
  <c r="J618" i="3"/>
  <c r="J115" i="3"/>
  <c r="J176" i="3"/>
  <c r="J154" i="3"/>
  <c r="J44" i="3"/>
  <c r="J557" i="3"/>
  <c r="J293" i="3"/>
  <c r="J193" i="3"/>
  <c r="J261" i="3"/>
  <c r="J59" i="3"/>
  <c r="J276" i="3"/>
  <c r="AN43" i="4"/>
  <c r="AN194" i="4"/>
  <c r="AN190" i="4"/>
  <c r="AN191" i="4"/>
  <c r="J16" i="3"/>
  <c r="J124" i="3"/>
  <c r="J19" i="3"/>
  <c r="J266" i="3"/>
  <c r="J460" i="3"/>
  <c r="J66" i="3"/>
  <c r="J249" i="3"/>
  <c r="J431" i="3"/>
  <c r="J408" i="3"/>
  <c r="J569" i="3"/>
  <c r="J74" i="3"/>
  <c r="J58" i="3"/>
  <c r="AN37" i="4"/>
  <c r="J427" i="3"/>
  <c r="J245" i="3"/>
  <c r="J428" i="3"/>
  <c r="J386" i="3"/>
  <c r="J673" i="3"/>
  <c r="AN53" i="4"/>
  <c r="AN25" i="4"/>
  <c r="AN18" i="4"/>
  <c r="AN157" i="4"/>
  <c r="J579" i="3"/>
  <c r="J36" i="3"/>
  <c r="J163" i="3"/>
  <c r="J619" i="3"/>
  <c r="J236" i="3"/>
  <c r="J282" i="3"/>
  <c r="J549" i="3"/>
  <c r="J87" i="3"/>
  <c r="J133" i="3"/>
  <c r="J437" i="3"/>
  <c r="J301" i="3"/>
  <c r="J654" i="3"/>
  <c r="J213" i="3"/>
  <c r="J662" i="3"/>
  <c r="J595" i="3"/>
  <c r="J608" i="3"/>
  <c r="J364" i="3"/>
  <c r="J102" i="3"/>
  <c r="J109" i="3"/>
  <c r="J643" i="3"/>
  <c r="AN195" i="4"/>
  <c r="AN186" i="4"/>
  <c r="AN102" i="4"/>
  <c r="AN114" i="4"/>
  <c r="AN57" i="4"/>
  <c r="AN117" i="4"/>
  <c r="J171" i="3"/>
  <c r="J424" i="3"/>
  <c r="J313" i="3"/>
  <c r="J281" i="3"/>
  <c r="J280" i="3"/>
  <c r="J625" i="3"/>
  <c r="J365" i="3"/>
  <c r="J378" i="3"/>
  <c r="J468" i="3"/>
  <c r="J580" i="3"/>
  <c r="J560" i="3"/>
  <c r="J71" i="3"/>
  <c r="J426" i="3"/>
  <c r="AN89" i="4"/>
  <c r="J481" i="3"/>
  <c r="AN10" i="4"/>
  <c r="AN147" i="4"/>
  <c r="J641" i="3"/>
  <c r="J216" i="3"/>
  <c r="J583" i="3"/>
  <c r="J529" i="3"/>
  <c r="J397" i="3"/>
  <c r="J356" i="3"/>
  <c r="J436" i="3"/>
  <c r="J166" i="3"/>
  <c r="J421" i="3"/>
  <c r="J292" i="3"/>
  <c r="J463" i="3"/>
  <c r="J51" i="3"/>
  <c r="J90" i="3"/>
  <c r="J601" i="3"/>
  <c r="J623" i="3"/>
  <c r="J576" i="3"/>
  <c r="J247" i="3"/>
  <c r="J613" i="3"/>
  <c r="J479" i="3"/>
  <c r="AN145" i="4"/>
  <c r="AN184" i="4"/>
  <c r="AN38" i="4"/>
  <c r="AN83" i="4"/>
  <c r="AN97" i="4"/>
  <c r="J148" i="3"/>
  <c r="J396" i="3"/>
  <c r="J600" i="3"/>
  <c r="J226" i="3"/>
  <c r="J118" i="3"/>
  <c r="J49" i="3"/>
  <c r="J596" i="3"/>
  <c r="J76" i="3"/>
  <c r="J381" i="3"/>
  <c r="J420" i="3"/>
  <c r="J273" i="3"/>
  <c r="J297" i="3"/>
  <c r="J347" i="3"/>
  <c r="J556" i="3"/>
  <c r="J409" i="3"/>
  <c r="J450" i="3"/>
  <c r="AN21" i="4"/>
  <c r="AN172" i="4"/>
  <c r="J520" i="3"/>
  <c r="J532" i="3"/>
  <c r="J61" i="3"/>
  <c r="J334" i="3"/>
  <c r="J500" i="3"/>
  <c r="J348" i="3"/>
  <c r="J322" i="3"/>
  <c r="J289" i="3"/>
  <c r="J634" i="3"/>
  <c r="J541" i="3"/>
  <c r="J489" i="3"/>
  <c r="J130" i="3"/>
  <c r="J17" i="3"/>
  <c r="J559" i="3"/>
  <c r="J640" i="3"/>
  <c r="J566" i="3"/>
  <c r="J258" i="3"/>
  <c r="J178" i="3"/>
  <c r="AN126" i="4"/>
  <c r="AN45" i="4"/>
  <c r="J472" i="3"/>
  <c r="J451" i="3"/>
  <c r="J614" i="3"/>
  <c r="J445" i="3"/>
  <c r="AN30" i="4"/>
  <c r="AN19" i="4"/>
  <c r="J435" i="3"/>
  <c r="AN177" i="4"/>
  <c r="J646" i="3"/>
  <c r="J22" i="3"/>
  <c r="J142" i="3"/>
  <c r="J515" i="3"/>
  <c r="J533" i="3"/>
  <c r="J188" i="3"/>
  <c r="J482" i="3"/>
  <c r="J417" i="3"/>
  <c r="J246" i="3"/>
  <c r="J351" i="3"/>
  <c r="J24" i="3"/>
  <c r="J78" i="3"/>
  <c r="J425" i="3"/>
  <c r="J103" i="3"/>
  <c r="J504" i="3"/>
  <c r="J217" i="3"/>
  <c r="J631" i="3"/>
  <c r="J221" i="3"/>
  <c r="E60" i="1"/>
  <c r="C14" i="3"/>
  <c r="C16" i="3"/>
  <c r="D34" i="3"/>
  <c r="D24" i="3"/>
  <c r="C25" i="3"/>
  <c r="C37" i="3"/>
  <c r="D38" i="3"/>
  <c r="D25" i="3"/>
  <c r="D37" i="3"/>
  <c r="C22" i="3"/>
  <c r="C17" i="3"/>
  <c r="D26" i="3"/>
  <c r="D35" i="3"/>
  <c r="D32" i="3"/>
  <c r="C38" i="3"/>
  <c r="C15" i="3"/>
  <c r="C23" i="3"/>
  <c r="C20" i="3"/>
  <c r="C26" i="3"/>
  <c r="D19" i="3"/>
  <c r="D29" i="3"/>
  <c r="D18" i="3"/>
  <c r="C19" i="3"/>
  <c r="C35" i="3"/>
  <c r="D10" i="3"/>
  <c r="C33" i="3"/>
  <c r="C12" i="3"/>
  <c r="AH10" i="4"/>
  <c r="AH54" i="4"/>
  <c r="AH38" i="4"/>
  <c r="AE124" i="4"/>
  <c r="AH124" i="4"/>
  <c r="AH163" i="4"/>
  <c r="X191" i="4"/>
  <c r="Y191" i="4" s="1"/>
  <c r="K68" i="4"/>
  <c r="R68" i="4"/>
  <c r="S68" i="4" s="1"/>
  <c r="T68" i="4" s="1"/>
  <c r="N68" i="4"/>
  <c r="O68" i="4" s="1"/>
  <c r="Q68" i="4" s="1"/>
  <c r="U152" i="4"/>
  <c r="V152" i="4" s="1"/>
  <c r="W152" i="4" s="1"/>
  <c r="X74" i="4"/>
  <c r="Y74" i="4" s="1"/>
  <c r="X152" i="4"/>
  <c r="Y152" i="4" s="1"/>
  <c r="L167" i="4"/>
  <c r="AB167" i="4" s="1"/>
  <c r="N167" i="4"/>
  <c r="O167" i="4" s="1"/>
  <c r="Q167" i="4" s="1"/>
  <c r="R167" i="4"/>
  <c r="S167" i="4" s="1"/>
  <c r="T167" i="4" s="1"/>
  <c r="K150" i="4"/>
  <c r="N150" i="4"/>
  <c r="O150" i="4" s="1"/>
  <c r="Q150" i="4" s="1"/>
  <c r="R150" i="4"/>
  <c r="S150" i="4" s="1"/>
  <c r="T150" i="4" s="1"/>
  <c r="L150" i="4"/>
  <c r="AB150" i="4" s="1"/>
  <c r="K56" i="4"/>
  <c r="R56" i="4"/>
  <c r="S56" i="4" s="1"/>
  <c r="T56" i="4" s="1"/>
  <c r="N56" i="4"/>
  <c r="O56" i="4" s="1"/>
  <c r="Q56" i="4" s="1"/>
  <c r="R33" i="4"/>
  <c r="S33" i="4" s="1"/>
  <c r="T33" i="4" s="1"/>
  <c r="K33" i="4"/>
  <c r="U204" i="4"/>
  <c r="V204" i="4" s="1"/>
  <c r="W204" i="4" s="1"/>
  <c r="L198" i="4"/>
  <c r="M198" i="4" s="1"/>
  <c r="AA198" i="4" s="1"/>
  <c r="U56" i="4"/>
  <c r="V56" i="4" s="1"/>
  <c r="W56" i="4" s="1"/>
  <c r="AD152" i="4"/>
  <c r="L147" i="4"/>
  <c r="U68" i="4"/>
  <c r="V68" i="4" s="1"/>
  <c r="W68" i="4" s="1"/>
  <c r="AD199" i="4"/>
  <c r="AN127" i="4"/>
  <c r="AN123" i="4"/>
  <c r="R208" i="4"/>
  <c r="S208" i="4" s="1"/>
  <c r="T208" i="4" s="1"/>
  <c r="R147" i="4"/>
  <c r="S147" i="4" s="1"/>
  <c r="T147" i="4" s="1"/>
  <c r="K198" i="4"/>
  <c r="X198" i="4"/>
  <c r="Y198" i="4" s="1"/>
  <c r="X33" i="4"/>
  <c r="Y33" i="4" s="1"/>
  <c r="K199" i="4"/>
  <c r="AD198" i="4"/>
  <c r="R199" i="4"/>
  <c r="S199" i="4" s="1"/>
  <c r="T199" i="4" s="1"/>
  <c r="U199" i="4"/>
  <c r="V199" i="4" s="1"/>
  <c r="W199" i="4" s="1"/>
  <c r="L199" i="4"/>
  <c r="X150" i="4"/>
  <c r="Y150" i="4" s="1"/>
  <c r="N198" i="4"/>
  <c r="O198" i="4" s="1"/>
  <c r="Q198" i="4" s="1"/>
  <c r="U147" i="4"/>
  <c r="V147" i="4" s="1"/>
  <c r="W147" i="4" s="1"/>
  <c r="X199" i="4"/>
  <c r="Y199" i="4" s="1"/>
  <c r="AD150" i="4"/>
  <c r="AN140" i="4"/>
  <c r="U150" i="4"/>
  <c r="V150" i="4" s="1"/>
  <c r="W150" i="4" s="1"/>
  <c r="AN146" i="4"/>
  <c r="AN170" i="4"/>
  <c r="L58" i="4"/>
  <c r="M58" i="4" s="1"/>
  <c r="AA58" i="4" s="1"/>
  <c r="AD58" i="4"/>
  <c r="K194" i="4"/>
  <c r="R194" i="4"/>
  <c r="S194" i="4" s="1"/>
  <c r="T194" i="4" s="1"/>
  <c r="K128" i="4"/>
  <c r="U128" i="4"/>
  <c r="V128" i="4" s="1"/>
  <c r="W128" i="4" s="1"/>
  <c r="J159" i="4"/>
  <c r="L159" i="4" s="1"/>
  <c r="AD128" i="4"/>
  <c r="X58" i="4"/>
  <c r="Y58" i="4" s="1"/>
  <c r="B85" i="2"/>
  <c r="B28" i="3"/>
  <c r="AR28" i="3"/>
  <c r="AQ28" i="3"/>
  <c r="A96" i="8"/>
  <c r="K140" i="4"/>
  <c r="X194" i="4"/>
  <c r="Y194" i="4" s="1"/>
  <c r="U58" i="4"/>
  <c r="V58" i="4" s="1"/>
  <c r="W58" i="4" s="1"/>
  <c r="AD147" i="4"/>
  <c r="A62" i="8"/>
  <c r="A65" i="8"/>
  <c r="K147" i="4"/>
  <c r="A79" i="8"/>
  <c r="AD155" i="4"/>
  <c r="U183" i="4"/>
  <c r="V183" i="4" s="1"/>
  <c r="W183" i="4" s="1"/>
  <c r="K155" i="4"/>
  <c r="A78" i="8"/>
  <c r="B39" i="2"/>
  <c r="J153" i="4"/>
  <c r="AD153" i="4" s="1"/>
  <c r="A81" i="8"/>
  <c r="A59" i="8"/>
  <c r="J129" i="4"/>
  <c r="A80" i="8"/>
  <c r="L140" i="4"/>
  <c r="M140" i="4" s="1"/>
  <c r="AA140" i="4" s="1"/>
  <c r="R97" i="4"/>
  <c r="S97" i="4" s="1"/>
  <c r="T97" i="4" s="1"/>
  <c r="J34" i="4"/>
  <c r="K34" i="4" s="1"/>
  <c r="A111" i="8"/>
  <c r="J32" i="4"/>
  <c r="U32" i="4" s="1"/>
  <c r="V32" i="4" s="1"/>
  <c r="W32" i="4" s="1"/>
  <c r="N183" i="4"/>
  <c r="O183" i="4" s="1"/>
  <c r="Q183" i="4" s="1"/>
  <c r="D28" i="3"/>
  <c r="AD140" i="4"/>
  <c r="AD68" i="4"/>
  <c r="X204" i="4"/>
  <c r="Y204" i="4" s="1"/>
  <c r="K183" i="4"/>
  <c r="A73" i="8"/>
  <c r="L183" i="4"/>
  <c r="L171" i="4"/>
  <c r="AF171" i="4" s="1"/>
  <c r="U140" i="4"/>
  <c r="V140" i="4" s="1"/>
  <c r="W140" i="4" s="1"/>
  <c r="U97" i="4"/>
  <c r="V97" i="4" s="1"/>
  <c r="W97" i="4" s="1"/>
  <c r="X97" i="4"/>
  <c r="Y97" i="4" s="1"/>
  <c r="AR29" i="3"/>
  <c r="B29" i="3"/>
  <c r="AQ29" i="3"/>
  <c r="L155" i="4"/>
  <c r="D242" i="2"/>
  <c r="B245" i="2" s="1"/>
  <c r="D243" i="2" s="1"/>
  <c r="E243" i="2" s="1"/>
  <c r="R204" i="4"/>
  <c r="S204" i="4" s="1"/>
  <c r="T204" i="4" s="1"/>
  <c r="K97" i="4"/>
  <c r="B244" i="2"/>
  <c r="D44" i="16" s="1"/>
  <c r="K204" i="4"/>
  <c r="AD138" i="4"/>
  <c r="N33" i="4"/>
  <c r="O33" i="4" s="1"/>
  <c r="Q33" i="4" s="1"/>
  <c r="L204" i="4"/>
  <c r="X68" i="4"/>
  <c r="Y68" i="4" s="1"/>
  <c r="K138" i="4"/>
  <c r="U33" i="4"/>
  <c r="V33" i="4" s="1"/>
  <c r="W33" i="4" s="1"/>
  <c r="J65" i="4"/>
  <c r="U65" i="4" s="1"/>
  <c r="V65" i="4" s="1"/>
  <c r="W65" i="4" s="1"/>
  <c r="U121" i="4"/>
  <c r="V121" i="4" s="1"/>
  <c r="W121" i="4" s="1"/>
  <c r="X147" i="4"/>
  <c r="Y147" i="4" s="1"/>
  <c r="AD183" i="4"/>
  <c r="AD204" i="4"/>
  <c r="U155" i="4"/>
  <c r="V155" i="4" s="1"/>
  <c r="W155" i="4" s="1"/>
  <c r="R138" i="4"/>
  <c r="S138" i="4" s="1"/>
  <c r="T138" i="4" s="1"/>
  <c r="B30" i="2"/>
  <c r="E16" i="1" s="1"/>
  <c r="N155" i="4"/>
  <c r="O155" i="4" s="1"/>
  <c r="Q155" i="4" s="1"/>
  <c r="R50" i="4"/>
  <c r="S50" i="4" s="1"/>
  <c r="T50" i="4" s="1"/>
  <c r="X138" i="4"/>
  <c r="Y138" i="4" s="1"/>
  <c r="L33" i="4"/>
  <c r="M33" i="4" s="1"/>
  <c r="AA33" i="4" s="1"/>
  <c r="C28" i="3"/>
  <c r="AQ38" i="3"/>
  <c r="A39" i="3"/>
  <c r="AR38" i="3"/>
  <c r="B38" i="3"/>
  <c r="B31" i="3"/>
  <c r="AQ31" i="3"/>
  <c r="AR31" i="3"/>
  <c r="D31" i="3"/>
  <c r="A82" i="8"/>
  <c r="X183" i="4"/>
  <c r="Y183" i="4" s="1"/>
  <c r="AD33" i="4"/>
  <c r="A88" i="8"/>
  <c r="C31" i="3"/>
  <c r="J193" i="4"/>
  <c r="AD171" i="4"/>
  <c r="B135" i="2"/>
  <c r="B136" i="2" s="1"/>
  <c r="G97" i="2"/>
  <c r="G98" i="2" s="1"/>
  <c r="F97" i="2"/>
  <c r="E53" i="1" s="1"/>
  <c r="C60" i="16" s="1"/>
  <c r="D60" i="16" s="1"/>
  <c r="X66" i="4"/>
  <c r="Y66" i="4" s="1"/>
  <c r="K66" i="4"/>
  <c r="AD137" i="4"/>
  <c r="K137" i="4"/>
  <c r="K95" i="4"/>
  <c r="L95" i="4"/>
  <c r="AB95" i="4" s="1"/>
  <c r="N26" i="4"/>
  <c r="O26" i="4" s="1"/>
  <c r="Q26" i="4" s="1"/>
  <c r="L26" i="4"/>
  <c r="AB26" i="4" s="1"/>
  <c r="N156" i="4"/>
  <c r="O156" i="4" s="1"/>
  <c r="Q156" i="4" s="1"/>
  <c r="K121" i="4"/>
  <c r="X62" i="4"/>
  <c r="Y62" i="4" s="1"/>
  <c r="AD62" i="4"/>
  <c r="X121" i="4"/>
  <c r="Y121" i="4" s="1"/>
  <c r="AD121" i="4"/>
  <c r="B42" i="2"/>
  <c r="B51" i="2" s="1"/>
  <c r="B100" i="2"/>
  <c r="B259" i="2"/>
  <c r="B129" i="2"/>
  <c r="E65" i="1" s="1"/>
  <c r="N62" i="4"/>
  <c r="O62" i="4" s="1"/>
  <c r="Q62" i="4" s="1"/>
  <c r="B80" i="2"/>
  <c r="E41" i="1" s="1"/>
  <c r="B28" i="2"/>
  <c r="B62" i="2"/>
  <c r="R31" i="4"/>
  <c r="S31" i="4" s="1"/>
  <c r="T31" i="4" s="1"/>
  <c r="B159" i="2"/>
  <c r="J132" i="4"/>
  <c r="U132" i="4" s="1"/>
  <c r="V132" i="4" s="1"/>
  <c r="W132" i="4" s="1"/>
  <c r="A259" i="2"/>
  <c r="U31" i="4"/>
  <c r="V31" i="4" s="1"/>
  <c r="W31" i="4" s="1"/>
  <c r="J127" i="4"/>
  <c r="AD31" i="4"/>
  <c r="L31" i="4"/>
  <c r="AF31" i="4" s="1"/>
  <c r="AR682" i="3"/>
  <c r="B682" i="3"/>
  <c r="U198" i="4"/>
  <c r="V198" i="4" s="1"/>
  <c r="W198" i="4" s="1"/>
  <c r="X208" i="4"/>
  <c r="Y208" i="4" s="1"/>
  <c r="R156" i="4"/>
  <c r="S156" i="4" s="1"/>
  <c r="T156" i="4" s="1"/>
  <c r="U138" i="4"/>
  <c r="V138" i="4" s="1"/>
  <c r="W138" i="4" s="1"/>
  <c r="R155" i="4"/>
  <c r="S155" i="4" s="1"/>
  <c r="T155" i="4" s="1"/>
  <c r="N138" i="4"/>
  <c r="O138" i="4" s="1"/>
  <c r="Q138" i="4" s="1"/>
  <c r="K50" i="4"/>
  <c r="R188" i="4"/>
  <c r="S188" i="4" s="1"/>
  <c r="T188" i="4" s="1"/>
  <c r="X188" i="4"/>
  <c r="Y188" i="4" s="1"/>
  <c r="AD188" i="4"/>
  <c r="AD123" i="4"/>
  <c r="K172" i="4"/>
  <c r="X174" i="4"/>
  <c r="Y174" i="4" s="1"/>
  <c r="K188" i="4"/>
  <c r="X112" i="4"/>
  <c r="Y112" i="4" s="1"/>
  <c r="AD139" i="4"/>
  <c r="K38" i="4"/>
  <c r="R205" i="4"/>
  <c r="S205" i="4" s="1"/>
  <c r="T205" i="4" s="1"/>
  <c r="N134" i="4"/>
  <c r="O134" i="4" s="1"/>
  <c r="Q134" i="4" s="1"/>
  <c r="U191" i="4"/>
  <c r="V191" i="4" s="1"/>
  <c r="W191" i="4" s="1"/>
  <c r="N171" i="4"/>
  <c r="O171" i="4" s="1"/>
  <c r="Q171" i="4" s="1"/>
  <c r="R162" i="4"/>
  <c r="S162" i="4" s="1"/>
  <c r="T162" i="4" s="1"/>
  <c r="K58" i="4"/>
  <c r="R191" i="4"/>
  <c r="S191" i="4" s="1"/>
  <c r="T191" i="4" s="1"/>
  <c r="L191" i="4"/>
  <c r="K191" i="4"/>
  <c r="U171" i="4"/>
  <c r="V171" i="4" s="1"/>
  <c r="W171" i="4" s="1"/>
  <c r="K162" i="4"/>
  <c r="R171" i="4"/>
  <c r="S171" i="4" s="1"/>
  <c r="T171" i="4" s="1"/>
  <c r="X171" i="4"/>
  <c r="Y171" i="4" s="1"/>
  <c r="X154" i="4"/>
  <c r="Y154" i="4" s="1"/>
  <c r="N119" i="4"/>
  <c r="O119" i="4" s="1"/>
  <c r="Q119" i="4" s="1"/>
  <c r="L154" i="4"/>
  <c r="AB154" i="4" s="1"/>
  <c r="K119" i="4"/>
  <c r="AF119" i="4" s="1"/>
  <c r="U154" i="4"/>
  <c r="V154" i="4" s="1"/>
  <c r="W154" i="4" s="1"/>
  <c r="X114" i="4"/>
  <c r="Y114" i="4" s="1"/>
  <c r="AD154" i="4"/>
  <c r="N58" i="4"/>
  <c r="O58" i="4" s="1"/>
  <c r="Q58" i="4" s="1"/>
  <c r="N154" i="4"/>
  <c r="O154" i="4" s="1"/>
  <c r="Q154" i="4" s="1"/>
  <c r="R154" i="4"/>
  <c r="S154" i="4" s="1"/>
  <c r="T154" i="4" s="1"/>
  <c r="R58" i="4"/>
  <c r="S58" i="4" s="1"/>
  <c r="T58" i="4" s="1"/>
  <c r="AD191" i="4"/>
  <c r="K91" i="4"/>
  <c r="L91" i="4"/>
  <c r="U91" i="4"/>
  <c r="V91" i="4" s="1"/>
  <c r="W91" i="4" s="1"/>
  <c r="X91" i="4"/>
  <c r="Y91" i="4" s="1"/>
  <c r="N91" i="4"/>
  <c r="O91" i="4" s="1"/>
  <c r="Q91" i="4" s="1"/>
  <c r="AD91" i="4"/>
  <c r="R91" i="4"/>
  <c r="S91" i="4" s="1"/>
  <c r="T91" i="4" s="1"/>
  <c r="X101" i="4"/>
  <c r="Y101" i="4" s="1"/>
  <c r="R121" i="4"/>
  <c r="S121" i="4" s="1"/>
  <c r="T121" i="4" s="1"/>
  <c r="AD162" i="4"/>
  <c r="X31" i="4"/>
  <c r="Y31" i="4" s="1"/>
  <c r="AD70" i="4"/>
  <c r="U162" i="4"/>
  <c r="V162" i="4" s="1"/>
  <c r="W162" i="4" s="1"/>
  <c r="N31" i="4"/>
  <c r="O31" i="4" s="1"/>
  <c r="Q31" i="4" s="1"/>
  <c r="R70" i="4"/>
  <c r="S70" i="4" s="1"/>
  <c r="T70" i="4" s="1"/>
  <c r="X156" i="4"/>
  <c r="Y156" i="4" s="1"/>
  <c r="N44" i="4"/>
  <c r="O44" i="4" s="1"/>
  <c r="Q44" i="4" s="1"/>
  <c r="X56" i="4"/>
  <c r="Y56" i="4" s="1"/>
  <c r="K174" i="4"/>
  <c r="U163" i="4"/>
  <c r="V163" i="4" s="1"/>
  <c r="W163" i="4" s="1"/>
  <c r="AD56" i="4"/>
  <c r="L56" i="4"/>
  <c r="AD174" i="4"/>
  <c r="AD66" i="4"/>
  <c r="L163" i="4"/>
  <c r="AB163" i="4" s="1"/>
  <c r="L162" i="4"/>
  <c r="AD114" i="4"/>
  <c r="K124" i="4"/>
  <c r="N208" i="4"/>
  <c r="O208" i="4" s="1"/>
  <c r="Q208" i="4" s="1"/>
  <c r="N174" i="4"/>
  <c r="O174" i="4" s="1"/>
  <c r="Q174" i="4" s="1"/>
  <c r="L66" i="4"/>
  <c r="M66" i="4" s="1"/>
  <c r="AA66" i="4" s="1"/>
  <c r="R163" i="4"/>
  <c r="S163" i="4" s="1"/>
  <c r="T163" i="4" s="1"/>
  <c r="X124" i="4"/>
  <c r="Y124" i="4" s="1"/>
  <c r="R128" i="4"/>
  <c r="S128" i="4" s="1"/>
  <c r="T128" i="4" s="1"/>
  <c r="K114" i="4"/>
  <c r="K208" i="4"/>
  <c r="L174" i="4"/>
  <c r="M174" i="4" s="1"/>
  <c r="AA174" i="4" s="1"/>
  <c r="L188" i="4"/>
  <c r="M188" i="4" s="1"/>
  <c r="AA188" i="4" s="1"/>
  <c r="U156" i="4"/>
  <c r="V156" i="4" s="1"/>
  <c r="W156" i="4" s="1"/>
  <c r="L44" i="4"/>
  <c r="M44" i="4" s="1"/>
  <c r="AA44" i="4" s="1"/>
  <c r="U44" i="4"/>
  <c r="V44" i="4" s="1"/>
  <c r="W44" i="4" s="1"/>
  <c r="AD44" i="4"/>
  <c r="X128" i="4"/>
  <c r="Y128" i="4" s="1"/>
  <c r="L121" i="4"/>
  <c r="L114" i="4"/>
  <c r="M114" i="4" s="1"/>
  <c r="AA114" i="4" s="1"/>
  <c r="AD208" i="4"/>
  <c r="U174" i="4"/>
  <c r="V174" i="4" s="1"/>
  <c r="W174" i="4" s="1"/>
  <c r="L156" i="4"/>
  <c r="X70" i="4"/>
  <c r="Y70" i="4" s="1"/>
  <c r="U114" i="4"/>
  <c r="V114" i="4" s="1"/>
  <c r="W114" i="4" s="1"/>
  <c r="N114" i="4"/>
  <c r="O114" i="4" s="1"/>
  <c r="Q114" i="4" s="1"/>
  <c r="N162" i="4"/>
  <c r="O162" i="4" s="1"/>
  <c r="Q162" i="4" s="1"/>
  <c r="L208" i="4"/>
  <c r="AB208" i="4" s="1"/>
  <c r="U188" i="4"/>
  <c r="V188" i="4" s="1"/>
  <c r="W188" i="4" s="1"/>
  <c r="AD156" i="4"/>
  <c r="N70" i="4"/>
  <c r="O70" i="4" s="1"/>
  <c r="Q70" i="4" s="1"/>
  <c r="U50" i="4"/>
  <c r="V50" i="4" s="1"/>
  <c r="W50" i="4" s="1"/>
  <c r="X44" i="4"/>
  <c r="Y44" i="4" s="1"/>
  <c r="R44" i="4"/>
  <c r="S44" i="4" s="1"/>
  <c r="T44" i="4" s="1"/>
  <c r="AD196" i="4"/>
  <c r="R175" i="4"/>
  <c r="S175" i="4" s="1"/>
  <c r="T175" i="4" s="1"/>
  <c r="N196" i="4"/>
  <c r="O196" i="4" s="1"/>
  <c r="Q196" i="4" s="1"/>
  <c r="K175" i="4"/>
  <c r="U172" i="4"/>
  <c r="V172" i="4" s="1"/>
  <c r="W172" i="4" s="1"/>
  <c r="R196" i="4"/>
  <c r="S196" i="4" s="1"/>
  <c r="T196" i="4" s="1"/>
  <c r="X175" i="4"/>
  <c r="Y175" i="4" s="1"/>
  <c r="U196" i="4"/>
  <c r="V196" i="4" s="1"/>
  <c r="W196" i="4" s="1"/>
  <c r="U175" i="4"/>
  <c r="V175" i="4" s="1"/>
  <c r="W175" i="4" s="1"/>
  <c r="K196" i="4"/>
  <c r="AF196" i="4" s="1"/>
  <c r="AD175" i="4"/>
  <c r="X196" i="4"/>
  <c r="Y196" i="4" s="1"/>
  <c r="L175" i="4"/>
  <c r="M175" i="4" s="1"/>
  <c r="AA175" i="4" s="1"/>
  <c r="AD146" i="4"/>
  <c r="L146" i="4"/>
  <c r="AB146" i="4" s="1"/>
  <c r="X146" i="4"/>
  <c r="Y146" i="4" s="1"/>
  <c r="K146" i="4"/>
  <c r="L172" i="4"/>
  <c r="M172" i="4" s="1"/>
  <c r="AA172" i="4" s="1"/>
  <c r="R134" i="4"/>
  <c r="S134" i="4" s="1"/>
  <c r="T134" i="4" s="1"/>
  <c r="U146" i="4"/>
  <c r="V146" i="4" s="1"/>
  <c r="W146" i="4" s="1"/>
  <c r="U66" i="4"/>
  <c r="V66" i="4" s="1"/>
  <c r="W66" i="4" s="1"/>
  <c r="U101" i="4"/>
  <c r="V101" i="4" s="1"/>
  <c r="W101" i="4" s="1"/>
  <c r="N146" i="4"/>
  <c r="O146" i="4" s="1"/>
  <c r="Q146" i="4" s="1"/>
  <c r="N66" i="4"/>
  <c r="O66" i="4" s="1"/>
  <c r="Q66" i="4" s="1"/>
  <c r="R66" i="4"/>
  <c r="S66" i="4" s="1"/>
  <c r="T66" i="4" s="1"/>
  <c r="AD26" i="4"/>
  <c r="U80" i="4"/>
  <c r="V80" i="4" s="1"/>
  <c r="W80" i="4" s="1"/>
  <c r="U194" i="4"/>
  <c r="V194" i="4" s="1"/>
  <c r="W194" i="4" s="1"/>
  <c r="N194" i="4"/>
  <c r="O194" i="4" s="1"/>
  <c r="Q194" i="4" s="1"/>
  <c r="K10" i="4"/>
  <c r="X94" i="4"/>
  <c r="Y94" i="4" s="1"/>
  <c r="AD194" i="4"/>
  <c r="R26" i="4"/>
  <c r="S26" i="4" s="1"/>
  <c r="T26" i="4" s="1"/>
  <c r="AD76" i="4"/>
  <c r="AD94" i="4"/>
  <c r="X76" i="4"/>
  <c r="Y76" i="4" s="1"/>
  <c r="U94" i="4"/>
  <c r="V94" i="4" s="1"/>
  <c r="W94" i="4" s="1"/>
  <c r="R94" i="4"/>
  <c r="S94" i="4" s="1"/>
  <c r="T94" i="4" s="1"/>
  <c r="U26" i="4"/>
  <c r="V26" i="4" s="1"/>
  <c r="W26" i="4" s="1"/>
  <c r="L94" i="4"/>
  <c r="M94" i="4" s="1"/>
  <c r="AA94" i="4" s="1"/>
  <c r="N94" i="4"/>
  <c r="O94" i="4" s="1"/>
  <c r="Q94" i="4" s="1"/>
  <c r="L68" i="4"/>
  <c r="R76" i="4"/>
  <c r="S76" i="4" s="1"/>
  <c r="T76" i="4" s="1"/>
  <c r="N76" i="4"/>
  <c r="O76" i="4" s="1"/>
  <c r="Q76" i="4" s="1"/>
  <c r="U54" i="4"/>
  <c r="V54" i="4" s="1"/>
  <c r="W54" i="4" s="1"/>
  <c r="L194" i="4"/>
  <c r="M194" i="4" s="1"/>
  <c r="AA194" i="4" s="1"/>
  <c r="L76" i="4"/>
  <c r="M76" i="4" s="1"/>
  <c r="AA76" i="4" s="1"/>
  <c r="U76" i="4"/>
  <c r="V76" i="4" s="1"/>
  <c r="W76" i="4" s="1"/>
  <c r="K163" i="4"/>
  <c r="AD206" i="4"/>
  <c r="X163" i="4"/>
  <c r="Y163" i="4" s="1"/>
  <c r="N163" i="4"/>
  <c r="O163" i="4" s="1"/>
  <c r="Q163" i="4" s="1"/>
  <c r="R21" i="4"/>
  <c r="S21" i="4" s="1"/>
  <c r="T21" i="4" s="1"/>
  <c r="K75" i="4"/>
  <c r="N75" i="4"/>
  <c r="O75" i="4" s="1"/>
  <c r="Q75" i="4" s="1"/>
  <c r="U75" i="4"/>
  <c r="V75" i="4" s="1"/>
  <c r="W75" i="4" s="1"/>
  <c r="AD75" i="4"/>
  <c r="R75" i="4"/>
  <c r="S75" i="4" s="1"/>
  <c r="T75" i="4" s="1"/>
  <c r="L75" i="4"/>
  <c r="X75" i="4"/>
  <c r="Y75" i="4" s="1"/>
  <c r="B13" i="6"/>
  <c r="K15" i="4"/>
  <c r="L15" i="4"/>
  <c r="AD15" i="4"/>
  <c r="U15" i="4"/>
  <c r="V15" i="4" s="1"/>
  <c r="W15" i="4" s="1"/>
  <c r="N15" i="4"/>
  <c r="O15" i="4" s="1"/>
  <c r="Q15" i="4" s="1"/>
  <c r="X15" i="4"/>
  <c r="Y15" i="4" s="1"/>
  <c r="R15" i="4"/>
  <c r="S15" i="4" s="1"/>
  <c r="T15" i="4" s="1"/>
  <c r="K29" i="4"/>
  <c r="L29" i="4"/>
  <c r="AD29" i="4"/>
  <c r="U29" i="4"/>
  <c r="V29" i="4" s="1"/>
  <c r="W29" i="4" s="1"/>
  <c r="X29" i="4"/>
  <c r="Y29" i="4" s="1"/>
  <c r="N29" i="4"/>
  <c r="O29" i="4" s="1"/>
  <c r="Q29" i="4" s="1"/>
  <c r="R29" i="4"/>
  <c r="S29" i="4" s="1"/>
  <c r="T29" i="4" s="1"/>
  <c r="R139" i="4"/>
  <c r="S139" i="4" s="1"/>
  <c r="T139" i="4" s="1"/>
  <c r="X164" i="4"/>
  <c r="Y164" i="4" s="1"/>
  <c r="X197" i="4"/>
  <c r="Y197" i="4" s="1"/>
  <c r="X139" i="4"/>
  <c r="Y139" i="4" s="1"/>
  <c r="R164" i="4"/>
  <c r="S164" i="4" s="1"/>
  <c r="T164" i="4" s="1"/>
  <c r="L197" i="4"/>
  <c r="AD101" i="4"/>
  <c r="U197" i="4"/>
  <c r="V197" i="4" s="1"/>
  <c r="W197" i="4" s="1"/>
  <c r="R152" i="4"/>
  <c r="S152" i="4" s="1"/>
  <c r="T152" i="4" s="1"/>
  <c r="N152" i="4"/>
  <c r="O152" i="4" s="1"/>
  <c r="Q152" i="4" s="1"/>
  <c r="L152" i="4"/>
  <c r="AF152" i="4" s="1"/>
  <c r="N95" i="4"/>
  <c r="O95" i="4" s="1"/>
  <c r="Q95" i="4" s="1"/>
  <c r="L205" i="4"/>
  <c r="U134" i="4"/>
  <c r="V134" i="4" s="1"/>
  <c r="W134" i="4" s="1"/>
  <c r="N139" i="4"/>
  <c r="O139" i="4" s="1"/>
  <c r="Q139" i="4" s="1"/>
  <c r="AD164" i="4"/>
  <c r="K197" i="4"/>
  <c r="E108" i="1"/>
  <c r="E107" i="1"/>
  <c r="B221" i="2"/>
  <c r="B222" i="2" s="1"/>
  <c r="B75" i="4"/>
  <c r="B76" i="4" s="1"/>
  <c r="R124" i="4"/>
  <c r="S124" i="4" s="1"/>
  <c r="T124" i="4" s="1"/>
  <c r="N124" i="4"/>
  <c r="O124" i="4" s="1"/>
  <c r="Q124" i="4" s="1"/>
  <c r="L124" i="4"/>
  <c r="U124" i="4"/>
  <c r="V124" i="4" s="1"/>
  <c r="W124" i="4" s="1"/>
  <c r="K108" i="4"/>
  <c r="AD108" i="4"/>
  <c r="L108" i="4"/>
  <c r="R108" i="4"/>
  <c r="S108" i="4" s="1"/>
  <c r="T108" i="4" s="1"/>
  <c r="U108" i="4"/>
  <c r="V108" i="4" s="1"/>
  <c r="W108" i="4" s="1"/>
  <c r="N108" i="4"/>
  <c r="O108" i="4" s="1"/>
  <c r="Q108" i="4" s="1"/>
  <c r="X108" i="4"/>
  <c r="Y108" i="4" s="1"/>
  <c r="U139" i="4"/>
  <c r="V139" i="4" s="1"/>
  <c r="W139" i="4" s="1"/>
  <c r="U164" i="4"/>
  <c r="V164" i="4" s="1"/>
  <c r="W164" i="4" s="1"/>
  <c r="K205" i="4"/>
  <c r="AD67" i="4"/>
  <c r="AD134" i="4"/>
  <c r="N79" i="4"/>
  <c r="O79" i="4" s="1"/>
  <c r="Q79" i="4" s="1"/>
  <c r="K139" i="4"/>
  <c r="AF139" i="4" s="1"/>
  <c r="N164" i="4"/>
  <c r="O164" i="4" s="1"/>
  <c r="Q164" i="4" s="1"/>
  <c r="N197" i="4"/>
  <c r="O197" i="4" s="1"/>
  <c r="Q197" i="4" s="1"/>
  <c r="K70" i="4"/>
  <c r="AF70" i="4" s="1"/>
  <c r="U70" i="4"/>
  <c r="V70" i="4" s="1"/>
  <c r="W70" i="4" s="1"/>
  <c r="L164" i="4"/>
  <c r="AF164" i="4" s="1"/>
  <c r="AD197" i="4"/>
  <c r="R112" i="4"/>
  <c r="S112" i="4" s="1"/>
  <c r="T112" i="4" s="1"/>
  <c r="K25" i="4"/>
  <c r="U25" i="4"/>
  <c r="V25" i="4" s="1"/>
  <c r="W25" i="4" s="1"/>
  <c r="AD25" i="4"/>
  <c r="N25" i="4"/>
  <c r="O25" i="4" s="1"/>
  <c r="Q25" i="4" s="1"/>
  <c r="X25" i="4"/>
  <c r="Y25" i="4" s="1"/>
  <c r="R25" i="4"/>
  <c r="S25" i="4" s="1"/>
  <c r="T25" i="4" s="1"/>
  <c r="K21" i="4"/>
  <c r="L21" i="4"/>
  <c r="AD21" i="4"/>
  <c r="U21" i="4"/>
  <c r="V21" i="4" s="1"/>
  <c r="W21" i="4" s="1"/>
  <c r="X205" i="4"/>
  <c r="Y205" i="4" s="1"/>
  <c r="L134" i="4"/>
  <c r="N205" i="4"/>
  <c r="O205" i="4" s="1"/>
  <c r="Q205" i="4" s="1"/>
  <c r="K134" i="4"/>
  <c r="R206" i="4"/>
  <c r="S206" i="4" s="1"/>
  <c r="T206" i="4" s="1"/>
  <c r="K112" i="4"/>
  <c r="K62" i="4"/>
  <c r="R62" i="4"/>
  <c r="S62" i="4" s="1"/>
  <c r="T62" i="4" s="1"/>
  <c r="L62" i="4"/>
  <c r="K102" i="4"/>
  <c r="R102" i="4"/>
  <c r="S102" i="4" s="1"/>
  <c r="T102" i="4" s="1"/>
  <c r="L102" i="4"/>
  <c r="AD102" i="4"/>
  <c r="N102" i="4"/>
  <c r="O102" i="4" s="1"/>
  <c r="Q102" i="4" s="1"/>
  <c r="U102" i="4"/>
  <c r="V102" i="4" s="1"/>
  <c r="W102" i="4" s="1"/>
  <c r="X102" i="4"/>
  <c r="Y102" i="4" s="1"/>
  <c r="AD205" i="4"/>
  <c r="L206" i="4"/>
  <c r="L38" i="4"/>
  <c r="R10" i="4"/>
  <c r="S10" i="4" s="1"/>
  <c r="T10" i="4" s="1"/>
  <c r="N80" i="4"/>
  <c r="O80" i="4" s="1"/>
  <c r="Q80" i="4" s="1"/>
  <c r="K26" i="4"/>
  <c r="X26" i="4"/>
  <c r="Y26" i="4" s="1"/>
  <c r="K11" i="4"/>
  <c r="U11" i="4"/>
  <c r="V11" i="4" s="1"/>
  <c r="W11" i="4" s="1"/>
  <c r="L11" i="4"/>
  <c r="X11" i="4"/>
  <c r="Y11" i="4" s="1"/>
  <c r="N11" i="4"/>
  <c r="O11" i="4" s="1"/>
  <c r="Q11" i="4" s="1"/>
  <c r="AD11" i="4"/>
  <c r="R11" i="4"/>
  <c r="S11" i="4" s="1"/>
  <c r="T11" i="4" s="1"/>
  <c r="K206" i="4"/>
  <c r="U67" i="4"/>
  <c r="V67" i="4" s="1"/>
  <c r="W67" i="4" s="1"/>
  <c r="K80" i="4"/>
  <c r="L101" i="4"/>
  <c r="U206" i="4"/>
  <c r="V206" i="4" s="1"/>
  <c r="W206" i="4" s="1"/>
  <c r="R38" i="4"/>
  <c r="S38" i="4" s="1"/>
  <c r="T38" i="4" s="1"/>
  <c r="U10" i="4"/>
  <c r="V10" i="4" s="1"/>
  <c r="W10" i="4" s="1"/>
  <c r="L50" i="4"/>
  <c r="N21" i="4"/>
  <c r="O21" i="4" s="1"/>
  <c r="Q21" i="4" s="1"/>
  <c r="X137" i="4"/>
  <c r="Y137" i="4" s="1"/>
  <c r="U137" i="4"/>
  <c r="V137" i="4" s="1"/>
  <c r="W137" i="4" s="1"/>
  <c r="R137" i="4"/>
  <c r="S137" i="4" s="1"/>
  <c r="T137" i="4" s="1"/>
  <c r="L137" i="4"/>
  <c r="N137" i="4"/>
  <c r="O137" i="4" s="1"/>
  <c r="Q137" i="4" s="1"/>
  <c r="K92" i="4"/>
  <c r="AD92" i="4"/>
  <c r="L92" i="4"/>
  <c r="R92" i="4"/>
  <c r="S92" i="4" s="1"/>
  <c r="T92" i="4" s="1"/>
  <c r="N92" i="4"/>
  <c r="O92" i="4" s="1"/>
  <c r="Q92" i="4" s="1"/>
  <c r="X92" i="4"/>
  <c r="Y92" i="4" s="1"/>
  <c r="U92" i="4"/>
  <c r="V92" i="4" s="1"/>
  <c r="W92" i="4" s="1"/>
  <c r="N10" i="4"/>
  <c r="O10" i="4" s="1"/>
  <c r="Q10" i="4" s="1"/>
  <c r="X140" i="4"/>
  <c r="Y140" i="4" s="1"/>
  <c r="N140" i="4"/>
  <c r="O140" i="4" s="1"/>
  <c r="Q140" i="4" s="1"/>
  <c r="K74" i="4"/>
  <c r="L74" i="4"/>
  <c r="R74" i="4"/>
  <c r="S74" i="4" s="1"/>
  <c r="T74" i="4" s="1"/>
  <c r="N74" i="4"/>
  <c r="O74" i="4" s="1"/>
  <c r="Q74" i="4" s="1"/>
  <c r="AD74" i="4"/>
  <c r="U74" i="4"/>
  <c r="V74" i="4" s="1"/>
  <c r="W74" i="4" s="1"/>
  <c r="AD95" i="4"/>
  <c r="N206" i="4"/>
  <c r="O206" i="4" s="1"/>
  <c r="Q206" i="4" s="1"/>
  <c r="X38" i="4"/>
  <c r="Y38" i="4" s="1"/>
  <c r="R95" i="4"/>
  <c r="S95" i="4" s="1"/>
  <c r="T95" i="4" s="1"/>
  <c r="U38" i="4"/>
  <c r="V38" i="4" s="1"/>
  <c r="W38" i="4" s="1"/>
  <c r="R101" i="4"/>
  <c r="S101" i="4" s="1"/>
  <c r="T101" i="4" s="1"/>
  <c r="X10" i="4"/>
  <c r="Y10" i="4" s="1"/>
  <c r="N50" i="4"/>
  <c r="O50" i="4" s="1"/>
  <c r="Q50" i="4" s="1"/>
  <c r="L97" i="4"/>
  <c r="AD97" i="4"/>
  <c r="L112" i="4"/>
  <c r="M112" i="4" s="1"/>
  <c r="AA112" i="4" s="1"/>
  <c r="N38" i="4"/>
  <c r="O38" i="4" s="1"/>
  <c r="Q38" i="4" s="1"/>
  <c r="L10" i="4"/>
  <c r="M10" i="4" s="1"/>
  <c r="AA10" i="4" s="1"/>
  <c r="X80" i="4"/>
  <c r="Y80" i="4" s="1"/>
  <c r="K83" i="4"/>
  <c r="U83" i="4"/>
  <c r="V83" i="4" s="1"/>
  <c r="W83" i="4" s="1"/>
  <c r="L83" i="4"/>
  <c r="N83" i="4"/>
  <c r="O83" i="4" s="1"/>
  <c r="Q83" i="4" s="1"/>
  <c r="R83" i="4"/>
  <c r="S83" i="4" s="1"/>
  <c r="T83" i="4" s="1"/>
  <c r="AD83" i="4"/>
  <c r="X83" i="4"/>
  <c r="Y83" i="4" s="1"/>
  <c r="K60" i="4"/>
  <c r="L60" i="4"/>
  <c r="X60" i="4"/>
  <c r="Y60" i="4" s="1"/>
  <c r="AD60" i="4"/>
  <c r="R60" i="4"/>
  <c r="S60" i="4" s="1"/>
  <c r="T60" i="4" s="1"/>
  <c r="U60" i="4"/>
  <c r="V60" i="4" s="1"/>
  <c r="W60" i="4" s="1"/>
  <c r="N60" i="4"/>
  <c r="O60" i="4" s="1"/>
  <c r="Q60" i="4" s="1"/>
  <c r="N128" i="4"/>
  <c r="O128" i="4" s="1"/>
  <c r="Q128" i="4" s="1"/>
  <c r="L128" i="4"/>
  <c r="K67" i="4"/>
  <c r="R67" i="4"/>
  <c r="S67" i="4" s="1"/>
  <c r="T67" i="4" s="1"/>
  <c r="X67" i="4"/>
  <c r="Y67" i="4" s="1"/>
  <c r="L80" i="4"/>
  <c r="AB80" i="4" s="1"/>
  <c r="N67" i="4"/>
  <c r="O67" i="4" s="1"/>
  <c r="Q67" i="4" s="1"/>
  <c r="N101" i="4"/>
  <c r="O101" i="4" s="1"/>
  <c r="Q101" i="4" s="1"/>
  <c r="AD80" i="4"/>
  <c r="X172" i="4"/>
  <c r="Y172" i="4" s="1"/>
  <c r="AD172" i="4"/>
  <c r="J45" i="4"/>
  <c r="X45" i="4" s="1"/>
  <c r="Y45" i="4" s="1"/>
  <c r="J46" i="4"/>
  <c r="X46" i="4" s="1"/>
  <c r="Y46" i="4" s="1"/>
  <c r="AD119" i="4"/>
  <c r="J111" i="4"/>
  <c r="AD111" i="4" s="1"/>
  <c r="X119" i="4"/>
  <c r="Y119" i="4" s="1"/>
  <c r="J113" i="4"/>
  <c r="AD113" i="4" s="1"/>
  <c r="X95" i="4"/>
  <c r="Y95" i="4" s="1"/>
  <c r="U119" i="4"/>
  <c r="V119" i="4" s="1"/>
  <c r="W119" i="4" s="1"/>
  <c r="U112" i="4"/>
  <c r="V112" i="4" s="1"/>
  <c r="W112" i="4" s="1"/>
  <c r="N172" i="4"/>
  <c r="O172" i="4" s="1"/>
  <c r="Q172" i="4" s="1"/>
  <c r="R119" i="4"/>
  <c r="S119" i="4" s="1"/>
  <c r="T119" i="4" s="1"/>
  <c r="AD112" i="4"/>
  <c r="J115" i="4"/>
  <c r="AD115" i="4" s="1"/>
  <c r="AD50" i="4"/>
  <c r="J49" i="4"/>
  <c r="X49" i="4" s="1"/>
  <c r="Y49" i="4" s="1"/>
  <c r="M70" i="4"/>
  <c r="AA70" i="4" s="1"/>
  <c r="AB70" i="4"/>
  <c r="U95" i="4"/>
  <c r="V95" i="4" s="1"/>
  <c r="W95" i="4" s="1"/>
  <c r="AD90" i="4"/>
  <c r="K90" i="4"/>
  <c r="N90" i="4"/>
  <c r="O90" i="4" s="1"/>
  <c r="Q90" i="4" s="1"/>
  <c r="L90" i="4"/>
  <c r="R90" i="4"/>
  <c r="S90" i="4" s="1"/>
  <c r="T90" i="4" s="1"/>
  <c r="X90" i="4"/>
  <c r="Y90" i="4" s="1"/>
  <c r="K54" i="4"/>
  <c r="N54" i="4"/>
  <c r="O54" i="4" s="1"/>
  <c r="Q54" i="4" s="1"/>
  <c r="L54" i="4"/>
  <c r="R54" i="4"/>
  <c r="S54" i="4" s="1"/>
  <c r="T54" i="4" s="1"/>
  <c r="AB119" i="4"/>
  <c r="M119" i="4"/>
  <c r="AA119" i="4" s="1"/>
  <c r="X54" i="4"/>
  <c r="Y54" i="4" s="1"/>
  <c r="AB138" i="4"/>
  <c r="M138" i="4"/>
  <c r="AA138" i="4" s="1"/>
  <c r="R200" i="4"/>
  <c r="S200" i="4" s="1"/>
  <c r="T200" i="4" s="1"/>
  <c r="M139" i="4"/>
  <c r="AA139" i="4" s="1"/>
  <c r="AB139" i="4"/>
  <c r="AB67" i="4"/>
  <c r="M67" i="4"/>
  <c r="AA67" i="4" s="1"/>
  <c r="M25" i="4"/>
  <c r="AA25" i="4" s="1"/>
  <c r="AB25" i="4"/>
  <c r="AB196" i="4"/>
  <c r="M196" i="4"/>
  <c r="AA196" i="4" s="1"/>
  <c r="R17" i="4" l="1"/>
  <c r="S17" i="4" s="1"/>
  <c r="T17" i="4" s="1"/>
  <c r="X17" i="4"/>
  <c r="Y17" i="4" s="1"/>
  <c r="N17" i="4"/>
  <c r="O17" i="4" s="1"/>
  <c r="Q17" i="4" s="1"/>
  <c r="L17" i="4"/>
  <c r="AB17" i="4" s="1"/>
  <c r="U17" i="4"/>
  <c r="V17" i="4" s="1"/>
  <c r="W17" i="4" s="1"/>
  <c r="K17" i="4"/>
  <c r="Z17" i="4" s="1"/>
  <c r="K166" i="4"/>
  <c r="R123" i="4"/>
  <c r="S123" i="4" s="1"/>
  <c r="T123" i="4" s="1"/>
  <c r="X123" i="4"/>
  <c r="Y123" i="4" s="1"/>
  <c r="N85" i="4"/>
  <c r="O85" i="4" s="1"/>
  <c r="Q85" i="4" s="1"/>
  <c r="L57" i="4"/>
  <c r="Z57" i="4" s="1"/>
  <c r="U13" i="4"/>
  <c r="V13" i="4" s="1"/>
  <c r="W13" i="4" s="1"/>
  <c r="X51" i="4"/>
  <c r="Y51" i="4" s="1"/>
  <c r="K82" i="4"/>
  <c r="L79" i="4"/>
  <c r="AF79" i="4" s="1"/>
  <c r="K64" i="4"/>
  <c r="AF64" i="4" s="1"/>
  <c r="L51" i="4"/>
  <c r="AB51" i="4" s="1"/>
  <c r="L123" i="4"/>
  <c r="M123" i="4" s="1"/>
  <c r="AA123" i="4" s="1"/>
  <c r="N123" i="4"/>
  <c r="O123" i="4" s="1"/>
  <c r="Q123" i="4" s="1"/>
  <c r="U179" i="4"/>
  <c r="V179" i="4" s="1"/>
  <c r="W179" i="4" s="1"/>
  <c r="AD64" i="4"/>
  <c r="AE64" i="4" s="1"/>
  <c r="R64" i="4"/>
  <c r="S64" i="4" s="1"/>
  <c r="T64" i="4" s="1"/>
  <c r="N157" i="4"/>
  <c r="O157" i="4" s="1"/>
  <c r="Q157" i="4" s="1"/>
  <c r="U166" i="4"/>
  <c r="V166" i="4" s="1"/>
  <c r="W166" i="4" s="1"/>
  <c r="AD166" i="4"/>
  <c r="AE166" i="4" s="1"/>
  <c r="L166" i="4"/>
  <c r="AB166" i="4" s="1"/>
  <c r="K77" i="4"/>
  <c r="K30" i="4"/>
  <c r="AQ682" i="3"/>
  <c r="C682" i="3"/>
  <c r="X167" i="4"/>
  <c r="Y167" i="4" s="1"/>
  <c r="U123" i="4"/>
  <c r="V123" i="4" s="1"/>
  <c r="W123" i="4" s="1"/>
  <c r="X179" i="4"/>
  <c r="Y179" i="4" s="1"/>
  <c r="L192" i="4"/>
  <c r="AB192" i="4" s="1"/>
  <c r="J109" i="4"/>
  <c r="U109" i="4" s="1"/>
  <c r="V109" i="4" s="1"/>
  <c r="W109" i="4" s="1"/>
  <c r="K192" i="4"/>
  <c r="K179" i="4"/>
  <c r="N149" i="4"/>
  <c r="O149" i="4" s="1"/>
  <c r="Q149" i="4" s="1"/>
  <c r="L77" i="4"/>
  <c r="M77" i="4" s="1"/>
  <c r="AA77" i="4" s="1"/>
  <c r="R77" i="4"/>
  <c r="S77" i="4" s="1"/>
  <c r="T77" i="4" s="1"/>
  <c r="N42" i="4"/>
  <c r="O42" i="4" s="1"/>
  <c r="Q42" i="4" s="1"/>
  <c r="X82" i="4"/>
  <c r="Y82" i="4" s="1"/>
  <c r="K42" i="4"/>
  <c r="AF42" i="4" s="1"/>
  <c r="R166" i="4"/>
  <c r="S166" i="4" s="1"/>
  <c r="T166" i="4" s="1"/>
  <c r="N166" i="4"/>
  <c r="O166" i="4" s="1"/>
  <c r="Q166" i="4" s="1"/>
  <c r="U209" i="4"/>
  <c r="V209" i="4" s="1"/>
  <c r="W209" i="4" s="1"/>
  <c r="X30" i="4"/>
  <c r="Y30" i="4" s="1"/>
  <c r="N82" i="4"/>
  <c r="O82" i="4" s="1"/>
  <c r="Q82" i="4" s="1"/>
  <c r="N30" i="4"/>
  <c r="O30" i="4" s="1"/>
  <c r="Q30" i="4" s="1"/>
  <c r="L200" i="4"/>
  <c r="AB200" i="4" s="1"/>
  <c r="X13" i="4"/>
  <c r="Y13" i="4" s="1"/>
  <c r="M42" i="4"/>
  <c r="AA42" i="4" s="1"/>
  <c r="K167" i="4"/>
  <c r="AF167" i="4" s="1"/>
  <c r="R69" i="4"/>
  <c r="S69" i="4" s="1"/>
  <c r="T69" i="4" s="1"/>
  <c r="N192" i="4"/>
  <c r="O192" i="4" s="1"/>
  <c r="Q192" i="4" s="1"/>
  <c r="AD200" i="4"/>
  <c r="AE200" i="4" s="1"/>
  <c r="U157" i="4"/>
  <c r="V157" i="4" s="1"/>
  <c r="W157" i="4" s="1"/>
  <c r="X93" i="4"/>
  <c r="Y93" i="4" s="1"/>
  <c r="X42" i="4"/>
  <c r="Y42" i="4" s="1"/>
  <c r="R157" i="4"/>
  <c r="S157" i="4" s="1"/>
  <c r="T157" i="4" s="1"/>
  <c r="U42" i="4"/>
  <c r="V42" i="4" s="1"/>
  <c r="W42" i="4" s="1"/>
  <c r="L104" i="4"/>
  <c r="M104" i="4" s="1"/>
  <c r="AA104" i="4" s="1"/>
  <c r="X130" i="4"/>
  <c r="Y130" i="4" s="1"/>
  <c r="X104" i="4"/>
  <c r="Y104" i="4" s="1"/>
  <c r="R42" i="4"/>
  <c r="S42" i="4" s="1"/>
  <c r="T42" i="4" s="1"/>
  <c r="K203" i="4"/>
  <c r="L30" i="4"/>
  <c r="M30" i="4" s="1"/>
  <c r="AA30" i="4" s="1"/>
  <c r="X14" i="4"/>
  <c r="Y14" i="4" s="1"/>
  <c r="N203" i="4"/>
  <c r="O203" i="4" s="1"/>
  <c r="Q203" i="4" s="1"/>
  <c r="U104" i="4"/>
  <c r="V104" i="4" s="1"/>
  <c r="W104" i="4" s="1"/>
  <c r="L176" i="4"/>
  <c r="M176" i="4" s="1"/>
  <c r="AA176" i="4" s="1"/>
  <c r="K14" i="4"/>
  <c r="U39" i="4"/>
  <c r="V39" i="4" s="1"/>
  <c r="W39" i="4" s="1"/>
  <c r="N39" i="4"/>
  <c r="O39" i="4" s="1"/>
  <c r="Q39" i="4" s="1"/>
  <c r="R30" i="4"/>
  <c r="S30" i="4" s="1"/>
  <c r="T30" i="4" s="1"/>
  <c r="AD39" i="4"/>
  <c r="AE39" i="4" s="1"/>
  <c r="X39" i="4"/>
  <c r="Y39" i="4" s="1"/>
  <c r="AD37" i="4"/>
  <c r="AE37" i="4" s="1"/>
  <c r="U87" i="4"/>
  <c r="V87" i="4" s="1"/>
  <c r="W87" i="4" s="1"/>
  <c r="K13" i="4"/>
  <c r="L39" i="4"/>
  <c r="Z39" i="4" s="1"/>
  <c r="AD87" i="4"/>
  <c r="AE87" i="4" s="1"/>
  <c r="R149" i="4"/>
  <c r="S149" i="4" s="1"/>
  <c r="T149" i="4" s="1"/>
  <c r="AD157" i="4"/>
  <c r="U192" i="4"/>
  <c r="V192" i="4" s="1"/>
  <c r="W192" i="4" s="1"/>
  <c r="K105" i="4"/>
  <c r="U105" i="4"/>
  <c r="V105" i="4" s="1"/>
  <c r="W105" i="4" s="1"/>
  <c r="L69" i="4"/>
  <c r="M69" i="4" s="1"/>
  <c r="AA69" i="4" s="1"/>
  <c r="L203" i="4"/>
  <c r="M203" i="4" s="1"/>
  <c r="AA203" i="4" s="1"/>
  <c r="R203" i="4"/>
  <c r="S203" i="4" s="1"/>
  <c r="T203" i="4" s="1"/>
  <c r="U14" i="4"/>
  <c r="V14" i="4" s="1"/>
  <c r="W14" i="4" s="1"/>
  <c r="AD14" i="4"/>
  <c r="AE14" i="4" s="1"/>
  <c r="N14" i="4"/>
  <c r="O14" i="4" s="1"/>
  <c r="Q14" i="4" s="1"/>
  <c r="L14" i="4"/>
  <c r="M14" i="4" s="1"/>
  <c r="AA14" i="4" s="1"/>
  <c r="L149" i="4"/>
  <c r="M149" i="4" s="1"/>
  <c r="AA149" i="4" s="1"/>
  <c r="N87" i="4"/>
  <c r="O87" i="4" s="1"/>
  <c r="Q87" i="4" s="1"/>
  <c r="L13" i="4"/>
  <c r="M13" i="4" s="1"/>
  <c r="AA13" i="4" s="1"/>
  <c r="R87" i="4"/>
  <c r="S87" i="4" s="1"/>
  <c r="T87" i="4" s="1"/>
  <c r="AD160" i="4"/>
  <c r="AH160" i="4" s="1"/>
  <c r="R39" i="4"/>
  <c r="S39" i="4" s="1"/>
  <c r="T39" i="4" s="1"/>
  <c r="AD79" i="4"/>
  <c r="AE79" i="4" s="1"/>
  <c r="L126" i="4"/>
  <c r="M126" i="4" s="1"/>
  <c r="AA126" i="4" s="1"/>
  <c r="AB160" i="4"/>
  <c r="N64" i="4"/>
  <c r="O64" i="4" s="1"/>
  <c r="Q64" i="4" s="1"/>
  <c r="X57" i="4"/>
  <c r="Y57" i="4" s="1"/>
  <c r="AD105" i="4"/>
  <c r="AE105" i="4" s="1"/>
  <c r="N43" i="4"/>
  <c r="O43" i="4" s="1"/>
  <c r="Q43" i="4" s="1"/>
  <c r="N57" i="4"/>
  <c r="O57" i="4" s="1"/>
  <c r="Q57" i="4" s="1"/>
  <c r="R176" i="4"/>
  <c r="S176" i="4" s="1"/>
  <c r="T176" i="4" s="1"/>
  <c r="L105" i="4"/>
  <c r="AB105" i="4" s="1"/>
  <c r="R43" i="4"/>
  <c r="S43" i="4" s="1"/>
  <c r="T43" i="4" s="1"/>
  <c r="AD13" i="4"/>
  <c r="AE13" i="4" s="1"/>
  <c r="K43" i="4"/>
  <c r="Z43" i="4" s="1"/>
  <c r="U57" i="4"/>
  <c r="V57" i="4" s="1"/>
  <c r="W57" i="4" s="1"/>
  <c r="K126" i="4"/>
  <c r="X64" i="4"/>
  <c r="Y64" i="4" s="1"/>
  <c r="K157" i="4"/>
  <c r="R209" i="4"/>
  <c r="S209" i="4" s="1"/>
  <c r="T209" i="4" s="1"/>
  <c r="U202" i="4"/>
  <c r="V202" i="4" s="1"/>
  <c r="W202" i="4" s="1"/>
  <c r="K87" i="4"/>
  <c r="AF87" i="4" s="1"/>
  <c r="R179" i="4"/>
  <c r="S179" i="4" s="1"/>
  <c r="T179" i="4" s="1"/>
  <c r="R207" i="4"/>
  <c r="S207" i="4" s="1"/>
  <c r="T207" i="4" s="1"/>
  <c r="X192" i="4"/>
  <c r="Y192" i="4" s="1"/>
  <c r="AD167" i="4"/>
  <c r="AE167" i="4" s="1"/>
  <c r="U126" i="4"/>
  <c r="V126" i="4" s="1"/>
  <c r="W126" i="4" s="1"/>
  <c r="N51" i="4"/>
  <c r="O51" i="4" s="1"/>
  <c r="Q51" i="4" s="1"/>
  <c r="U200" i="4"/>
  <c r="V200" i="4" s="1"/>
  <c r="W200" i="4" s="1"/>
  <c r="U79" i="4"/>
  <c r="V79" i="4" s="1"/>
  <c r="W79" i="4" s="1"/>
  <c r="K104" i="4"/>
  <c r="X207" i="4"/>
  <c r="Y207" i="4" s="1"/>
  <c r="L207" i="4"/>
  <c r="AB207" i="4" s="1"/>
  <c r="U96" i="4"/>
  <c r="V96" i="4" s="1"/>
  <c r="W96" i="4" s="1"/>
  <c r="N207" i="4"/>
  <c r="O207" i="4" s="1"/>
  <c r="Q207" i="4" s="1"/>
  <c r="AD176" i="4"/>
  <c r="AE176" i="4" s="1"/>
  <c r="U85" i="4"/>
  <c r="V85" i="4" s="1"/>
  <c r="W85" i="4" s="1"/>
  <c r="N200" i="4"/>
  <c r="O200" i="4" s="1"/>
  <c r="Q200" i="4" s="1"/>
  <c r="X85" i="4"/>
  <c r="Y85" i="4" s="1"/>
  <c r="U122" i="4"/>
  <c r="V122" i="4" s="1"/>
  <c r="W122" i="4" s="1"/>
  <c r="K200" i="4"/>
  <c r="R85" i="4"/>
  <c r="S85" i="4" s="1"/>
  <c r="T85" i="4" s="1"/>
  <c r="K47" i="4"/>
  <c r="Z47" i="4" s="1"/>
  <c r="AD96" i="4"/>
  <c r="AH96" i="4" s="1"/>
  <c r="L85" i="4"/>
  <c r="M85" i="4" s="1"/>
  <c r="AA85" i="4" s="1"/>
  <c r="AD185" i="4"/>
  <c r="AE185" i="4" s="1"/>
  <c r="U77" i="4"/>
  <c r="V77" i="4" s="1"/>
  <c r="W77" i="4" s="1"/>
  <c r="L179" i="4"/>
  <c r="X203" i="4"/>
  <c r="Y203" i="4" s="1"/>
  <c r="U64" i="4"/>
  <c r="V64" i="4" s="1"/>
  <c r="W64" i="4" s="1"/>
  <c r="X120" i="4"/>
  <c r="Y120" i="4" s="1"/>
  <c r="AB130" i="4"/>
  <c r="AD122" i="4"/>
  <c r="AE122" i="4" s="1"/>
  <c r="X148" i="4"/>
  <c r="Y148" i="4" s="1"/>
  <c r="K185" i="4"/>
  <c r="U36" i="4"/>
  <c r="V36" i="4" s="1"/>
  <c r="W36" i="4" s="1"/>
  <c r="AD148" i="4"/>
  <c r="AE148" i="4" s="1"/>
  <c r="K207" i="4"/>
  <c r="N209" i="4"/>
  <c r="O209" i="4" s="1"/>
  <c r="Q209" i="4" s="1"/>
  <c r="K160" i="4"/>
  <c r="AF160" i="4" s="1"/>
  <c r="R36" i="4"/>
  <c r="S36" i="4" s="1"/>
  <c r="T36" i="4" s="1"/>
  <c r="N47" i="4"/>
  <c r="O47" i="4" s="1"/>
  <c r="Q47" i="4" s="1"/>
  <c r="R55" i="4"/>
  <c r="S55" i="4" s="1"/>
  <c r="T55" i="4" s="1"/>
  <c r="R185" i="4"/>
  <c r="S185" i="4" s="1"/>
  <c r="T185" i="4" s="1"/>
  <c r="N120" i="4"/>
  <c r="O120" i="4" s="1"/>
  <c r="Q120" i="4" s="1"/>
  <c r="K37" i="4"/>
  <c r="U47" i="4"/>
  <c r="V47" i="4" s="1"/>
  <c r="W47" i="4" s="1"/>
  <c r="K149" i="4"/>
  <c r="K148" i="4"/>
  <c r="K130" i="4"/>
  <c r="Z130" i="4" s="1"/>
  <c r="X36" i="4"/>
  <c r="Y36" i="4" s="1"/>
  <c r="R47" i="4"/>
  <c r="S47" i="4" s="1"/>
  <c r="T47" i="4" s="1"/>
  <c r="R37" i="4"/>
  <c r="S37" i="4" s="1"/>
  <c r="T37" i="4" s="1"/>
  <c r="U203" i="4"/>
  <c r="V203" i="4" s="1"/>
  <c r="W203" i="4" s="1"/>
  <c r="AD47" i="4"/>
  <c r="AE47" i="4" s="1"/>
  <c r="AD104" i="4"/>
  <c r="AE104" i="4" s="1"/>
  <c r="L37" i="4"/>
  <c r="AB37" i="4" s="1"/>
  <c r="AD82" i="4"/>
  <c r="AE82" i="4" s="1"/>
  <c r="X87" i="4"/>
  <c r="Y87" i="4" s="1"/>
  <c r="N104" i="4"/>
  <c r="O104" i="4" s="1"/>
  <c r="Q104" i="4" s="1"/>
  <c r="AD149" i="4"/>
  <c r="AE149" i="4" s="1"/>
  <c r="K120" i="4"/>
  <c r="N122" i="4"/>
  <c r="O122" i="4" s="1"/>
  <c r="Q122" i="4" s="1"/>
  <c r="X47" i="4"/>
  <c r="Y47" i="4" s="1"/>
  <c r="AD42" i="4"/>
  <c r="AE42" i="4" s="1"/>
  <c r="R148" i="4"/>
  <c r="S148" i="4" s="1"/>
  <c r="T148" i="4" s="1"/>
  <c r="N126" i="4"/>
  <c r="O126" i="4" s="1"/>
  <c r="Q126" i="4" s="1"/>
  <c r="AD192" i="4"/>
  <c r="AE192" i="4" s="1"/>
  <c r="N117" i="4"/>
  <c r="O117" i="4" s="1"/>
  <c r="Q117" i="4" s="1"/>
  <c r="U130" i="4"/>
  <c r="V130" i="4" s="1"/>
  <c r="W130" i="4" s="1"/>
  <c r="N160" i="4"/>
  <c r="O160" i="4" s="1"/>
  <c r="Q160" i="4" s="1"/>
  <c r="U160" i="4"/>
  <c r="V160" i="4" s="1"/>
  <c r="W160" i="4" s="1"/>
  <c r="R160" i="4"/>
  <c r="S160" i="4" s="1"/>
  <c r="T160" i="4" s="1"/>
  <c r="AD120" i="4"/>
  <c r="AE120" i="4" s="1"/>
  <c r="L55" i="4"/>
  <c r="AB55" i="4" s="1"/>
  <c r="X176" i="4"/>
  <c r="Y176" i="4" s="1"/>
  <c r="X117" i="4"/>
  <c r="Y117" i="4" s="1"/>
  <c r="AD55" i="4"/>
  <c r="AH55" i="4" s="1"/>
  <c r="AD117" i="4"/>
  <c r="AE117" i="4" s="1"/>
  <c r="U82" i="4"/>
  <c r="V82" i="4" s="1"/>
  <c r="W82" i="4" s="1"/>
  <c r="K55" i="4"/>
  <c r="AH203" i="4"/>
  <c r="AD93" i="4"/>
  <c r="AH93" i="4" s="1"/>
  <c r="N18" i="4"/>
  <c r="O18" i="4" s="1"/>
  <c r="Q18" i="4" s="1"/>
  <c r="L117" i="4"/>
  <c r="AB117" i="4" s="1"/>
  <c r="N185" i="4"/>
  <c r="O185" i="4" s="1"/>
  <c r="Q185" i="4" s="1"/>
  <c r="N69" i="4"/>
  <c r="O69" i="4" s="1"/>
  <c r="Q69" i="4" s="1"/>
  <c r="K117" i="4"/>
  <c r="X18" i="4"/>
  <c r="Y18" i="4" s="1"/>
  <c r="X149" i="4"/>
  <c r="Y149" i="4" s="1"/>
  <c r="R120" i="4"/>
  <c r="S120" i="4" s="1"/>
  <c r="T120" i="4" s="1"/>
  <c r="N130" i="4"/>
  <c r="O130" i="4" s="1"/>
  <c r="Q130" i="4" s="1"/>
  <c r="R18" i="4"/>
  <c r="S18" i="4" s="1"/>
  <c r="T18" i="4" s="1"/>
  <c r="L82" i="4"/>
  <c r="M82" i="4" s="1"/>
  <c r="AA82" i="4" s="1"/>
  <c r="R79" i="4"/>
  <c r="S79" i="4" s="1"/>
  <c r="T79" i="4" s="1"/>
  <c r="R57" i="4"/>
  <c r="S57" i="4" s="1"/>
  <c r="T57" i="4" s="1"/>
  <c r="L18" i="4"/>
  <c r="X69" i="4"/>
  <c r="Y69" i="4" s="1"/>
  <c r="L202" i="4"/>
  <c r="Z202" i="4" s="1"/>
  <c r="L96" i="4"/>
  <c r="AB96" i="4" s="1"/>
  <c r="M64" i="4"/>
  <c r="AA64" i="4" s="1"/>
  <c r="AD69" i="4"/>
  <c r="AE69" i="4" s="1"/>
  <c r="N36" i="4"/>
  <c r="O36" i="4" s="1"/>
  <c r="Q36" i="4" s="1"/>
  <c r="AD43" i="4"/>
  <c r="AE43" i="4" s="1"/>
  <c r="L157" i="4"/>
  <c r="M157" i="4" s="1"/>
  <c r="AA157" i="4" s="1"/>
  <c r="U185" i="4"/>
  <c r="V185" i="4" s="1"/>
  <c r="W185" i="4" s="1"/>
  <c r="L120" i="4"/>
  <c r="M120" i="4" s="1"/>
  <c r="AA120" i="4" s="1"/>
  <c r="L185" i="4"/>
  <c r="M185" i="4" s="1"/>
  <c r="AA185" i="4" s="1"/>
  <c r="K36" i="4"/>
  <c r="R105" i="4"/>
  <c r="S105" i="4" s="1"/>
  <c r="T105" i="4" s="1"/>
  <c r="X126" i="4"/>
  <c r="Y126" i="4" s="1"/>
  <c r="L209" i="4"/>
  <c r="Z209" i="4" s="1"/>
  <c r="K122" i="4"/>
  <c r="U176" i="4"/>
  <c r="V176" i="4" s="1"/>
  <c r="W176" i="4" s="1"/>
  <c r="L148" i="4"/>
  <c r="M148" i="4" s="1"/>
  <c r="AA148" i="4" s="1"/>
  <c r="N176" i="4"/>
  <c r="O176" i="4" s="1"/>
  <c r="Q176" i="4" s="1"/>
  <c r="AH36" i="4"/>
  <c r="N148" i="4"/>
  <c r="O148" i="4" s="1"/>
  <c r="Q148" i="4" s="1"/>
  <c r="U117" i="4"/>
  <c r="V117" i="4" s="1"/>
  <c r="W117" i="4" s="1"/>
  <c r="X202" i="4"/>
  <c r="Y202" i="4" s="1"/>
  <c r="AD209" i="4"/>
  <c r="AH209" i="4" s="1"/>
  <c r="X55" i="4"/>
  <c r="Y55" i="4" s="1"/>
  <c r="N55" i="4"/>
  <c r="O55" i="4" s="1"/>
  <c r="Q55" i="4" s="1"/>
  <c r="N93" i="4"/>
  <c r="O93" i="4" s="1"/>
  <c r="Q93" i="4" s="1"/>
  <c r="X96" i="4"/>
  <c r="Y96" i="4" s="1"/>
  <c r="X209" i="4"/>
  <c r="Y209" i="4" s="1"/>
  <c r="AD18" i="4"/>
  <c r="AE18" i="4" s="1"/>
  <c r="R93" i="4"/>
  <c r="S93" i="4" s="1"/>
  <c r="T93" i="4" s="1"/>
  <c r="N96" i="4"/>
  <c r="O96" i="4" s="1"/>
  <c r="Q96" i="4" s="1"/>
  <c r="N37" i="4"/>
  <c r="O37" i="4" s="1"/>
  <c r="Q37" i="4" s="1"/>
  <c r="AD130" i="4"/>
  <c r="AE130" i="4" s="1"/>
  <c r="AH207" i="4"/>
  <c r="L93" i="4"/>
  <c r="Z93" i="4" s="1"/>
  <c r="AD202" i="4"/>
  <c r="AE202" i="4" s="1"/>
  <c r="U93" i="4"/>
  <c r="V93" i="4" s="1"/>
  <c r="W93" i="4" s="1"/>
  <c r="R130" i="4"/>
  <c r="S130" i="4" s="1"/>
  <c r="T130" i="4" s="1"/>
  <c r="R202" i="4"/>
  <c r="S202" i="4" s="1"/>
  <c r="T202" i="4" s="1"/>
  <c r="U69" i="4"/>
  <c r="V69" i="4" s="1"/>
  <c r="W69" i="4" s="1"/>
  <c r="R96" i="4"/>
  <c r="S96" i="4" s="1"/>
  <c r="T96" i="4" s="1"/>
  <c r="K18" i="4"/>
  <c r="K51" i="4"/>
  <c r="L36" i="4"/>
  <c r="M36" i="4" s="1"/>
  <c r="AA36" i="4" s="1"/>
  <c r="N202" i="4"/>
  <c r="O202" i="4" s="1"/>
  <c r="Q202" i="4" s="1"/>
  <c r="X43" i="4"/>
  <c r="Y43" i="4" s="1"/>
  <c r="X160" i="4"/>
  <c r="Y160" i="4" s="1"/>
  <c r="AD57" i="4"/>
  <c r="AH57" i="4" s="1"/>
  <c r="U37" i="4"/>
  <c r="V37" i="4" s="1"/>
  <c r="W37" i="4" s="1"/>
  <c r="L122" i="4"/>
  <c r="M122" i="4" s="1"/>
  <c r="AA122" i="4" s="1"/>
  <c r="AD126" i="4"/>
  <c r="AH126" i="4" s="1"/>
  <c r="U51" i="4"/>
  <c r="V51" i="4" s="1"/>
  <c r="W51" i="4" s="1"/>
  <c r="AD51" i="4"/>
  <c r="AE51" i="4" s="1"/>
  <c r="N13" i="4"/>
  <c r="O13" i="4" s="1"/>
  <c r="Q13" i="4" s="1"/>
  <c r="AD30" i="4"/>
  <c r="AH30" i="4" s="1"/>
  <c r="X77" i="4"/>
  <c r="Y77" i="4" s="1"/>
  <c r="U43" i="4"/>
  <c r="V43" i="4" s="1"/>
  <c r="W43" i="4" s="1"/>
  <c r="AD179" i="4"/>
  <c r="AE179" i="4" s="1"/>
  <c r="AD77" i="4"/>
  <c r="AE77" i="4" s="1"/>
  <c r="AD85" i="4"/>
  <c r="AE85" i="4" s="1"/>
  <c r="U207" i="4"/>
  <c r="V207" i="4" s="1"/>
  <c r="W207" i="4" s="1"/>
  <c r="X79" i="4"/>
  <c r="Y79" i="4" s="1"/>
  <c r="X105" i="4"/>
  <c r="Y105" i="4" s="1"/>
  <c r="X122" i="4"/>
  <c r="Y122" i="4" s="1"/>
  <c r="U63" i="4"/>
  <c r="V63" i="4" s="1"/>
  <c r="W63" i="4" s="1"/>
  <c r="F98" i="2"/>
  <c r="E54" i="1" s="1"/>
  <c r="C61" i="16" s="1"/>
  <c r="D61" i="16" s="1"/>
  <c r="AB63" i="4"/>
  <c r="AD28" i="4"/>
  <c r="AH28" i="4" s="1"/>
  <c r="X28" i="4"/>
  <c r="Y28" i="4" s="1"/>
  <c r="X72" i="4"/>
  <c r="Y72" i="4" s="1"/>
  <c r="K182" i="4"/>
  <c r="L98" i="4"/>
  <c r="M98" i="4" s="1"/>
  <c r="AA98" i="4" s="1"/>
  <c r="R98" i="4"/>
  <c r="S98" i="4" s="1"/>
  <c r="T98" i="4" s="1"/>
  <c r="K98" i="4"/>
  <c r="X63" i="4"/>
  <c r="Y63" i="4" s="1"/>
  <c r="AD63" i="4"/>
  <c r="AE63" i="4" s="1"/>
  <c r="K63" i="4"/>
  <c r="AF63" i="4" s="1"/>
  <c r="L20" i="4"/>
  <c r="AB20" i="4" s="1"/>
  <c r="R190" i="4"/>
  <c r="S190" i="4" s="1"/>
  <c r="T190" i="4" s="1"/>
  <c r="N28" i="4"/>
  <c r="O28" i="4" s="1"/>
  <c r="Q28" i="4" s="1"/>
  <c r="U28" i="4"/>
  <c r="V28" i="4" s="1"/>
  <c r="W28" i="4" s="1"/>
  <c r="L88" i="4"/>
  <c r="M88" i="4" s="1"/>
  <c r="AA88" i="4" s="1"/>
  <c r="L28" i="4"/>
  <c r="M28" i="4" s="1"/>
  <c r="AA28" i="4" s="1"/>
  <c r="K184" i="4"/>
  <c r="AF184" i="4" s="1"/>
  <c r="AD88" i="4"/>
  <c r="AH88" i="4" s="1"/>
  <c r="N73" i="4"/>
  <c r="O73" i="4" s="1"/>
  <c r="Q73" i="4" s="1"/>
  <c r="K88" i="4"/>
  <c r="AD182" i="4"/>
  <c r="AE182" i="4" s="1"/>
  <c r="N181" i="4"/>
  <c r="O181" i="4" s="1"/>
  <c r="Q181" i="4" s="1"/>
  <c r="X182" i="4"/>
  <c r="Y182" i="4" s="1"/>
  <c r="AD72" i="4"/>
  <c r="AH72" i="4" s="1"/>
  <c r="R181" i="4"/>
  <c r="S181" i="4" s="1"/>
  <c r="T181" i="4" s="1"/>
  <c r="AD190" i="4"/>
  <c r="AE190" i="4" s="1"/>
  <c r="L190" i="4"/>
  <c r="AB190" i="4" s="1"/>
  <c r="N190" i="4"/>
  <c r="O190" i="4" s="1"/>
  <c r="Q190" i="4" s="1"/>
  <c r="X190" i="4"/>
  <c r="Y190" i="4" s="1"/>
  <c r="U73" i="4"/>
  <c r="V73" i="4" s="1"/>
  <c r="W73" i="4" s="1"/>
  <c r="U72" i="4"/>
  <c r="V72" i="4" s="1"/>
  <c r="W72" i="4" s="1"/>
  <c r="K28" i="4"/>
  <c r="AD125" i="4"/>
  <c r="AE125" i="4" s="1"/>
  <c r="K20" i="4"/>
  <c r="N182" i="4"/>
  <c r="O182" i="4" s="1"/>
  <c r="Q182" i="4" s="1"/>
  <c r="AD169" i="4"/>
  <c r="AE169" i="4" s="1"/>
  <c r="L169" i="4"/>
  <c r="M169" i="4" s="1"/>
  <c r="AA169" i="4" s="1"/>
  <c r="K190" i="4"/>
  <c r="L72" i="4"/>
  <c r="AB72" i="4" s="1"/>
  <c r="R73" i="4"/>
  <c r="S73" i="4" s="1"/>
  <c r="T73" i="4" s="1"/>
  <c r="X189" i="4"/>
  <c r="Y189" i="4" s="1"/>
  <c r="X125" i="4"/>
  <c r="Y125" i="4" s="1"/>
  <c r="U186" i="4"/>
  <c r="V186" i="4" s="1"/>
  <c r="W186" i="4" s="1"/>
  <c r="AD158" i="4"/>
  <c r="AE158" i="4" s="1"/>
  <c r="U158" i="4"/>
  <c r="V158" i="4" s="1"/>
  <c r="W158" i="4" s="1"/>
  <c r="K189" i="4"/>
  <c r="AD186" i="4"/>
  <c r="AE186" i="4" s="1"/>
  <c r="U22" i="4"/>
  <c r="V22" i="4" s="1"/>
  <c r="W22" i="4" s="1"/>
  <c r="U145" i="4"/>
  <c r="V145" i="4" s="1"/>
  <c r="W145" i="4" s="1"/>
  <c r="K19" i="4"/>
  <c r="AB184" i="4"/>
  <c r="R145" i="4"/>
  <c r="S145" i="4" s="1"/>
  <c r="T145" i="4" s="1"/>
  <c r="R19" i="4"/>
  <c r="S19" i="4" s="1"/>
  <c r="T19" i="4" s="1"/>
  <c r="AD19" i="4"/>
  <c r="AE19" i="4" s="1"/>
  <c r="K48" i="4"/>
  <c r="U180" i="4"/>
  <c r="V180" i="4" s="1"/>
  <c r="W180" i="4" s="1"/>
  <c r="L118" i="4"/>
  <c r="M118" i="4" s="1"/>
  <c r="AA118" i="4" s="1"/>
  <c r="L187" i="4"/>
  <c r="AB187" i="4" s="1"/>
  <c r="U187" i="4"/>
  <c r="V187" i="4" s="1"/>
  <c r="W187" i="4" s="1"/>
  <c r="K181" i="4"/>
  <c r="N22" i="4"/>
  <c r="O22" i="4" s="1"/>
  <c r="Q22" i="4" s="1"/>
  <c r="L189" i="4"/>
  <c r="M189" i="4" s="1"/>
  <c r="AA189" i="4" s="1"/>
  <c r="AD187" i="4"/>
  <c r="AE187" i="4" s="1"/>
  <c r="X48" i="4"/>
  <c r="Y48" i="4" s="1"/>
  <c r="R22" i="4"/>
  <c r="S22" i="4" s="1"/>
  <c r="T22" i="4" s="1"/>
  <c r="X187" i="4"/>
  <c r="Y187" i="4" s="1"/>
  <c r="N125" i="4"/>
  <c r="O125" i="4" s="1"/>
  <c r="Q125" i="4" s="1"/>
  <c r="U118" i="4"/>
  <c r="V118" i="4" s="1"/>
  <c r="W118" i="4" s="1"/>
  <c r="L19" i="4"/>
  <c r="X145" i="4"/>
  <c r="Y145" i="4" s="1"/>
  <c r="L145" i="4"/>
  <c r="AB145" i="4" s="1"/>
  <c r="AH181" i="4"/>
  <c r="R118" i="4"/>
  <c r="S118" i="4" s="1"/>
  <c r="T118" i="4" s="1"/>
  <c r="N151" i="4"/>
  <c r="O151" i="4" s="1"/>
  <c r="Q151" i="4" s="1"/>
  <c r="U169" i="4"/>
  <c r="V169" i="4" s="1"/>
  <c r="W169" i="4" s="1"/>
  <c r="L48" i="4"/>
  <c r="M48" i="4" s="1"/>
  <c r="AA48" i="4" s="1"/>
  <c r="K169" i="4"/>
  <c r="AD48" i="4"/>
  <c r="AE48" i="4" s="1"/>
  <c r="X19" i="4"/>
  <c r="Y19" i="4" s="1"/>
  <c r="U48" i="4"/>
  <c r="V48" i="4" s="1"/>
  <c r="W48" i="4" s="1"/>
  <c r="N145" i="4"/>
  <c r="O145" i="4" s="1"/>
  <c r="Q145" i="4" s="1"/>
  <c r="X118" i="4"/>
  <c r="Y118" i="4" s="1"/>
  <c r="R184" i="4"/>
  <c r="S184" i="4" s="1"/>
  <c r="T184" i="4" s="1"/>
  <c r="AD22" i="4"/>
  <c r="AE22" i="4" s="1"/>
  <c r="AH145" i="4"/>
  <c r="K145" i="4"/>
  <c r="R169" i="4"/>
  <c r="S169" i="4" s="1"/>
  <c r="T169" i="4" s="1"/>
  <c r="U19" i="4"/>
  <c r="V19" i="4" s="1"/>
  <c r="W19" i="4" s="1"/>
  <c r="R187" i="4"/>
  <c r="S187" i="4" s="1"/>
  <c r="T187" i="4" s="1"/>
  <c r="X169" i="4"/>
  <c r="Y169" i="4" s="1"/>
  <c r="AD184" i="4"/>
  <c r="AH184" i="4" s="1"/>
  <c r="U184" i="4"/>
  <c r="V184" i="4" s="1"/>
  <c r="W184" i="4" s="1"/>
  <c r="AD118" i="4"/>
  <c r="AE118" i="4" s="1"/>
  <c r="K118" i="4"/>
  <c r="U181" i="4"/>
  <c r="V181" i="4" s="1"/>
  <c r="W181" i="4" s="1"/>
  <c r="L182" i="4"/>
  <c r="R182" i="4"/>
  <c r="S182" i="4" s="1"/>
  <c r="T182" i="4" s="1"/>
  <c r="U189" i="4"/>
  <c r="V189" i="4" s="1"/>
  <c r="W189" i="4" s="1"/>
  <c r="K141" i="4"/>
  <c r="X98" i="4"/>
  <c r="Y98" i="4" s="1"/>
  <c r="K143" i="4"/>
  <c r="U98" i="4"/>
  <c r="V98" i="4" s="1"/>
  <c r="W98" i="4" s="1"/>
  <c r="AD98" i="4"/>
  <c r="AH98" i="4" s="1"/>
  <c r="R48" i="4"/>
  <c r="S48" i="4" s="1"/>
  <c r="T48" i="4" s="1"/>
  <c r="U165" i="4"/>
  <c r="V165" i="4" s="1"/>
  <c r="W165" i="4" s="1"/>
  <c r="X165" i="4"/>
  <c r="Y165" i="4" s="1"/>
  <c r="AD133" i="4"/>
  <c r="AE133" i="4" s="1"/>
  <c r="K133" i="4"/>
  <c r="K142" i="4"/>
  <c r="U133" i="4"/>
  <c r="V133" i="4" s="1"/>
  <c r="W133" i="4" s="1"/>
  <c r="R100" i="4"/>
  <c r="S100" i="4" s="1"/>
  <c r="T100" i="4" s="1"/>
  <c r="AD35" i="4"/>
  <c r="AE35" i="4" s="1"/>
  <c r="R133" i="4"/>
  <c r="S133" i="4" s="1"/>
  <c r="T133" i="4" s="1"/>
  <c r="R180" i="4"/>
  <c r="S180" i="4" s="1"/>
  <c r="T180" i="4" s="1"/>
  <c r="AD23" i="4"/>
  <c r="AE23" i="4" s="1"/>
  <c r="K23" i="4"/>
  <c r="U35" i="4"/>
  <c r="V35" i="4" s="1"/>
  <c r="W35" i="4" s="1"/>
  <c r="X158" i="4"/>
  <c r="Y158" i="4" s="1"/>
  <c r="K187" i="4"/>
  <c r="N63" i="4"/>
  <c r="O63" i="4" s="1"/>
  <c r="Q63" i="4" s="1"/>
  <c r="R88" i="4"/>
  <c r="S88" i="4" s="1"/>
  <c r="T88" i="4" s="1"/>
  <c r="L133" i="4"/>
  <c r="U141" i="4"/>
  <c r="V141" i="4" s="1"/>
  <c r="W141" i="4" s="1"/>
  <c r="L173" i="4"/>
  <c r="AB173" i="4" s="1"/>
  <c r="X133" i="4"/>
  <c r="Y133" i="4" s="1"/>
  <c r="N142" i="4"/>
  <c r="O142" i="4" s="1"/>
  <c r="Q142" i="4" s="1"/>
  <c r="AD142" i="4"/>
  <c r="AE142" i="4" s="1"/>
  <c r="N165" i="4"/>
  <c r="O165" i="4" s="1"/>
  <c r="Q165" i="4" s="1"/>
  <c r="AD100" i="4"/>
  <c r="AH100" i="4" s="1"/>
  <c r="K165" i="4"/>
  <c r="N180" i="4"/>
  <c r="O180" i="4" s="1"/>
  <c r="Q180" i="4" s="1"/>
  <c r="L180" i="4"/>
  <c r="M180" i="4" s="1"/>
  <c r="AA180" i="4" s="1"/>
  <c r="R23" i="4"/>
  <c r="S23" i="4" s="1"/>
  <c r="T23" i="4" s="1"/>
  <c r="X23" i="4"/>
  <c r="Y23" i="4" s="1"/>
  <c r="U143" i="4"/>
  <c r="V143" i="4" s="1"/>
  <c r="W143" i="4" s="1"/>
  <c r="N23" i="4"/>
  <c r="O23" i="4" s="1"/>
  <c r="Q23" i="4" s="1"/>
  <c r="L23" i="4"/>
  <c r="AB23" i="4" s="1"/>
  <c r="N78" i="4"/>
  <c r="O78" i="4" s="1"/>
  <c r="Q78" i="4" s="1"/>
  <c r="X16" i="4"/>
  <c r="Y16" i="4" s="1"/>
  <c r="K16" i="4"/>
  <c r="N186" i="4"/>
  <c r="O186" i="4" s="1"/>
  <c r="Q186" i="4" s="1"/>
  <c r="N158" i="4"/>
  <c r="O158" i="4" s="1"/>
  <c r="Q158" i="4" s="1"/>
  <c r="X184" i="4"/>
  <c r="Y184" i="4" s="1"/>
  <c r="U125" i="4"/>
  <c r="V125" i="4" s="1"/>
  <c r="W125" i="4" s="1"/>
  <c r="AD99" i="4"/>
  <c r="AE99" i="4" s="1"/>
  <c r="N144" i="4"/>
  <c r="O144" i="4" s="1"/>
  <c r="Q144" i="4" s="1"/>
  <c r="K110" i="4"/>
  <c r="AF110" i="4" s="1"/>
  <c r="AH86" i="4"/>
  <c r="R173" i="4"/>
  <c r="S173" i="4" s="1"/>
  <c r="T173" i="4" s="1"/>
  <c r="R78" i="4"/>
  <c r="S78" i="4" s="1"/>
  <c r="T78" i="4" s="1"/>
  <c r="R178" i="4"/>
  <c r="S178" i="4" s="1"/>
  <c r="T178" i="4" s="1"/>
  <c r="L135" i="4"/>
  <c r="AB135" i="4" s="1"/>
  <c r="L144" i="4"/>
  <c r="M144" i="4" s="1"/>
  <c r="AA144" i="4" s="1"/>
  <c r="K78" i="4"/>
  <c r="L177" i="4"/>
  <c r="M177" i="4" s="1"/>
  <c r="AA177" i="4" s="1"/>
  <c r="U173" i="4"/>
  <c r="V173" i="4" s="1"/>
  <c r="W173" i="4" s="1"/>
  <c r="N100" i="4"/>
  <c r="O100" i="4" s="1"/>
  <c r="Q100" i="4" s="1"/>
  <c r="AD135" i="4"/>
  <c r="AE135" i="4" s="1"/>
  <c r="AH173" i="4"/>
  <c r="R151" i="4"/>
  <c r="S151" i="4" s="1"/>
  <c r="T151" i="4" s="1"/>
  <c r="R141" i="4"/>
  <c r="S141" i="4" s="1"/>
  <c r="T141" i="4" s="1"/>
  <c r="L142" i="4"/>
  <c r="AB142" i="4" s="1"/>
  <c r="U78" i="4"/>
  <c r="V78" i="4" s="1"/>
  <c r="W78" i="4" s="1"/>
  <c r="K135" i="4"/>
  <c r="U144" i="4"/>
  <c r="V144" i="4" s="1"/>
  <c r="W144" i="4" s="1"/>
  <c r="M110" i="4"/>
  <c r="AA110" i="4" s="1"/>
  <c r="U99" i="4"/>
  <c r="V99" i="4" s="1"/>
  <c r="W99" i="4" s="1"/>
  <c r="N141" i="4"/>
  <c r="O141" i="4" s="1"/>
  <c r="Q141" i="4" s="1"/>
  <c r="X142" i="4"/>
  <c r="Y142" i="4" s="1"/>
  <c r="X35" i="4"/>
  <c r="Y35" i="4" s="1"/>
  <c r="U177" i="4"/>
  <c r="V177" i="4" s="1"/>
  <c r="W177" i="4" s="1"/>
  <c r="U12" i="4"/>
  <c r="V12" i="4" s="1"/>
  <c r="W12" i="4" s="1"/>
  <c r="AD12" i="4"/>
  <c r="AE12" i="4" s="1"/>
  <c r="N110" i="4"/>
  <c r="O110" i="4" s="1"/>
  <c r="Q110" i="4" s="1"/>
  <c r="K86" i="4"/>
  <c r="X12" i="4"/>
  <c r="Y12" i="4" s="1"/>
  <c r="AD178" i="4"/>
  <c r="AE178" i="4" s="1"/>
  <c r="AD52" i="4"/>
  <c r="AE52" i="4" s="1"/>
  <c r="N59" i="4"/>
  <c r="O59" i="4" s="1"/>
  <c r="Q59" i="4" s="1"/>
  <c r="AB151" i="4"/>
  <c r="R12" i="4"/>
  <c r="S12" i="4" s="1"/>
  <c r="T12" i="4" s="1"/>
  <c r="X144" i="4"/>
  <c r="Y144" i="4" s="1"/>
  <c r="L165" i="4"/>
  <c r="N12" i="4"/>
  <c r="O12" i="4" s="1"/>
  <c r="Q12" i="4" s="1"/>
  <c r="U71" i="4"/>
  <c r="V71" i="4" s="1"/>
  <c r="W71" i="4" s="1"/>
  <c r="AD110" i="4"/>
  <c r="AE110" i="4" s="1"/>
  <c r="X110" i="4"/>
  <c r="Y110" i="4" s="1"/>
  <c r="K27" i="4"/>
  <c r="L12" i="4"/>
  <c r="AF12" i="4" s="1"/>
  <c r="AD59" i="4"/>
  <c r="AE59" i="4" s="1"/>
  <c r="L59" i="4"/>
  <c r="M59" i="4" s="1"/>
  <c r="AA59" i="4" s="1"/>
  <c r="N99" i="4"/>
  <c r="O99" i="4" s="1"/>
  <c r="Q99" i="4" s="1"/>
  <c r="N178" i="4"/>
  <c r="O178" i="4" s="1"/>
  <c r="Q178" i="4" s="1"/>
  <c r="K71" i="4"/>
  <c r="AF71" i="4" s="1"/>
  <c r="AD84" i="4"/>
  <c r="AE84" i="4" s="1"/>
  <c r="U151" i="4"/>
  <c r="V151" i="4" s="1"/>
  <c r="W151" i="4" s="1"/>
  <c r="AD78" i="4"/>
  <c r="AE78" i="4" s="1"/>
  <c r="K72" i="4"/>
  <c r="K186" i="4"/>
  <c r="Z186" i="4" s="1"/>
  <c r="U27" i="4"/>
  <c r="V27" i="4" s="1"/>
  <c r="W27" i="4" s="1"/>
  <c r="X177" i="4"/>
  <c r="Y177" i="4" s="1"/>
  <c r="AD144" i="4"/>
  <c r="AE144" i="4" s="1"/>
  <c r="R142" i="4"/>
  <c r="S142" i="4" s="1"/>
  <c r="T142" i="4" s="1"/>
  <c r="AD165" i="4"/>
  <c r="AE165" i="4" s="1"/>
  <c r="R52" i="4"/>
  <c r="S52" i="4" s="1"/>
  <c r="T52" i="4" s="1"/>
  <c r="K52" i="4"/>
  <c r="L141" i="4"/>
  <c r="L22" i="4"/>
  <c r="M22" i="4" s="1"/>
  <c r="AA22" i="4" s="1"/>
  <c r="U16" i="4"/>
  <c r="V16" i="4" s="1"/>
  <c r="W16" i="4" s="1"/>
  <c r="K125" i="4"/>
  <c r="L158" i="4"/>
  <c r="AB158" i="4" s="1"/>
  <c r="U88" i="4"/>
  <c r="V88" i="4" s="1"/>
  <c r="W88" i="4" s="1"/>
  <c r="X86" i="4"/>
  <c r="Y86" i="4" s="1"/>
  <c r="R144" i="4"/>
  <c r="S144" i="4" s="1"/>
  <c r="T144" i="4" s="1"/>
  <c r="N86" i="4"/>
  <c r="O86" i="4" s="1"/>
  <c r="Q86" i="4" s="1"/>
  <c r="Z25" i="4"/>
  <c r="AC25" i="4" s="1"/>
  <c r="X151" i="4"/>
  <c r="Y151" i="4" s="1"/>
  <c r="AD143" i="4"/>
  <c r="AE143" i="4" s="1"/>
  <c r="N35" i="4"/>
  <c r="O35" i="4" s="1"/>
  <c r="Q35" i="4" s="1"/>
  <c r="L100" i="4"/>
  <c r="M100" i="4" s="1"/>
  <c r="AA100" i="4" s="1"/>
  <c r="X135" i="4"/>
  <c r="Y135" i="4" s="1"/>
  <c r="U52" i="4"/>
  <c r="V52" i="4" s="1"/>
  <c r="W52" i="4" s="1"/>
  <c r="L86" i="4"/>
  <c r="AB86" i="4" s="1"/>
  <c r="U86" i="4"/>
  <c r="V86" i="4" s="1"/>
  <c r="W86" i="4" s="1"/>
  <c r="R110" i="4"/>
  <c r="S110" i="4" s="1"/>
  <c r="T110" i="4" s="1"/>
  <c r="R86" i="4"/>
  <c r="S86" i="4" s="1"/>
  <c r="T86" i="4" s="1"/>
  <c r="X59" i="4"/>
  <c r="Y59" i="4" s="1"/>
  <c r="R99" i="4"/>
  <c r="S99" i="4" s="1"/>
  <c r="T99" i="4" s="1"/>
  <c r="AD141" i="4"/>
  <c r="AE141" i="4" s="1"/>
  <c r="X173" i="4"/>
  <c r="Y173" i="4" s="1"/>
  <c r="L143" i="4"/>
  <c r="AB143" i="4" s="1"/>
  <c r="L27" i="4"/>
  <c r="M27" i="4" s="1"/>
  <c r="AA27" i="4" s="1"/>
  <c r="N135" i="4"/>
  <c r="O135" i="4" s="1"/>
  <c r="Q135" i="4" s="1"/>
  <c r="R59" i="4"/>
  <c r="S59" i="4" s="1"/>
  <c r="T59" i="4" s="1"/>
  <c r="U110" i="4"/>
  <c r="V110" i="4" s="1"/>
  <c r="W110" i="4" s="1"/>
  <c r="N27" i="4"/>
  <c r="O27" i="4" s="1"/>
  <c r="Q27" i="4" s="1"/>
  <c r="AD177" i="4"/>
  <c r="AE177" i="4" s="1"/>
  <c r="U59" i="4"/>
  <c r="V59" i="4" s="1"/>
  <c r="W59" i="4" s="1"/>
  <c r="K151" i="4"/>
  <c r="AF151" i="4" s="1"/>
  <c r="R143" i="4"/>
  <c r="S143" i="4" s="1"/>
  <c r="T143" i="4" s="1"/>
  <c r="R35" i="4"/>
  <c r="S35" i="4" s="1"/>
  <c r="T35" i="4" s="1"/>
  <c r="AB186" i="4"/>
  <c r="N71" i="4"/>
  <c r="O71" i="4" s="1"/>
  <c r="Q71" i="4" s="1"/>
  <c r="L99" i="4"/>
  <c r="M99" i="4" s="1"/>
  <c r="AA99" i="4" s="1"/>
  <c r="U178" i="4"/>
  <c r="V178" i="4" s="1"/>
  <c r="W178" i="4" s="1"/>
  <c r="X71" i="4"/>
  <c r="Y71" i="4" s="1"/>
  <c r="X100" i="4"/>
  <c r="Y100" i="4" s="1"/>
  <c r="X178" i="4"/>
  <c r="Y178" i="4" s="1"/>
  <c r="K158" i="4"/>
  <c r="R71" i="4"/>
  <c r="S71" i="4" s="1"/>
  <c r="T71" i="4" s="1"/>
  <c r="AD151" i="4"/>
  <c r="AH151" i="4" s="1"/>
  <c r="L35" i="4"/>
  <c r="Z35" i="4" s="1"/>
  <c r="R186" i="4"/>
  <c r="S186" i="4" s="1"/>
  <c r="T186" i="4" s="1"/>
  <c r="K99" i="4"/>
  <c r="R20" i="4"/>
  <c r="S20" i="4" s="1"/>
  <c r="T20" i="4" s="1"/>
  <c r="R177" i="4"/>
  <c r="S177" i="4" s="1"/>
  <c r="T177" i="4" s="1"/>
  <c r="U84" i="4"/>
  <c r="V84" i="4" s="1"/>
  <c r="W84" i="4" s="1"/>
  <c r="L73" i="4"/>
  <c r="M73" i="4" s="1"/>
  <c r="AA73" i="4" s="1"/>
  <c r="K173" i="4"/>
  <c r="X143" i="4"/>
  <c r="Y143" i="4" s="1"/>
  <c r="L78" i="4"/>
  <c r="M78" i="4" s="1"/>
  <c r="AA78" i="4" s="1"/>
  <c r="AD27" i="4"/>
  <c r="AH27" i="4" s="1"/>
  <c r="AD180" i="4"/>
  <c r="AE180" i="4" s="1"/>
  <c r="R189" i="4"/>
  <c r="S189" i="4" s="1"/>
  <c r="T189" i="4" s="1"/>
  <c r="AD71" i="4"/>
  <c r="AE71" i="4" s="1"/>
  <c r="N84" i="4"/>
  <c r="O84" i="4" s="1"/>
  <c r="Q84" i="4" s="1"/>
  <c r="R72" i="4"/>
  <c r="S72" i="4" s="1"/>
  <c r="T72" i="4" s="1"/>
  <c r="X180" i="4"/>
  <c r="Y180" i="4" s="1"/>
  <c r="X20" i="4"/>
  <c r="Y20" i="4" s="1"/>
  <c r="N173" i="4"/>
  <c r="O173" i="4" s="1"/>
  <c r="Q173" i="4" s="1"/>
  <c r="X186" i="4"/>
  <c r="Y186" i="4" s="1"/>
  <c r="L16" i="4"/>
  <c r="AB16" i="4" s="1"/>
  <c r="X84" i="4"/>
  <c r="Y84" i="4" s="1"/>
  <c r="K73" i="4"/>
  <c r="AD189" i="4"/>
  <c r="AE189" i="4" s="1"/>
  <c r="L178" i="4"/>
  <c r="AB178" i="4" s="1"/>
  <c r="AD20" i="4"/>
  <c r="AH20" i="4" s="1"/>
  <c r="R63" i="4"/>
  <c r="S63" i="4" s="1"/>
  <c r="T63" i="4" s="1"/>
  <c r="AD16" i="4"/>
  <c r="AE16" i="4" s="1"/>
  <c r="L84" i="4"/>
  <c r="AB84" i="4" s="1"/>
  <c r="U100" i="4"/>
  <c r="V100" i="4" s="1"/>
  <c r="W100" i="4" s="1"/>
  <c r="Z138" i="4"/>
  <c r="AC138" i="4" s="1"/>
  <c r="X181" i="4"/>
  <c r="Y181" i="4" s="1"/>
  <c r="X27" i="4"/>
  <c r="Y27" i="4" s="1"/>
  <c r="L52" i="4"/>
  <c r="M52" i="4" s="1"/>
  <c r="AA52" i="4" s="1"/>
  <c r="N184" i="4"/>
  <c r="O184" i="4" s="1"/>
  <c r="Q184" i="4" s="1"/>
  <c r="U135" i="4"/>
  <c r="V135" i="4" s="1"/>
  <c r="W135" i="4" s="1"/>
  <c r="N16" i="4"/>
  <c r="O16" i="4" s="1"/>
  <c r="Q16" i="4" s="1"/>
  <c r="R84" i="4"/>
  <c r="S84" i="4" s="1"/>
  <c r="T84" i="4" s="1"/>
  <c r="L125" i="4"/>
  <c r="N20" i="4"/>
  <c r="O20" i="4" s="1"/>
  <c r="Q20" i="4" s="1"/>
  <c r="N177" i="4"/>
  <c r="O177" i="4" s="1"/>
  <c r="Q177" i="4" s="1"/>
  <c r="X22" i="4"/>
  <c r="Y22" i="4" s="1"/>
  <c r="N52" i="4"/>
  <c r="O52" i="4" s="1"/>
  <c r="Q52" i="4" s="1"/>
  <c r="AD73" i="4"/>
  <c r="AH73" i="4" s="1"/>
  <c r="Z156" i="4"/>
  <c r="L181" i="4"/>
  <c r="AB181" i="4" s="1"/>
  <c r="X88" i="4"/>
  <c r="Y88" i="4" s="1"/>
  <c r="A683" i="3"/>
  <c r="AQ683" i="3" s="1"/>
  <c r="B147" i="2"/>
  <c r="F23" i="3" s="1"/>
  <c r="BM23" i="3" s="1"/>
  <c r="B125" i="2"/>
  <c r="E62" i="1" s="1"/>
  <c r="X116" i="4"/>
  <c r="Y116" i="4" s="1"/>
  <c r="AF199" i="4"/>
  <c r="AF198" i="4"/>
  <c r="K107" i="4"/>
  <c r="AF183" i="4"/>
  <c r="AD131" i="4"/>
  <c r="AE131" i="4" s="1"/>
  <c r="X107" i="4"/>
  <c r="Y107" i="4" s="1"/>
  <c r="AE107" i="4"/>
  <c r="AH107" i="4"/>
  <c r="AE114" i="4"/>
  <c r="AH114" i="4"/>
  <c r="AE91" i="4"/>
  <c r="AH91" i="4"/>
  <c r="AH166" i="4"/>
  <c r="AE24" i="4"/>
  <c r="AH24" i="4"/>
  <c r="AE102" i="4"/>
  <c r="AH102" i="4"/>
  <c r="AE196" i="4"/>
  <c r="AG196" i="4" s="1"/>
  <c r="AS196" i="4" s="1"/>
  <c r="AH196" i="4"/>
  <c r="AE44" i="4"/>
  <c r="AH44" i="4"/>
  <c r="AE68" i="4"/>
  <c r="AH68" i="4"/>
  <c r="AE67" i="4"/>
  <c r="AH67" i="4"/>
  <c r="AE138" i="4"/>
  <c r="AH138" i="4"/>
  <c r="AE94" i="4"/>
  <c r="AH94" i="4"/>
  <c r="AE76" i="4"/>
  <c r="AH76" i="4"/>
  <c r="AE174" i="4"/>
  <c r="AH174" i="4"/>
  <c r="AE137" i="4"/>
  <c r="AH137" i="4"/>
  <c r="AE97" i="4"/>
  <c r="AH97" i="4"/>
  <c r="AE21" i="4"/>
  <c r="AH21" i="4"/>
  <c r="AE206" i="4"/>
  <c r="AH206" i="4"/>
  <c r="AE146" i="4"/>
  <c r="AH146" i="4"/>
  <c r="AE157" i="4"/>
  <c r="AH157" i="4"/>
  <c r="AE156" i="4"/>
  <c r="AH156" i="4"/>
  <c r="AF155" i="4"/>
  <c r="AE108" i="4"/>
  <c r="AH108" i="4"/>
  <c r="AE53" i="4"/>
  <c r="AH53" i="4"/>
  <c r="AB198" i="4"/>
  <c r="AE80" i="4"/>
  <c r="AH80" i="4"/>
  <c r="AE26" i="4"/>
  <c r="AH26" i="4"/>
  <c r="AE70" i="4"/>
  <c r="AG70" i="4" s="1"/>
  <c r="AS70" i="4" s="1"/>
  <c r="AH70" i="4"/>
  <c r="AE139" i="4"/>
  <c r="AG139" i="4" s="1"/>
  <c r="AS139" i="4" s="1"/>
  <c r="AH139" i="4"/>
  <c r="L107" i="4"/>
  <c r="AB107" i="4" s="1"/>
  <c r="AE183" i="4"/>
  <c r="AH183" i="4"/>
  <c r="AE50" i="4"/>
  <c r="AH50" i="4"/>
  <c r="AE95" i="4"/>
  <c r="AH95" i="4"/>
  <c r="AE29" i="4"/>
  <c r="AH29" i="4"/>
  <c r="AE162" i="4"/>
  <c r="AH162" i="4"/>
  <c r="AE33" i="4"/>
  <c r="AH33" i="4"/>
  <c r="AE62" i="4"/>
  <c r="AH62" i="4"/>
  <c r="AE103" i="4"/>
  <c r="AH103" i="4"/>
  <c r="AE172" i="4"/>
  <c r="AH172" i="4"/>
  <c r="AE74" i="4"/>
  <c r="AH74" i="4"/>
  <c r="AE208" i="4"/>
  <c r="AH208" i="4"/>
  <c r="AE123" i="4"/>
  <c r="AH123" i="4"/>
  <c r="AE188" i="4"/>
  <c r="AH188" i="4"/>
  <c r="AE25" i="4"/>
  <c r="AH25" i="4"/>
  <c r="AE134" i="4"/>
  <c r="AH134" i="4"/>
  <c r="AE101" i="4"/>
  <c r="AH101" i="4"/>
  <c r="AH200" i="4"/>
  <c r="AE11" i="4"/>
  <c r="AH11" i="4"/>
  <c r="AE31" i="4"/>
  <c r="AG31" i="4" s="1"/>
  <c r="AS31" i="4" s="1"/>
  <c r="AH31" i="4"/>
  <c r="AE155" i="4"/>
  <c r="AH155" i="4"/>
  <c r="AE66" i="4"/>
  <c r="AH66" i="4"/>
  <c r="AE90" i="4"/>
  <c r="AH90" i="4"/>
  <c r="AE58" i="4"/>
  <c r="AH58" i="4"/>
  <c r="AE111" i="4"/>
  <c r="AH111" i="4"/>
  <c r="AE75" i="4"/>
  <c r="AH75" i="4"/>
  <c r="AE194" i="4"/>
  <c r="AH194" i="4"/>
  <c r="AE147" i="4"/>
  <c r="AH147" i="4"/>
  <c r="AE154" i="4"/>
  <c r="AH154" i="4"/>
  <c r="AE150" i="4"/>
  <c r="AH150" i="4"/>
  <c r="AE60" i="4"/>
  <c r="AH60" i="4"/>
  <c r="AE171" i="4"/>
  <c r="AG171" i="4" s="1"/>
  <c r="AS171" i="4" s="1"/>
  <c r="AH171" i="4"/>
  <c r="AE89" i="4"/>
  <c r="AH89" i="4"/>
  <c r="AE121" i="4"/>
  <c r="AH121" i="4"/>
  <c r="AH167" i="4"/>
  <c r="AE128" i="4"/>
  <c r="AH128" i="4"/>
  <c r="AE92" i="4"/>
  <c r="AH92" i="4"/>
  <c r="AE115" i="4"/>
  <c r="AH115" i="4"/>
  <c r="AE17" i="4"/>
  <c r="AH17" i="4"/>
  <c r="AE112" i="4"/>
  <c r="AH112" i="4"/>
  <c r="AE205" i="4"/>
  <c r="AH205" i="4"/>
  <c r="AE81" i="4"/>
  <c r="AH81" i="4"/>
  <c r="AE153" i="4"/>
  <c r="AH153" i="4"/>
  <c r="AE198" i="4"/>
  <c r="AH198" i="4"/>
  <c r="AE15" i="4"/>
  <c r="AH15" i="4"/>
  <c r="AE113" i="4"/>
  <c r="AH113" i="4"/>
  <c r="Z26" i="4"/>
  <c r="AE140" i="4"/>
  <c r="AH140" i="4"/>
  <c r="AE191" i="4"/>
  <c r="AH191" i="4"/>
  <c r="AE199" i="4"/>
  <c r="AH199" i="4"/>
  <c r="AE119" i="4"/>
  <c r="AG119" i="4" s="1"/>
  <c r="AS119" i="4" s="1"/>
  <c r="AH119" i="4"/>
  <c r="AH64" i="4"/>
  <c r="AE197" i="4"/>
  <c r="AH197" i="4"/>
  <c r="AE164" i="4"/>
  <c r="AG164" i="4" s="1"/>
  <c r="AS164" i="4" s="1"/>
  <c r="AH164" i="4"/>
  <c r="AF147" i="4"/>
  <c r="AE152" i="4"/>
  <c r="AG152" i="4" s="1"/>
  <c r="AS152" i="4" s="1"/>
  <c r="AH152" i="4"/>
  <c r="AE175" i="4"/>
  <c r="AH175" i="4"/>
  <c r="AE56" i="4"/>
  <c r="AH56" i="4"/>
  <c r="AE83" i="4"/>
  <c r="AH83" i="4"/>
  <c r="AE41" i="4"/>
  <c r="AH41" i="4"/>
  <c r="AE204" i="4"/>
  <c r="AH204" i="4"/>
  <c r="R107" i="4"/>
  <c r="S107" i="4" s="1"/>
  <c r="T107" i="4" s="1"/>
  <c r="N107" i="4"/>
  <c r="O107" i="4" s="1"/>
  <c r="Q107" i="4" s="1"/>
  <c r="U107" i="4"/>
  <c r="V107" i="4" s="1"/>
  <c r="W107" i="4" s="1"/>
  <c r="N159" i="4"/>
  <c r="O159" i="4" s="1"/>
  <c r="Q159" i="4" s="1"/>
  <c r="AF172" i="4"/>
  <c r="Z64" i="4"/>
  <c r="B15" i="6"/>
  <c r="Z188" i="4"/>
  <c r="AB175" i="4"/>
  <c r="U153" i="4"/>
  <c r="V153" i="4" s="1"/>
  <c r="W153" i="4" s="1"/>
  <c r="K168" i="4"/>
  <c r="AD168" i="4"/>
  <c r="M167" i="4"/>
  <c r="AA167" i="4" s="1"/>
  <c r="X65" i="4"/>
  <c r="Y65" i="4" s="1"/>
  <c r="X168" i="4"/>
  <c r="Y168" i="4" s="1"/>
  <c r="L168" i="4"/>
  <c r="M168" i="4" s="1"/>
  <c r="AA168" i="4" s="1"/>
  <c r="AD170" i="4"/>
  <c r="AB172" i="4"/>
  <c r="M26" i="4"/>
  <c r="AA26" i="4" s="1"/>
  <c r="AF26" i="4"/>
  <c r="N201" i="4"/>
  <c r="O201" i="4" s="1"/>
  <c r="Q201" i="4" s="1"/>
  <c r="M150" i="4"/>
  <c r="AA150" i="4" s="1"/>
  <c r="Z150" i="4"/>
  <c r="L34" i="4"/>
  <c r="Z34" i="4" s="1"/>
  <c r="K159" i="4"/>
  <c r="AF159" i="4" s="1"/>
  <c r="AF150" i="4"/>
  <c r="X201" i="4"/>
  <c r="Y201" i="4" s="1"/>
  <c r="N161" i="4"/>
  <c r="O161" i="4" s="1"/>
  <c r="Q161" i="4" s="1"/>
  <c r="Z198" i="4"/>
  <c r="AF162" i="4"/>
  <c r="AF140" i="4"/>
  <c r="AB199" i="4"/>
  <c r="Z199" i="4"/>
  <c r="M199" i="4"/>
  <c r="AA199" i="4" s="1"/>
  <c r="U168" i="4"/>
  <c r="V168" i="4" s="1"/>
  <c r="W168" i="4" s="1"/>
  <c r="Z83" i="4"/>
  <c r="AF188" i="4"/>
  <c r="N168" i="4"/>
  <c r="O168" i="4" s="1"/>
  <c r="Q168" i="4" s="1"/>
  <c r="AB140" i="4"/>
  <c r="X159" i="4"/>
  <c r="Y159" i="4" s="1"/>
  <c r="AB112" i="4"/>
  <c r="AB183" i="4"/>
  <c r="Z172" i="4"/>
  <c r="AB188" i="4"/>
  <c r="M183" i="4"/>
  <c r="AA183" i="4" s="1"/>
  <c r="B16" i="6"/>
  <c r="K201" i="4"/>
  <c r="AF201" i="4" s="1"/>
  <c r="U81" i="4"/>
  <c r="V81" i="4" s="1"/>
  <c r="W81" i="4" s="1"/>
  <c r="U159" i="4"/>
  <c r="V159" i="4" s="1"/>
  <c r="W159" i="4" s="1"/>
  <c r="Z183" i="4"/>
  <c r="U103" i="4"/>
  <c r="V103" i="4" s="1"/>
  <c r="W103" i="4" s="1"/>
  <c r="AB58" i="4"/>
  <c r="AD34" i="4"/>
  <c r="AB171" i="4"/>
  <c r="AF138" i="4"/>
  <c r="AD159" i="4"/>
  <c r="AB201" i="4"/>
  <c r="Z74" i="4"/>
  <c r="Z58" i="4"/>
  <c r="X153" i="4"/>
  <c r="Y153" i="4" s="1"/>
  <c r="R159" i="4"/>
  <c r="S159" i="4" s="1"/>
  <c r="T159" i="4" s="1"/>
  <c r="M95" i="4"/>
  <c r="AA95" i="4" s="1"/>
  <c r="B69" i="2"/>
  <c r="E37" i="1" s="1"/>
  <c r="AF33" i="4"/>
  <c r="B3" i="6"/>
  <c r="B66" i="2"/>
  <c r="Z147" i="4"/>
  <c r="R34" i="4"/>
  <c r="S34" i="4" s="1"/>
  <c r="T34" i="4" s="1"/>
  <c r="N32" i="4"/>
  <c r="O32" i="4" s="1"/>
  <c r="Q32" i="4" s="1"/>
  <c r="Z44" i="4"/>
  <c r="AF44" i="4"/>
  <c r="AB44" i="4"/>
  <c r="X136" i="4"/>
  <c r="Y136" i="4" s="1"/>
  <c r="M163" i="4"/>
  <c r="AA163" i="4" s="1"/>
  <c r="L195" i="4"/>
  <c r="K195" i="4"/>
  <c r="K136" i="4"/>
  <c r="N34" i="4"/>
  <c r="O34" i="4" s="1"/>
  <c r="Q34" i="4" s="1"/>
  <c r="AB33" i="4"/>
  <c r="E20" i="1"/>
  <c r="Z33" i="4"/>
  <c r="B72" i="2"/>
  <c r="E34" i="1" s="1"/>
  <c r="AF58" i="4"/>
  <c r="B84" i="2"/>
  <c r="E45" i="1" s="1"/>
  <c r="K32" i="4"/>
  <c r="X170" i="4"/>
  <c r="Y170" i="4" s="1"/>
  <c r="B70" i="2"/>
  <c r="E32" i="1" s="1"/>
  <c r="U201" i="4"/>
  <c r="V201" i="4" s="1"/>
  <c r="W201" i="4" s="1"/>
  <c r="Z140" i="4"/>
  <c r="E19" i="1"/>
  <c r="AF154" i="4"/>
  <c r="B158" i="2"/>
  <c r="B82" i="2"/>
  <c r="E43" i="1" s="1"/>
  <c r="U161" i="4"/>
  <c r="V161" i="4" s="1"/>
  <c r="W161" i="4" s="1"/>
  <c r="Z163" i="4"/>
  <c r="AD136" i="4"/>
  <c r="L136" i="4"/>
  <c r="R136" i="4"/>
  <c r="S136" i="4" s="1"/>
  <c r="T136" i="4" s="1"/>
  <c r="N136" i="4"/>
  <c r="O136" i="4" s="1"/>
  <c r="Q136" i="4" s="1"/>
  <c r="Z154" i="4"/>
  <c r="M154" i="4"/>
  <c r="AA154" i="4" s="1"/>
  <c r="Z119" i="4"/>
  <c r="AC119" i="4" s="1"/>
  <c r="G156" i="2"/>
  <c r="B50" i="2"/>
  <c r="B59" i="2" s="1"/>
  <c r="R22" i="8" s="1"/>
  <c r="S22" i="8" s="1"/>
  <c r="B74" i="2"/>
  <c r="E36" i="1" s="1"/>
  <c r="Z196" i="4"/>
  <c r="AC196" i="4" s="1"/>
  <c r="AB147" i="4"/>
  <c r="M147" i="4"/>
  <c r="AA147" i="4" s="1"/>
  <c r="R201" i="4"/>
  <c r="S201" i="4" s="1"/>
  <c r="T201" i="4" s="1"/>
  <c r="M146" i="4"/>
  <c r="AA146" i="4" s="1"/>
  <c r="M171" i="4"/>
  <c r="AA171" i="4" s="1"/>
  <c r="B160" i="2"/>
  <c r="Z171" i="4"/>
  <c r="AD132" i="4"/>
  <c r="L193" i="4"/>
  <c r="R193" i="4"/>
  <c r="S193" i="4" s="1"/>
  <c r="T193" i="4" s="1"/>
  <c r="X193" i="4"/>
  <c r="Y193" i="4" s="1"/>
  <c r="N193" i="4"/>
  <c r="O193" i="4" s="1"/>
  <c r="Q193" i="4" s="1"/>
  <c r="AD193" i="4"/>
  <c r="K193" i="4"/>
  <c r="U193" i="4"/>
  <c r="V193" i="4" s="1"/>
  <c r="W193" i="4" s="1"/>
  <c r="M91" i="4"/>
  <c r="AA91" i="4" s="1"/>
  <c r="AF91" i="4"/>
  <c r="AB91" i="4"/>
  <c r="AB134" i="4"/>
  <c r="M134" i="4"/>
  <c r="AA134" i="4" s="1"/>
  <c r="AF95" i="4"/>
  <c r="Z95" i="4"/>
  <c r="L89" i="4"/>
  <c r="N89" i="4"/>
  <c r="O89" i="4" s="1"/>
  <c r="Q89" i="4" s="1"/>
  <c r="X89" i="4"/>
  <c r="Y89" i="4" s="1"/>
  <c r="R89" i="4"/>
  <c r="S89" i="4" s="1"/>
  <c r="T89" i="4" s="1"/>
  <c r="K89" i="4"/>
  <c r="U89" i="4"/>
  <c r="V89" i="4" s="1"/>
  <c r="W89" i="4" s="1"/>
  <c r="Z101" i="4"/>
  <c r="AF101" i="4"/>
  <c r="M101" i="4"/>
  <c r="AA101" i="4" s="1"/>
  <c r="AB101" i="4"/>
  <c r="M197" i="4"/>
  <c r="AA197" i="4" s="1"/>
  <c r="AB197" i="4"/>
  <c r="K129" i="4"/>
  <c r="N129" i="4"/>
  <c r="O129" i="4" s="1"/>
  <c r="Q129" i="4" s="1"/>
  <c r="R129" i="4"/>
  <c r="S129" i="4" s="1"/>
  <c r="T129" i="4" s="1"/>
  <c r="L129" i="4"/>
  <c r="X129" i="4"/>
  <c r="Y129" i="4" s="1"/>
  <c r="AD129" i="4"/>
  <c r="U129" i="4"/>
  <c r="V129" i="4" s="1"/>
  <c r="W129" i="4" s="1"/>
  <c r="AF121" i="4"/>
  <c r="M121" i="4"/>
  <c r="AA121" i="4" s="1"/>
  <c r="AB121" i="4"/>
  <c r="Z121" i="4"/>
  <c r="A74" i="8"/>
  <c r="AB38" i="4"/>
  <c r="AF38" i="4"/>
  <c r="AG38" i="4" s="1"/>
  <c r="AS38" i="4" s="1"/>
  <c r="AF67" i="4"/>
  <c r="Z67" i="4"/>
  <c r="AC67" i="4" s="1"/>
  <c r="AB206" i="4"/>
  <c r="M206" i="4"/>
  <c r="AA206" i="4" s="1"/>
  <c r="A100" i="8"/>
  <c r="M191" i="4"/>
  <c r="AA191" i="4" s="1"/>
  <c r="AB191" i="4"/>
  <c r="AF191" i="4"/>
  <c r="Z191" i="4"/>
  <c r="M155" i="4"/>
  <c r="AA155" i="4" s="1"/>
  <c r="AF137" i="4"/>
  <c r="Z137" i="4"/>
  <c r="A85" i="8"/>
  <c r="A90" i="8"/>
  <c r="Z204" i="4"/>
  <c r="AF204" i="4"/>
  <c r="M204" i="4"/>
  <c r="AA204" i="4" s="1"/>
  <c r="AB204" i="4"/>
  <c r="Z91" i="4"/>
  <c r="Z155" i="4"/>
  <c r="K161" i="4"/>
  <c r="R161" i="4"/>
  <c r="S161" i="4" s="1"/>
  <c r="T161" i="4" s="1"/>
  <c r="L161" i="4"/>
  <c r="AD161" i="4"/>
  <c r="AB68" i="4"/>
  <c r="M68" i="4"/>
  <c r="AA68" i="4" s="1"/>
  <c r="AF68" i="4"/>
  <c r="A92" i="8"/>
  <c r="Z56" i="4"/>
  <c r="AF56" i="4"/>
  <c r="M56" i="4"/>
  <c r="AA56" i="4" s="1"/>
  <c r="AB155" i="4"/>
  <c r="X132" i="4"/>
  <c r="Y132" i="4" s="1"/>
  <c r="AD201" i="4"/>
  <c r="A108" i="8"/>
  <c r="Z166" i="4"/>
  <c r="M166" i="4"/>
  <c r="AA166" i="4" s="1"/>
  <c r="Z97" i="4"/>
  <c r="Z175" i="4"/>
  <c r="L32" i="4"/>
  <c r="R32" i="4"/>
  <c r="S32" i="4" s="1"/>
  <c r="T32" i="4" s="1"/>
  <c r="K131" i="4"/>
  <c r="L131" i="4"/>
  <c r="R131" i="4"/>
  <c r="S131" i="4" s="1"/>
  <c r="T131" i="4" s="1"/>
  <c r="N131" i="4"/>
  <c r="O131" i="4" s="1"/>
  <c r="Q131" i="4" s="1"/>
  <c r="U131" i="4"/>
  <c r="V131" i="4" s="1"/>
  <c r="W131" i="4" s="1"/>
  <c r="Z50" i="4"/>
  <c r="AD32" i="4"/>
  <c r="A94" i="8"/>
  <c r="A123" i="8"/>
  <c r="Z162" i="4"/>
  <c r="X34" i="4"/>
  <c r="Y34" i="4" s="1"/>
  <c r="R103" i="4"/>
  <c r="S103" i="4" s="1"/>
  <c r="T103" i="4" s="1"/>
  <c r="L103" i="4"/>
  <c r="K103" i="4"/>
  <c r="N103" i="4"/>
  <c r="O103" i="4" s="1"/>
  <c r="Q103" i="4" s="1"/>
  <c r="K81" i="4"/>
  <c r="N81" i="4"/>
  <c r="O81" i="4" s="1"/>
  <c r="Q81" i="4" s="1"/>
  <c r="L81" i="4"/>
  <c r="R81" i="4"/>
  <c r="S81" i="4" s="1"/>
  <c r="T81" i="4" s="1"/>
  <c r="A77" i="8"/>
  <c r="X81" i="4"/>
  <c r="Y81" i="4" s="1"/>
  <c r="A71" i="8"/>
  <c r="K65" i="4"/>
  <c r="L65" i="4"/>
  <c r="AD65" i="4"/>
  <c r="N65" i="4"/>
  <c r="O65" i="4" s="1"/>
  <c r="Q65" i="4" s="1"/>
  <c r="R65" i="4"/>
  <c r="S65" i="4" s="1"/>
  <c r="T65" i="4" s="1"/>
  <c r="K153" i="4"/>
  <c r="L153" i="4"/>
  <c r="R153" i="4"/>
  <c r="S153" i="4" s="1"/>
  <c r="T153" i="4" s="1"/>
  <c r="N153" i="4"/>
  <c r="O153" i="4" s="1"/>
  <c r="Q153" i="4" s="1"/>
  <c r="M159" i="4"/>
  <c r="AA159" i="4" s="1"/>
  <c r="AB159" i="4"/>
  <c r="A44" i="16"/>
  <c r="L44" i="16" s="1"/>
  <c r="L65" i="16" s="1"/>
  <c r="N65" i="16" s="1"/>
  <c r="AB50" i="4"/>
  <c r="R195" i="4"/>
  <c r="S195" i="4" s="1"/>
  <c r="T195" i="4" s="1"/>
  <c r="R116" i="4"/>
  <c r="S116" i="4" s="1"/>
  <c r="T116" i="4" s="1"/>
  <c r="L116" i="4"/>
  <c r="N116" i="4"/>
  <c r="O116" i="4" s="1"/>
  <c r="Q116" i="4" s="1"/>
  <c r="K116" i="4"/>
  <c r="X103" i="4"/>
  <c r="Y103" i="4" s="1"/>
  <c r="X32" i="4"/>
  <c r="Y32" i="4" s="1"/>
  <c r="A93" i="8"/>
  <c r="AR39" i="3"/>
  <c r="B39" i="3"/>
  <c r="A40" i="3"/>
  <c r="AQ39" i="3"/>
  <c r="C39" i="3"/>
  <c r="D39" i="3"/>
  <c r="A91" i="8"/>
  <c r="AF123" i="4"/>
  <c r="AD116" i="4"/>
  <c r="N170" i="4"/>
  <c r="O170" i="4" s="1"/>
  <c r="Q170" i="4" s="1"/>
  <c r="L170" i="4"/>
  <c r="K170" i="4"/>
  <c r="R170" i="4"/>
  <c r="S170" i="4" s="1"/>
  <c r="T170" i="4" s="1"/>
  <c r="U34" i="4"/>
  <c r="V34" i="4" s="1"/>
  <c r="W34" i="4" s="1"/>
  <c r="R9" i="8"/>
  <c r="S9" i="8" s="1"/>
  <c r="S30" i="8" s="1"/>
  <c r="C77" i="1" s="1"/>
  <c r="D77" i="1" s="1"/>
  <c r="B77" i="1"/>
  <c r="R127" i="4"/>
  <c r="S127" i="4" s="1"/>
  <c r="T127" i="4" s="1"/>
  <c r="L127" i="4"/>
  <c r="N127" i="4"/>
  <c r="O127" i="4" s="1"/>
  <c r="Q127" i="4" s="1"/>
  <c r="K127" i="4"/>
  <c r="AF174" i="4"/>
  <c r="AD127" i="4"/>
  <c r="AB174" i="4"/>
  <c r="Z174" i="4"/>
  <c r="U127" i="4"/>
  <c r="V127" i="4" s="1"/>
  <c r="W127" i="4" s="1"/>
  <c r="AB164" i="4"/>
  <c r="X127" i="4"/>
  <c r="Y127" i="4" s="1"/>
  <c r="M208" i="4"/>
  <c r="AA208" i="4" s="1"/>
  <c r="Z208" i="4"/>
  <c r="R132" i="4"/>
  <c r="S132" i="4" s="1"/>
  <c r="T132" i="4" s="1"/>
  <c r="L132" i="4"/>
  <c r="K132" i="4"/>
  <c r="N132" i="4"/>
  <c r="O132" i="4" s="1"/>
  <c r="Q132" i="4" s="1"/>
  <c r="Z31" i="4"/>
  <c r="AF208" i="4"/>
  <c r="AF194" i="4"/>
  <c r="X61" i="4"/>
  <c r="Y61" i="4" s="1"/>
  <c r="M31" i="4"/>
  <c r="AA31" i="4" s="1"/>
  <c r="Z194" i="4"/>
  <c r="AB194" i="4"/>
  <c r="R14" i="8"/>
  <c r="E28" i="1"/>
  <c r="AB31" i="4"/>
  <c r="AF197" i="4"/>
  <c r="AB57" i="4"/>
  <c r="AF57" i="4"/>
  <c r="AF163" i="4"/>
  <c r="AG163" i="4" s="1"/>
  <c r="AS163" i="4" s="1"/>
  <c r="N195" i="4"/>
  <c r="O195" i="4" s="1"/>
  <c r="Q195" i="4" s="1"/>
  <c r="X195" i="4"/>
  <c r="Y195" i="4" s="1"/>
  <c r="AD195" i="4"/>
  <c r="M162" i="4"/>
  <c r="AA162" i="4" s="1"/>
  <c r="AF156" i="4"/>
  <c r="AF50" i="4"/>
  <c r="AB162" i="4"/>
  <c r="M156" i="4"/>
  <c r="AA156" i="4" s="1"/>
  <c r="AB156" i="4"/>
  <c r="Z38" i="4"/>
  <c r="AF112" i="4"/>
  <c r="AF175" i="4"/>
  <c r="R61" i="4"/>
  <c r="S61" i="4" s="1"/>
  <c r="T61" i="4" s="1"/>
  <c r="Z134" i="4"/>
  <c r="AF205" i="4"/>
  <c r="M50" i="4"/>
  <c r="AA50" i="4" s="1"/>
  <c r="AF80" i="4"/>
  <c r="Z76" i="4"/>
  <c r="Z80" i="4"/>
  <c r="Z139" i="4"/>
  <c r="AC139" i="4" s="1"/>
  <c r="AF76" i="4"/>
  <c r="AF146" i="4"/>
  <c r="AB66" i="4"/>
  <c r="AB76" i="4"/>
  <c r="Z112" i="4"/>
  <c r="Z66" i="4"/>
  <c r="Z114" i="4"/>
  <c r="AF66" i="4"/>
  <c r="M80" i="4"/>
  <c r="AA80" i="4" s="1"/>
  <c r="AB114" i="4"/>
  <c r="AF10" i="4"/>
  <c r="AG10" i="4" s="1"/>
  <c r="AS10" i="4" s="1"/>
  <c r="AF114" i="4"/>
  <c r="AB79" i="4"/>
  <c r="M164" i="4"/>
  <c r="AA164" i="4" s="1"/>
  <c r="AB56" i="4"/>
  <c r="Z68" i="4"/>
  <c r="Z152" i="4"/>
  <c r="N61" i="4"/>
  <c r="O61" i="4" s="1"/>
  <c r="Q61" i="4" s="1"/>
  <c r="U61" i="4"/>
  <c r="V61" i="4" s="1"/>
  <c r="W61" i="4" s="1"/>
  <c r="L61" i="4"/>
  <c r="AD61" i="4"/>
  <c r="Z108" i="4"/>
  <c r="Z205" i="4"/>
  <c r="Z60" i="4"/>
  <c r="AB205" i="4"/>
  <c r="M205" i="4"/>
  <c r="AA205" i="4" s="1"/>
  <c r="Z146" i="4"/>
  <c r="AF134" i="4"/>
  <c r="AF25" i="4"/>
  <c r="M38" i="4"/>
  <c r="AA38" i="4" s="1"/>
  <c r="Z10" i="4"/>
  <c r="Z94" i="4"/>
  <c r="Z197" i="4"/>
  <c r="Z164" i="4"/>
  <c r="AB94" i="4"/>
  <c r="AF94" i="4"/>
  <c r="Z206" i="4"/>
  <c r="AF206" i="4"/>
  <c r="AB10" i="4"/>
  <c r="X9" i="4"/>
  <c r="Y9" i="4" s="1"/>
  <c r="AD9" i="4"/>
  <c r="M43" i="4"/>
  <c r="AA43" i="4" s="1"/>
  <c r="AB43" i="4"/>
  <c r="M124" i="4"/>
  <c r="AA124" i="4" s="1"/>
  <c r="AB124" i="4"/>
  <c r="M60" i="4"/>
  <c r="AA60" i="4" s="1"/>
  <c r="AB60" i="4"/>
  <c r="AF60" i="4"/>
  <c r="M102" i="4"/>
  <c r="AA102" i="4" s="1"/>
  <c r="Z102" i="4"/>
  <c r="AB102" i="4"/>
  <c r="AF102" i="4"/>
  <c r="AD46" i="4"/>
  <c r="M97" i="4"/>
  <c r="AA97" i="4" s="1"/>
  <c r="AB97" i="4"/>
  <c r="M15" i="4"/>
  <c r="AA15" i="4" s="1"/>
  <c r="AB15" i="4"/>
  <c r="AF15" i="4"/>
  <c r="Z15" i="4"/>
  <c r="M71" i="4"/>
  <c r="AA71" i="4" s="1"/>
  <c r="AB71" i="4"/>
  <c r="Z70" i="4"/>
  <c r="AC70" i="4" s="1"/>
  <c r="M92" i="4"/>
  <c r="AA92" i="4" s="1"/>
  <c r="AB92" i="4"/>
  <c r="AF92" i="4"/>
  <c r="X113" i="4"/>
  <c r="Y113" i="4" s="1"/>
  <c r="M17" i="4"/>
  <c r="AA17" i="4" s="1"/>
  <c r="AF11" i="4"/>
  <c r="AB11" i="4"/>
  <c r="M11" i="4"/>
  <c r="AA11" i="4" s="1"/>
  <c r="Z11" i="4"/>
  <c r="AF124" i="4"/>
  <c r="AG124" i="4" s="1"/>
  <c r="AS124" i="4" s="1"/>
  <c r="AF83" i="4"/>
  <c r="M83" i="4"/>
  <c r="AA83" i="4" s="1"/>
  <c r="AB83" i="4"/>
  <c r="Z124" i="4"/>
  <c r="M137" i="4"/>
  <c r="AA137" i="4" s="1"/>
  <c r="AB137" i="4"/>
  <c r="Z62" i="4"/>
  <c r="AB62" i="4"/>
  <c r="M62" i="4"/>
  <c r="AA62" i="4" s="1"/>
  <c r="AF62" i="4"/>
  <c r="M87" i="4"/>
  <c r="AA87" i="4" s="1"/>
  <c r="AB87" i="4"/>
  <c r="M74" i="4"/>
  <c r="AA74" i="4" s="1"/>
  <c r="AF74" i="4"/>
  <c r="AB74" i="4"/>
  <c r="AB21" i="4"/>
  <c r="Z21" i="4"/>
  <c r="AF21" i="4"/>
  <c r="M21" i="4"/>
  <c r="AA21" i="4" s="1"/>
  <c r="AF97" i="4"/>
  <c r="M128" i="4"/>
  <c r="AA128" i="4" s="1"/>
  <c r="AB128" i="4"/>
  <c r="Z128" i="4"/>
  <c r="Z92" i="4"/>
  <c r="U24" i="4"/>
  <c r="V24" i="4" s="1"/>
  <c r="W24" i="4" s="1"/>
  <c r="M47" i="4"/>
  <c r="AA47" i="4" s="1"/>
  <c r="AB47" i="4"/>
  <c r="AB29" i="4"/>
  <c r="AF29" i="4"/>
  <c r="M29" i="4"/>
  <c r="AA29" i="4" s="1"/>
  <c r="Z29" i="4"/>
  <c r="AB75" i="4"/>
  <c r="AF75" i="4"/>
  <c r="M75" i="4"/>
  <c r="AA75" i="4" s="1"/>
  <c r="Z75" i="4"/>
  <c r="E27" i="1"/>
  <c r="D48" i="16"/>
  <c r="M108" i="4"/>
  <c r="AA108" i="4" s="1"/>
  <c r="AB108" i="4"/>
  <c r="AF108" i="4"/>
  <c r="M152" i="4"/>
  <c r="AA152" i="4" s="1"/>
  <c r="AB152" i="4"/>
  <c r="AF128" i="4"/>
  <c r="K115" i="4"/>
  <c r="X115" i="4"/>
  <c r="Y115" i="4" s="1"/>
  <c r="N115" i="4"/>
  <c r="O115" i="4" s="1"/>
  <c r="Q115" i="4" s="1"/>
  <c r="L115" i="4"/>
  <c r="R115" i="4"/>
  <c r="S115" i="4" s="1"/>
  <c r="T115" i="4" s="1"/>
  <c r="U115" i="4"/>
  <c r="V115" i="4" s="1"/>
  <c r="W115" i="4" s="1"/>
  <c r="K45" i="4"/>
  <c r="AD45" i="4"/>
  <c r="U45" i="4"/>
  <c r="V45" i="4" s="1"/>
  <c r="W45" i="4" s="1"/>
  <c r="N45" i="4"/>
  <c r="O45" i="4" s="1"/>
  <c r="Q45" i="4" s="1"/>
  <c r="L45" i="4"/>
  <c r="R45" i="4"/>
  <c r="S45" i="4" s="1"/>
  <c r="T45" i="4" s="1"/>
  <c r="K9" i="4"/>
  <c r="R9" i="4"/>
  <c r="S9" i="4" s="1"/>
  <c r="T9" i="4" s="1"/>
  <c r="L9" i="4"/>
  <c r="N9" i="4"/>
  <c r="O9" i="4" s="1"/>
  <c r="Q9" i="4" s="1"/>
  <c r="L111" i="4"/>
  <c r="K111" i="4"/>
  <c r="X111" i="4"/>
  <c r="Y111" i="4" s="1"/>
  <c r="N111" i="4"/>
  <c r="O111" i="4" s="1"/>
  <c r="Q111" i="4" s="1"/>
  <c r="U111" i="4"/>
  <c r="V111" i="4" s="1"/>
  <c r="W111" i="4" s="1"/>
  <c r="R111" i="4"/>
  <c r="S111" i="4" s="1"/>
  <c r="T111" i="4" s="1"/>
  <c r="K41" i="4"/>
  <c r="U41" i="4"/>
  <c r="V41" i="4" s="1"/>
  <c r="W41" i="4" s="1"/>
  <c r="R41" i="4"/>
  <c r="S41" i="4" s="1"/>
  <c r="T41" i="4" s="1"/>
  <c r="N41" i="4"/>
  <c r="O41" i="4" s="1"/>
  <c r="Q41" i="4" s="1"/>
  <c r="X41" i="4"/>
  <c r="Y41" i="4" s="1"/>
  <c r="L41" i="4"/>
  <c r="AD49" i="4"/>
  <c r="R113" i="4"/>
  <c r="S113" i="4" s="1"/>
  <c r="T113" i="4" s="1"/>
  <c r="L113" i="4"/>
  <c r="K113" i="4"/>
  <c r="N113" i="4"/>
  <c r="O113" i="4" s="1"/>
  <c r="Q113" i="4" s="1"/>
  <c r="U46" i="4"/>
  <c r="V46" i="4" s="1"/>
  <c r="W46" i="4" s="1"/>
  <c r="C225" i="2"/>
  <c r="B225" i="2" s="1"/>
  <c r="B226" i="2" s="1"/>
  <c r="C79" i="4"/>
  <c r="B79" i="4" s="1"/>
  <c r="B80" i="4" s="1"/>
  <c r="B70" i="4"/>
  <c r="X24" i="4"/>
  <c r="Y24" i="4" s="1"/>
  <c r="U113" i="4"/>
  <c r="V113" i="4" s="1"/>
  <c r="W113" i="4" s="1"/>
  <c r="K49" i="4"/>
  <c r="R49" i="4"/>
  <c r="S49" i="4" s="1"/>
  <c r="T49" i="4" s="1"/>
  <c r="L49" i="4"/>
  <c r="N49" i="4"/>
  <c r="O49" i="4" s="1"/>
  <c r="Q49" i="4" s="1"/>
  <c r="U49" i="4"/>
  <c r="V49" i="4" s="1"/>
  <c r="W49" i="4" s="1"/>
  <c r="K46" i="4"/>
  <c r="R46" i="4"/>
  <c r="S46" i="4" s="1"/>
  <c r="T46" i="4" s="1"/>
  <c r="N46" i="4"/>
  <c r="O46" i="4" s="1"/>
  <c r="Q46" i="4" s="1"/>
  <c r="L46" i="4"/>
  <c r="K24" i="4"/>
  <c r="R24" i="4"/>
  <c r="S24" i="4" s="1"/>
  <c r="T24" i="4" s="1"/>
  <c r="L24" i="4"/>
  <c r="N24" i="4"/>
  <c r="O24" i="4" s="1"/>
  <c r="Q24" i="4" s="1"/>
  <c r="K40" i="4"/>
  <c r="R40" i="4"/>
  <c r="S40" i="4" s="1"/>
  <c r="T40" i="4" s="1"/>
  <c r="L40" i="4"/>
  <c r="N40" i="4"/>
  <c r="O40" i="4" s="1"/>
  <c r="Q40" i="4" s="1"/>
  <c r="K106" i="4"/>
  <c r="R106" i="4"/>
  <c r="S106" i="4" s="1"/>
  <c r="T106" i="4" s="1"/>
  <c r="L106" i="4"/>
  <c r="N106" i="4"/>
  <c r="O106" i="4" s="1"/>
  <c r="Q106" i="4" s="1"/>
  <c r="AD40" i="4"/>
  <c r="K53" i="4"/>
  <c r="L53" i="4"/>
  <c r="R53" i="4"/>
  <c r="S53" i="4" s="1"/>
  <c r="T53" i="4" s="1"/>
  <c r="X53" i="4"/>
  <c r="Y53" i="4" s="1"/>
  <c r="U53" i="4"/>
  <c r="V53" i="4" s="1"/>
  <c r="W53" i="4" s="1"/>
  <c r="N53" i="4"/>
  <c r="O53" i="4" s="1"/>
  <c r="Q53" i="4" s="1"/>
  <c r="U106" i="4"/>
  <c r="V106" i="4" s="1"/>
  <c r="W106" i="4" s="1"/>
  <c r="X40" i="4"/>
  <c r="Y40" i="4" s="1"/>
  <c r="AD106" i="4"/>
  <c r="AF90" i="4"/>
  <c r="AB90" i="4"/>
  <c r="M90" i="4"/>
  <c r="AA90" i="4" s="1"/>
  <c r="Z90" i="4"/>
  <c r="M54" i="4"/>
  <c r="AA54" i="4" s="1"/>
  <c r="Z54" i="4"/>
  <c r="AF54" i="4"/>
  <c r="AG54" i="4" s="1"/>
  <c r="AS54" i="4" s="1"/>
  <c r="AB54" i="4"/>
  <c r="B78" i="1"/>
  <c r="E3" i="8"/>
  <c r="M51" i="4" l="1"/>
  <c r="AA51" i="4" s="1"/>
  <c r="M57" i="4"/>
  <c r="AA57" i="4" s="1"/>
  <c r="AG64" i="4"/>
  <c r="AS64" i="4" s="1"/>
  <c r="AF17" i="4"/>
  <c r="Z79" i="4"/>
  <c r="Z123" i="4"/>
  <c r="AG79" i="4"/>
  <c r="AS79" i="4" s="1"/>
  <c r="AF51" i="4"/>
  <c r="AB123" i="4"/>
  <c r="K109" i="4"/>
  <c r="N109" i="4"/>
  <c r="O109" i="4" s="1"/>
  <c r="Q109" i="4" s="1"/>
  <c r="M79" i="4"/>
  <c r="AA79" i="4" s="1"/>
  <c r="L109" i="4"/>
  <c r="R109" i="4"/>
  <c r="S109" i="4" s="1"/>
  <c r="T109" i="4" s="1"/>
  <c r="Z192" i="4"/>
  <c r="M192" i="4"/>
  <c r="AA192" i="4" s="1"/>
  <c r="AC192" i="4" s="1"/>
  <c r="AR192" i="4" s="1"/>
  <c r="X109" i="4"/>
  <c r="Y109" i="4" s="1"/>
  <c r="Z42" i="4"/>
  <c r="AC42" i="4" s="1"/>
  <c r="AR42" i="4" s="1"/>
  <c r="Z77" i="4"/>
  <c r="AF192" i="4"/>
  <c r="AG192" i="4" s="1"/>
  <c r="AS192" i="4" s="1"/>
  <c r="AF166" i="4"/>
  <c r="AG166" i="4" s="1"/>
  <c r="AS166" i="4" s="1"/>
  <c r="AB77" i="4"/>
  <c r="AF77" i="4"/>
  <c r="AG77" i="4" s="1"/>
  <c r="AS77" i="4" s="1"/>
  <c r="AD109" i="4"/>
  <c r="AE109" i="4" s="1"/>
  <c r="AG42" i="4"/>
  <c r="AS42" i="4" s="1"/>
  <c r="Z179" i="4"/>
  <c r="AF93" i="4"/>
  <c r="Z167" i="4"/>
  <c r="AC167" i="4" s="1"/>
  <c r="AR167" i="4" s="1"/>
  <c r="AF96" i="4"/>
  <c r="AF30" i="4"/>
  <c r="AB69" i="4"/>
  <c r="AF200" i="4"/>
  <c r="AG200" i="4" s="1"/>
  <c r="AS200" i="4" s="1"/>
  <c r="M200" i="4"/>
  <c r="AA200" i="4" s="1"/>
  <c r="AB126" i="4"/>
  <c r="M96" i="4"/>
  <c r="AA96" i="4" s="1"/>
  <c r="AH130" i="4"/>
  <c r="AB149" i="4"/>
  <c r="Z104" i="4"/>
  <c r="AB202" i="4"/>
  <c r="M202" i="4"/>
  <c r="AA202" i="4" s="1"/>
  <c r="AB157" i="4"/>
  <c r="AF157" i="4"/>
  <c r="AG157" i="4" s="1"/>
  <c r="AS157" i="4" s="1"/>
  <c r="Z203" i="4"/>
  <c r="Z30" i="4"/>
  <c r="AH104" i="4"/>
  <c r="AF43" i="4"/>
  <c r="AG43" i="4" s="1"/>
  <c r="AS43" i="4" s="1"/>
  <c r="AH37" i="4"/>
  <c r="AF85" i="4"/>
  <c r="AG85" i="4" s="1"/>
  <c r="AS85" i="4" s="1"/>
  <c r="AF202" i="4"/>
  <c r="AG202" i="4" s="1"/>
  <c r="AS202" i="4" s="1"/>
  <c r="AF179" i="4"/>
  <c r="AG179" i="4" s="1"/>
  <c r="AS179" i="4" s="1"/>
  <c r="AB104" i="4"/>
  <c r="AB85" i="4"/>
  <c r="AF149" i="4"/>
  <c r="AG149" i="4" s="1"/>
  <c r="AS149" i="4" s="1"/>
  <c r="Z126" i="4"/>
  <c r="M105" i="4"/>
  <c r="AA105" i="4" s="1"/>
  <c r="AF18" i="4"/>
  <c r="AG18" i="4" s="1"/>
  <c r="AS18" i="4" s="1"/>
  <c r="AE96" i="4"/>
  <c r="AE209" i="4"/>
  <c r="Z13" i="4"/>
  <c r="AF13" i="4"/>
  <c r="AG13" i="4" s="1"/>
  <c r="AS13" i="4" s="1"/>
  <c r="AB13" i="4"/>
  <c r="M39" i="4"/>
  <c r="AA39" i="4" s="1"/>
  <c r="AF39" i="4"/>
  <c r="AG39" i="4" s="1"/>
  <c r="AS39" i="4" s="1"/>
  <c r="AB39" i="4"/>
  <c r="AH87" i="4"/>
  <c r="AF105" i="4"/>
  <c r="AG105" i="4" s="1"/>
  <c r="AS105" i="4" s="1"/>
  <c r="Z85" i="4"/>
  <c r="Z200" i="4"/>
  <c r="AH79" i="4"/>
  <c r="AH202" i="4"/>
  <c r="M93" i="4"/>
  <c r="AA93" i="4" s="1"/>
  <c r="AB176" i="4"/>
  <c r="AE57" i="4"/>
  <c r="Z105" i="4"/>
  <c r="AE160" i="4"/>
  <c r="AG160" i="4" s="1"/>
  <c r="AS160" i="4" s="1"/>
  <c r="AB14" i="4"/>
  <c r="Z69" i="4"/>
  <c r="AF126" i="4"/>
  <c r="AF14" i="4"/>
  <c r="AG14" i="4" s="1"/>
  <c r="AS14" i="4" s="1"/>
  <c r="AH47" i="4"/>
  <c r="AH39" i="4"/>
  <c r="AF47" i="4"/>
  <c r="AG47" i="4" s="1"/>
  <c r="AS47" i="4" s="1"/>
  <c r="AF69" i="4"/>
  <c r="AG69" i="4" s="1"/>
  <c r="AS69" i="4" s="1"/>
  <c r="Z14" i="4"/>
  <c r="Z148" i="4"/>
  <c r="AH148" i="4"/>
  <c r="AB148" i="4"/>
  <c r="AF104" i="4"/>
  <c r="AG104" i="4" s="1"/>
  <c r="AS104" i="4" s="1"/>
  <c r="AH14" i="4"/>
  <c r="AE93" i="4"/>
  <c r="AB93" i="4"/>
  <c r="AF176" i="4"/>
  <c r="AG176" i="4" s="1"/>
  <c r="AS176" i="4" s="1"/>
  <c r="AF148" i="4"/>
  <c r="AG148" i="4" s="1"/>
  <c r="AS148" i="4" s="1"/>
  <c r="Z176" i="4"/>
  <c r="AB122" i="4"/>
  <c r="AF130" i="4"/>
  <c r="AG130" i="4" s="1"/>
  <c r="AS130" i="4" s="1"/>
  <c r="AE126" i="4"/>
  <c r="AB30" i="4"/>
  <c r="AH105" i="4"/>
  <c r="AB203" i="4"/>
  <c r="AF203" i="4"/>
  <c r="AG203" i="4" s="1"/>
  <c r="AS203" i="4" s="1"/>
  <c r="AC130" i="4"/>
  <c r="AR130" i="4" s="1"/>
  <c r="Z160" i="4"/>
  <c r="AC160" i="4" s="1"/>
  <c r="AR160" i="4" s="1"/>
  <c r="M209" i="4"/>
  <c r="AA209" i="4" s="1"/>
  <c r="AF209" i="4"/>
  <c r="Z87" i="4"/>
  <c r="AC87" i="4" s="1"/>
  <c r="AR87" i="4" s="1"/>
  <c r="Z207" i="4"/>
  <c r="AH120" i="4"/>
  <c r="AB179" i="4"/>
  <c r="AC64" i="4"/>
  <c r="AR64" i="4" s="1"/>
  <c r="M179" i="4"/>
  <c r="AA179" i="4" s="1"/>
  <c r="AF207" i="4"/>
  <c r="AG207" i="4" s="1"/>
  <c r="AS207" i="4" s="1"/>
  <c r="M207" i="4"/>
  <c r="AA207" i="4" s="1"/>
  <c r="AB209" i="4"/>
  <c r="AF55" i="4"/>
  <c r="AH185" i="4"/>
  <c r="AH13" i="4"/>
  <c r="AH176" i="4"/>
  <c r="Z18" i="4"/>
  <c r="Z55" i="4"/>
  <c r="Z149" i="4"/>
  <c r="M18" i="4"/>
  <c r="AA18" i="4" s="1"/>
  <c r="AH117" i="4"/>
  <c r="AB18" i="4"/>
  <c r="M117" i="4"/>
  <c r="AA117" i="4" s="1"/>
  <c r="AH18" i="4"/>
  <c r="AH42" i="4"/>
  <c r="AH122" i="4"/>
  <c r="Z157" i="4"/>
  <c r="AF122" i="4"/>
  <c r="AG122" i="4" s="1"/>
  <c r="AS122" i="4" s="1"/>
  <c r="AF120" i="4"/>
  <c r="AG120" i="4" s="1"/>
  <c r="AS120" i="4" s="1"/>
  <c r="AF185" i="4"/>
  <c r="AG185" i="4" s="1"/>
  <c r="AS185" i="4" s="1"/>
  <c r="AH82" i="4"/>
  <c r="AH85" i="4"/>
  <c r="AH149" i="4"/>
  <c r="AF37" i="4"/>
  <c r="AG37" i="4" s="1"/>
  <c r="AS37" i="4" s="1"/>
  <c r="M37" i="4"/>
  <c r="AA37" i="4" s="1"/>
  <c r="AH51" i="4"/>
  <c r="Z122" i="4"/>
  <c r="AH179" i="4"/>
  <c r="Z37" i="4"/>
  <c r="Z120" i="4"/>
  <c r="AB185" i="4"/>
  <c r="AH192" i="4"/>
  <c r="AF82" i="4"/>
  <c r="AG82" i="4" s="1"/>
  <c r="AS82" i="4" s="1"/>
  <c r="AB82" i="4"/>
  <c r="AE55" i="4"/>
  <c r="Z185" i="4"/>
  <c r="AE30" i="4"/>
  <c r="Z51" i="4"/>
  <c r="Z82" i="4"/>
  <c r="AF36" i="4"/>
  <c r="AG36" i="4" s="1"/>
  <c r="AS36" i="4" s="1"/>
  <c r="Z36" i="4"/>
  <c r="AH69" i="4"/>
  <c r="AH77" i="4"/>
  <c r="AB36" i="4"/>
  <c r="M55" i="4"/>
  <c r="AA55" i="4" s="1"/>
  <c r="AF117" i="4"/>
  <c r="AG117" i="4" s="1"/>
  <c r="AS117" i="4" s="1"/>
  <c r="AB120" i="4"/>
  <c r="AH43" i="4"/>
  <c r="Z117" i="4"/>
  <c r="Z96" i="4"/>
  <c r="AE28" i="4"/>
  <c r="AF20" i="4"/>
  <c r="Z182" i="4"/>
  <c r="Z184" i="4"/>
  <c r="AC184" i="4" s="1"/>
  <c r="AR184" i="4" s="1"/>
  <c r="Z98" i="4"/>
  <c r="Z63" i="4"/>
  <c r="AC63" i="4" s="1"/>
  <c r="AR63" i="4" s="1"/>
  <c r="AG63" i="4"/>
  <c r="AS63" i="4" s="1"/>
  <c r="AB98" i="4"/>
  <c r="AF98" i="4"/>
  <c r="AH63" i="4"/>
  <c r="M20" i="4"/>
  <c r="AA20" i="4" s="1"/>
  <c r="AF19" i="4"/>
  <c r="AG19" i="4" s="1"/>
  <c r="AS19" i="4" s="1"/>
  <c r="Z28" i="4"/>
  <c r="AE88" i="4"/>
  <c r="Z88" i="4"/>
  <c r="AB88" i="4"/>
  <c r="AB28" i="4"/>
  <c r="AF169" i="4"/>
  <c r="AG169" i="4" s="1"/>
  <c r="AS169" i="4" s="1"/>
  <c r="Z72" i="4"/>
  <c r="M72" i="4"/>
  <c r="AA72" i="4" s="1"/>
  <c r="M19" i="4"/>
  <c r="AA19" i="4" s="1"/>
  <c r="AE98" i="4"/>
  <c r="Z19" i="4"/>
  <c r="AB19" i="4"/>
  <c r="AF88" i="4"/>
  <c r="AB169" i="4"/>
  <c r="M190" i="4"/>
  <c r="AA190" i="4" s="1"/>
  <c r="Z20" i="4"/>
  <c r="AF145" i="4"/>
  <c r="AG145" i="4" s="1"/>
  <c r="AS145" i="4" s="1"/>
  <c r="AH169" i="4"/>
  <c r="AF190" i="4"/>
  <c r="AG190" i="4" s="1"/>
  <c r="AS190" i="4" s="1"/>
  <c r="Z190" i="4"/>
  <c r="AE72" i="4"/>
  <c r="AF28" i="4"/>
  <c r="AH158" i="4"/>
  <c r="AH190" i="4"/>
  <c r="AH182" i="4"/>
  <c r="AH186" i="4"/>
  <c r="AF22" i="4"/>
  <c r="AG22" i="4" s="1"/>
  <c r="AS22" i="4" s="1"/>
  <c r="AH125" i="4"/>
  <c r="AE20" i="4"/>
  <c r="AH22" i="4"/>
  <c r="AH189" i="4"/>
  <c r="Z99" i="4"/>
  <c r="AF118" i="4"/>
  <c r="AG118" i="4" s="1"/>
  <c r="AS118" i="4" s="1"/>
  <c r="M142" i="4"/>
  <c r="AA142" i="4" s="1"/>
  <c r="AH23" i="4"/>
  <c r="Z145" i="4"/>
  <c r="AF158" i="4"/>
  <c r="AG158" i="4" s="1"/>
  <c r="AS158" i="4" s="1"/>
  <c r="AH142" i="4"/>
  <c r="AH131" i="4"/>
  <c r="M187" i="4"/>
  <c r="AA187" i="4" s="1"/>
  <c r="M135" i="4"/>
  <c r="AA135" i="4" s="1"/>
  <c r="AH99" i="4"/>
  <c r="AF16" i="4"/>
  <c r="AG16" i="4" s="1"/>
  <c r="AS16" i="4" s="1"/>
  <c r="AB189" i="4"/>
  <c r="M16" i="4"/>
  <c r="AA16" i="4" s="1"/>
  <c r="AE184" i="4"/>
  <c r="AG184" i="4" s="1"/>
  <c r="AS184" i="4" s="1"/>
  <c r="AH118" i="4"/>
  <c r="AH178" i="4"/>
  <c r="AH19" i="4"/>
  <c r="AH35" i="4"/>
  <c r="M182" i="4"/>
  <c r="AA182" i="4" s="1"/>
  <c r="Z169" i="4"/>
  <c r="AH187" i="4"/>
  <c r="AH177" i="4"/>
  <c r="AB182" i="4"/>
  <c r="AF48" i="4"/>
  <c r="AG48" i="4" s="1"/>
  <c r="AS48" i="4" s="1"/>
  <c r="AF178" i="4"/>
  <c r="AG178" i="4" s="1"/>
  <c r="AS178" i="4" s="1"/>
  <c r="AF189" i="4"/>
  <c r="AG189" i="4" s="1"/>
  <c r="AS189" i="4" s="1"/>
  <c r="Z189" i="4"/>
  <c r="AF133" i="4"/>
  <c r="AG133" i="4" s="1"/>
  <c r="AS133" i="4" s="1"/>
  <c r="Z118" i="4"/>
  <c r="AF182" i="4"/>
  <c r="AG182" i="4" s="1"/>
  <c r="AS182" i="4" s="1"/>
  <c r="AH144" i="4"/>
  <c r="AH48" i="4"/>
  <c r="Z187" i="4"/>
  <c r="AB27" i="4"/>
  <c r="Z48" i="4"/>
  <c r="AB48" i="4"/>
  <c r="AB118" i="4"/>
  <c r="Z177" i="4"/>
  <c r="M145" i="4"/>
  <c r="AA145" i="4" s="1"/>
  <c r="AF141" i="4"/>
  <c r="AG141" i="4" s="1"/>
  <c r="AS141" i="4" s="1"/>
  <c r="AG110" i="4"/>
  <c r="AS110" i="4" s="1"/>
  <c r="Z158" i="4"/>
  <c r="AF165" i="4"/>
  <c r="AG165" i="4" s="1"/>
  <c r="AS165" i="4" s="1"/>
  <c r="Z27" i="4"/>
  <c r="AC186" i="4"/>
  <c r="AR186" i="4" s="1"/>
  <c r="AF35" i="4"/>
  <c r="AG35" i="4" s="1"/>
  <c r="AS35" i="4" s="1"/>
  <c r="M86" i="4"/>
  <c r="AA86" i="4" s="1"/>
  <c r="Z22" i="4"/>
  <c r="AF144" i="4"/>
  <c r="AG144" i="4" s="1"/>
  <c r="AS144" i="4" s="1"/>
  <c r="F9" i="3"/>
  <c r="BM9" i="3" s="1"/>
  <c r="AB22" i="4"/>
  <c r="AB165" i="4"/>
  <c r="AH135" i="4"/>
  <c r="AH133" i="4"/>
  <c r="AF125" i="4"/>
  <c r="AG125" i="4" s="1"/>
  <c r="AS125" i="4" s="1"/>
  <c r="AF135" i="4"/>
  <c r="AG135" i="4" s="1"/>
  <c r="AS135" i="4" s="1"/>
  <c r="AF177" i="4"/>
  <c r="AG177" i="4" s="1"/>
  <c r="AS177" i="4" s="1"/>
  <c r="AB133" i="4"/>
  <c r="AF173" i="4"/>
  <c r="AG173" i="4" s="1"/>
  <c r="AS173" i="4" s="1"/>
  <c r="AF27" i="4"/>
  <c r="AF180" i="4"/>
  <c r="AG180" i="4" s="1"/>
  <c r="AS180" i="4" s="1"/>
  <c r="Z23" i="4"/>
  <c r="Z180" i="4"/>
  <c r="AF23" i="4"/>
  <c r="AG23" i="4" s="1"/>
  <c r="AS23" i="4" s="1"/>
  <c r="M23" i="4"/>
  <c r="AA23" i="4" s="1"/>
  <c r="AF78" i="4"/>
  <c r="AG78" i="4" s="1"/>
  <c r="AS78" i="4" s="1"/>
  <c r="AF187" i="4"/>
  <c r="AG187" i="4" s="1"/>
  <c r="AS187" i="4" s="1"/>
  <c r="M158" i="4"/>
  <c r="AA158" i="4" s="1"/>
  <c r="Z165" i="4"/>
  <c r="AF72" i="4"/>
  <c r="Z78" i="4"/>
  <c r="Z133" i="4"/>
  <c r="AH52" i="4"/>
  <c r="AB78" i="4"/>
  <c r="M165" i="4"/>
  <c r="AA165" i="4" s="1"/>
  <c r="Z86" i="4"/>
  <c r="Z84" i="4"/>
  <c r="Z52" i="4"/>
  <c r="M173" i="4"/>
  <c r="AA173" i="4" s="1"/>
  <c r="M178" i="4"/>
  <c r="AA178" i="4" s="1"/>
  <c r="AE100" i="4"/>
  <c r="Z71" i="4"/>
  <c r="AC71" i="4" s="1"/>
  <c r="AR71" i="4" s="1"/>
  <c r="Z16" i="4"/>
  <c r="Z178" i="4"/>
  <c r="AE151" i="4"/>
  <c r="AG151" i="4" s="1"/>
  <c r="AS151" i="4" s="1"/>
  <c r="AH78" i="4"/>
  <c r="AH84" i="4"/>
  <c r="AF186" i="4"/>
  <c r="AG186" i="4" s="1"/>
  <c r="AS186" i="4" s="1"/>
  <c r="AF59" i="4"/>
  <c r="AG59" i="4" s="1"/>
  <c r="AS59" i="4" s="1"/>
  <c r="AB144" i="4"/>
  <c r="AB59" i="4"/>
  <c r="AF100" i="4"/>
  <c r="AB99" i="4"/>
  <c r="Z100" i="4"/>
  <c r="AB180" i="4"/>
  <c r="AF84" i="4"/>
  <c r="AG84" i="4" s="1"/>
  <c r="AS84" i="4" s="1"/>
  <c r="M133" i="4"/>
  <c r="AA133" i="4" s="1"/>
  <c r="M84" i="4"/>
  <c r="AA84" i="4" s="1"/>
  <c r="AF52" i="4"/>
  <c r="AG52" i="4" s="1"/>
  <c r="AS52" i="4" s="1"/>
  <c r="AB52" i="4"/>
  <c r="Z135" i="4"/>
  <c r="Z110" i="4"/>
  <c r="AC110" i="4" s="1"/>
  <c r="AR110" i="4" s="1"/>
  <c r="F14" i="3"/>
  <c r="BM14" i="3" s="1"/>
  <c r="G12" i="3"/>
  <c r="H12" i="3" s="1"/>
  <c r="BN12" i="3" s="1"/>
  <c r="G22" i="3"/>
  <c r="H22" i="3" s="1"/>
  <c r="BN22" i="3" s="1"/>
  <c r="AH165" i="4"/>
  <c r="F22" i="3"/>
  <c r="BM22" i="3" s="1"/>
  <c r="AR683" i="3"/>
  <c r="C683" i="3"/>
  <c r="Z143" i="4"/>
  <c r="F10" i="3"/>
  <c r="BM10" i="3" s="1"/>
  <c r="G29" i="3"/>
  <c r="H29" i="3" s="1"/>
  <c r="BN29" i="3" s="1"/>
  <c r="Z151" i="4"/>
  <c r="AC151" i="4" s="1"/>
  <c r="AR151" i="4" s="1"/>
  <c r="AH71" i="4"/>
  <c r="AF181" i="4"/>
  <c r="AG181" i="4" s="1"/>
  <c r="AS181" i="4" s="1"/>
  <c r="AB73" i="4"/>
  <c r="AF86" i="4"/>
  <c r="AG86" i="4" s="1"/>
  <c r="AS86" i="4" s="1"/>
  <c r="G30" i="3"/>
  <c r="H30" i="3" s="1"/>
  <c r="BN30" i="3" s="1"/>
  <c r="G38" i="3"/>
  <c r="H38" i="3" s="1"/>
  <c r="BN38" i="3" s="1"/>
  <c r="AE73" i="4"/>
  <c r="G32" i="3"/>
  <c r="H32" i="3" s="1"/>
  <c r="BN32" i="3" s="1"/>
  <c r="F39" i="3"/>
  <c r="BM39" i="3" s="1"/>
  <c r="F31" i="3"/>
  <c r="BM31" i="3" s="1"/>
  <c r="G16" i="3"/>
  <c r="H16" i="3" s="1"/>
  <c r="BN16" i="3" s="1"/>
  <c r="F26" i="3"/>
  <c r="BM26" i="3" s="1"/>
  <c r="Z181" i="4"/>
  <c r="G15" i="3"/>
  <c r="H15" i="3" s="1"/>
  <c r="BN15" i="3" s="1"/>
  <c r="M181" i="4"/>
  <c r="AA181" i="4" s="1"/>
  <c r="G37" i="3"/>
  <c r="H37" i="3" s="1"/>
  <c r="BN37" i="3" s="1"/>
  <c r="M35" i="4"/>
  <c r="AA35" i="4" s="1"/>
  <c r="AH180" i="4"/>
  <c r="AB177" i="4"/>
  <c r="AB35" i="4"/>
  <c r="Z59" i="4"/>
  <c r="F21" i="3"/>
  <c r="BM21" i="3" s="1"/>
  <c r="Z142" i="4"/>
  <c r="AH16" i="4"/>
  <c r="AH59" i="4"/>
  <c r="Z73" i="4"/>
  <c r="AH141" i="4"/>
  <c r="AH143" i="4"/>
  <c r="AH110" i="4"/>
  <c r="AE27" i="4"/>
  <c r="G18" i="3"/>
  <c r="H18" i="3" s="1"/>
  <c r="BN18" i="3" s="1"/>
  <c r="B683" i="3"/>
  <c r="F34" i="3"/>
  <c r="BM34" i="3" s="1"/>
  <c r="G33" i="3"/>
  <c r="H33" i="3" s="1"/>
  <c r="BN33" i="3" s="1"/>
  <c r="Z173" i="4"/>
  <c r="AB12" i="4"/>
  <c r="M125" i="4"/>
  <c r="AA125" i="4" s="1"/>
  <c r="Z12" i="4"/>
  <c r="M12" i="4"/>
  <c r="AA12" i="4" s="1"/>
  <c r="AB125" i="4"/>
  <c r="F27" i="3"/>
  <c r="BM27" i="3" s="1"/>
  <c r="AF99" i="4"/>
  <c r="AG99" i="4" s="1"/>
  <c r="AS99" i="4" s="1"/>
  <c r="AB100" i="4"/>
  <c r="AF142" i="4"/>
  <c r="AG142" i="4" s="1"/>
  <c r="AS142" i="4" s="1"/>
  <c r="F25" i="3"/>
  <c r="BM25" i="3" s="1"/>
  <c r="G35" i="3"/>
  <c r="H35" i="3" s="1"/>
  <c r="BN35" i="3" s="1"/>
  <c r="G27" i="3"/>
  <c r="H27" i="3" s="1"/>
  <c r="BN27" i="3" s="1"/>
  <c r="AH12" i="4"/>
  <c r="Z144" i="4"/>
  <c r="AF73" i="4"/>
  <c r="G11" i="3"/>
  <c r="H11" i="3" s="1"/>
  <c r="BN11" i="3" s="1"/>
  <c r="G21" i="3"/>
  <c r="H21" i="3" s="1"/>
  <c r="BN21" i="3" s="1"/>
  <c r="F11" i="3"/>
  <c r="BM11" i="3" s="1"/>
  <c r="F15" i="3"/>
  <c r="BM15" i="3" s="1"/>
  <c r="F17" i="3"/>
  <c r="BM17" i="3" s="1"/>
  <c r="G39" i="3"/>
  <c r="H39" i="3" s="1"/>
  <c r="BN39" i="3" s="1"/>
  <c r="M141" i="4"/>
  <c r="AA141" i="4" s="1"/>
  <c r="Z141" i="4"/>
  <c r="AF143" i="4"/>
  <c r="AG143" i="4" s="1"/>
  <c r="AS143" i="4" s="1"/>
  <c r="F19" i="3"/>
  <c r="BM19" i="3" s="1"/>
  <c r="F36" i="3"/>
  <c r="BM36" i="3" s="1"/>
  <c r="AB141" i="4"/>
  <c r="Z125" i="4"/>
  <c r="M143" i="4"/>
  <c r="AA143" i="4" s="1"/>
  <c r="F24" i="3"/>
  <c r="BM24" i="3" s="1"/>
  <c r="D683" i="3"/>
  <c r="AB34" i="4"/>
  <c r="AF34" i="4"/>
  <c r="AF195" i="4"/>
  <c r="G17" i="3"/>
  <c r="H17" i="3" s="1"/>
  <c r="BN17" i="3" s="1"/>
  <c r="F33" i="3"/>
  <c r="BM33" i="3" s="1"/>
  <c r="M34" i="4"/>
  <c r="AA34" i="4" s="1"/>
  <c r="F32" i="3"/>
  <c r="BM32" i="3" s="1"/>
  <c r="F682" i="3"/>
  <c r="F18" i="3"/>
  <c r="BM18" i="3" s="1"/>
  <c r="F13" i="3"/>
  <c r="BM13" i="3" s="1"/>
  <c r="G31" i="3"/>
  <c r="H31" i="3" s="1"/>
  <c r="BN31" i="3" s="1"/>
  <c r="G683" i="3"/>
  <c r="H683" i="3" s="1"/>
  <c r="F30" i="3"/>
  <c r="BM30" i="3" s="1"/>
  <c r="G13" i="3"/>
  <c r="H13" i="3" s="1"/>
  <c r="BN13" i="3" s="1"/>
  <c r="G24" i="3"/>
  <c r="H24" i="3" s="1"/>
  <c r="BN24" i="3" s="1"/>
  <c r="G19" i="3"/>
  <c r="H19" i="3" s="1"/>
  <c r="BN19" i="3" s="1"/>
  <c r="F12" i="3"/>
  <c r="BM12" i="3" s="1"/>
  <c r="F38" i="3"/>
  <c r="BM38" i="3" s="1"/>
  <c r="G682" i="3"/>
  <c r="H682" i="3" s="1"/>
  <c r="G20" i="3"/>
  <c r="H20" i="3" s="1"/>
  <c r="BN20" i="3" s="1"/>
  <c r="F28" i="3"/>
  <c r="BM28" i="3" s="1"/>
  <c r="G14" i="3"/>
  <c r="H14" i="3" s="1"/>
  <c r="BN14" i="3" s="1"/>
  <c r="F20" i="3"/>
  <c r="BM20" i="3" s="1"/>
  <c r="G34" i="3"/>
  <c r="H34" i="3" s="1"/>
  <c r="BN34" i="3" s="1"/>
  <c r="G9" i="3"/>
  <c r="H9" i="3" s="1"/>
  <c r="BN9" i="3" s="1"/>
  <c r="G25" i="3"/>
  <c r="H25" i="3" s="1"/>
  <c r="BN25" i="3" s="1"/>
  <c r="F37" i="3"/>
  <c r="BM37" i="3" s="1"/>
  <c r="F16" i="3"/>
  <c r="BM16" i="3" s="1"/>
  <c r="G40" i="3"/>
  <c r="H40" i="3" s="1"/>
  <c r="F29" i="3"/>
  <c r="BM29" i="3" s="1"/>
  <c r="G28" i="3"/>
  <c r="H28" i="3" s="1"/>
  <c r="BN28" i="3" s="1"/>
  <c r="F35" i="3"/>
  <c r="BM35" i="3" s="1"/>
  <c r="G36" i="3"/>
  <c r="H36" i="3" s="1"/>
  <c r="BN36" i="3" s="1"/>
  <c r="G23" i="3"/>
  <c r="H23" i="3" s="1"/>
  <c r="BN23" i="3" s="1"/>
  <c r="G26" i="3"/>
  <c r="H26" i="3" s="1"/>
  <c r="BN26" i="3" s="1"/>
  <c r="B132" i="2"/>
  <c r="B74" i="1" s="1"/>
  <c r="G10" i="3"/>
  <c r="H10" i="3" s="1"/>
  <c r="BN10" i="3" s="1"/>
  <c r="F683" i="3"/>
  <c r="AG198" i="4"/>
  <c r="AS198" i="4" s="1"/>
  <c r="AG57" i="4"/>
  <c r="AS57" i="4" s="1"/>
  <c r="AG199" i="4"/>
  <c r="AS199" i="4" s="1"/>
  <c r="AG128" i="4"/>
  <c r="AS128" i="4" s="1"/>
  <c r="AG167" i="4"/>
  <c r="AS167" i="4" s="1"/>
  <c r="AG147" i="4"/>
  <c r="AS147" i="4" s="1"/>
  <c r="AG51" i="4"/>
  <c r="AS51" i="4" s="1"/>
  <c r="AG83" i="4"/>
  <c r="AS83" i="4" s="1"/>
  <c r="AG15" i="4"/>
  <c r="AS15" i="4" s="1"/>
  <c r="AC26" i="4"/>
  <c r="AR26" i="4" s="1"/>
  <c r="AG92" i="4"/>
  <c r="AS92" i="4" s="1"/>
  <c r="AG137" i="4"/>
  <c r="AS137" i="4" s="1"/>
  <c r="AG112" i="4"/>
  <c r="AS112" i="4" s="1"/>
  <c r="AG58" i="4"/>
  <c r="AS58" i="4" s="1"/>
  <c r="AG76" i="4"/>
  <c r="AS76" i="4" s="1"/>
  <c r="AC175" i="4"/>
  <c r="AR175" i="4" s="1"/>
  <c r="AG183" i="4"/>
  <c r="AS183" i="4" s="1"/>
  <c r="AG101" i="4"/>
  <c r="AS101" i="4" s="1"/>
  <c r="AG204" i="4"/>
  <c r="AS204" i="4" s="1"/>
  <c r="AG108" i="4"/>
  <c r="AS108" i="4" s="1"/>
  <c r="AG26" i="4"/>
  <c r="AS26" i="4" s="1"/>
  <c r="AG154" i="4"/>
  <c r="AS154" i="4" s="1"/>
  <c r="AG140" i="4"/>
  <c r="AS140" i="4" s="1"/>
  <c r="AG197" i="4"/>
  <c r="AS197" i="4" s="1"/>
  <c r="AG174" i="4"/>
  <c r="AS174" i="4" s="1"/>
  <c r="AG97" i="4"/>
  <c r="AS97" i="4" s="1"/>
  <c r="AG162" i="4"/>
  <c r="AS162" i="4" s="1"/>
  <c r="AG71" i="4"/>
  <c r="AS71" i="4" s="1"/>
  <c r="AG146" i="4"/>
  <c r="AS146" i="4" s="1"/>
  <c r="AC198" i="4"/>
  <c r="AR198" i="4" s="1"/>
  <c r="AG74" i="4"/>
  <c r="AS74" i="4" s="1"/>
  <c r="AG25" i="4"/>
  <c r="AS25" i="4" s="1"/>
  <c r="AG95" i="4"/>
  <c r="AS95" i="4" s="1"/>
  <c r="AG155" i="4"/>
  <c r="AS155" i="4" s="1"/>
  <c r="AG114" i="4"/>
  <c r="AS114" i="4" s="1"/>
  <c r="AC156" i="4"/>
  <c r="AR156" i="4" s="1"/>
  <c r="AG21" i="4"/>
  <c r="AS21" i="4" s="1"/>
  <c r="AG44" i="4"/>
  <c r="AS44" i="4" s="1"/>
  <c r="AG172" i="4"/>
  <c r="AS172" i="4" s="1"/>
  <c r="AG123" i="4"/>
  <c r="AS123" i="4" s="1"/>
  <c r="AG208" i="4"/>
  <c r="AS208" i="4" s="1"/>
  <c r="AG90" i="4"/>
  <c r="AS90" i="4" s="1"/>
  <c r="AE49" i="4"/>
  <c r="AH49" i="4"/>
  <c r="AE61" i="4"/>
  <c r="AH61" i="4"/>
  <c r="AE132" i="4"/>
  <c r="AH132" i="4"/>
  <c r="AE32" i="4"/>
  <c r="AH32" i="4"/>
  <c r="AG138" i="4"/>
  <c r="AS138" i="4" s="1"/>
  <c r="M107" i="4"/>
  <c r="AA107" i="4" s="1"/>
  <c r="AG80" i="4"/>
  <c r="AS80" i="4" s="1"/>
  <c r="AE46" i="4"/>
  <c r="AH46" i="4"/>
  <c r="Z168" i="4"/>
  <c r="AE106" i="4"/>
  <c r="AH106" i="4"/>
  <c r="AF107" i="4"/>
  <c r="AG107" i="4" s="1"/>
  <c r="AS107" i="4" s="1"/>
  <c r="AG60" i="4"/>
  <c r="AS60" i="4" s="1"/>
  <c r="AG33" i="4"/>
  <c r="AS33" i="4" s="1"/>
  <c r="AG87" i="4"/>
  <c r="AS87" i="4" s="1"/>
  <c r="AG11" i="4"/>
  <c r="AS11" i="4" s="1"/>
  <c r="AG150" i="4"/>
  <c r="AS150" i="4" s="1"/>
  <c r="AC188" i="4"/>
  <c r="AR188" i="4" s="1"/>
  <c r="AG50" i="4"/>
  <c r="AS50" i="4" s="1"/>
  <c r="AG29" i="4"/>
  <c r="AS29" i="4" s="1"/>
  <c r="AG17" i="4"/>
  <c r="AS17" i="4" s="1"/>
  <c r="AG156" i="4"/>
  <c r="AS156" i="4" s="1"/>
  <c r="AG91" i="4"/>
  <c r="AS91" i="4" s="1"/>
  <c r="AE136" i="4"/>
  <c r="AH136" i="4"/>
  <c r="AG188" i="4"/>
  <c r="AS188" i="4" s="1"/>
  <c r="AG66" i="4"/>
  <c r="AS66" i="4" s="1"/>
  <c r="AC163" i="4"/>
  <c r="AR163" i="4" s="1"/>
  <c r="AG12" i="4"/>
  <c r="AS12" i="4" s="1"/>
  <c r="AG175" i="4"/>
  <c r="AS175" i="4" s="1"/>
  <c r="AE40" i="4"/>
  <c r="AH40" i="4"/>
  <c r="AG62" i="4"/>
  <c r="AS62" i="4" s="1"/>
  <c r="AE129" i="4"/>
  <c r="AH129" i="4"/>
  <c r="AG94" i="4"/>
  <c r="AS94" i="4" s="1"/>
  <c r="AG191" i="4"/>
  <c r="AS191" i="4" s="1"/>
  <c r="AE65" i="4"/>
  <c r="AH65" i="4"/>
  <c r="AC58" i="4"/>
  <c r="AR58" i="4" s="1"/>
  <c r="AE9" i="4"/>
  <c r="AH9" i="4"/>
  <c r="AG102" i="4"/>
  <c r="AS102" i="4" s="1"/>
  <c r="AE161" i="4"/>
  <c r="AH161" i="4"/>
  <c r="AG206" i="4"/>
  <c r="AS206" i="4" s="1"/>
  <c r="AG205" i="4"/>
  <c r="AS205" i="4" s="1"/>
  <c r="AG134" i="4"/>
  <c r="AS134" i="4" s="1"/>
  <c r="AG194" i="4"/>
  <c r="AS194" i="4" s="1"/>
  <c r="AG75" i="4"/>
  <c r="AS75" i="4" s="1"/>
  <c r="AE201" i="4"/>
  <c r="AG201" i="4" s="1"/>
  <c r="AS201" i="4" s="1"/>
  <c r="AH201" i="4"/>
  <c r="AE193" i="4"/>
  <c r="AH193" i="4"/>
  <c r="Z107" i="4"/>
  <c r="AC150" i="4"/>
  <c r="AR150" i="4" s="1"/>
  <c r="AE127" i="4"/>
  <c r="AH127" i="4"/>
  <c r="AE159" i="4"/>
  <c r="AG159" i="4" s="1"/>
  <c r="AS159" i="4" s="1"/>
  <c r="AH159" i="4"/>
  <c r="AE170" i="4"/>
  <c r="AH170" i="4"/>
  <c r="AG68" i="4"/>
  <c r="AS68" i="4" s="1"/>
  <c r="AE34" i="4"/>
  <c r="AH34" i="4"/>
  <c r="AE116" i="4"/>
  <c r="AH116" i="4"/>
  <c r="AG67" i="4"/>
  <c r="AS67" i="4" s="1"/>
  <c r="AE168" i="4"/>
  <c r="AH168" i="4"/>
  <c r="AE45" i="4"/>
  <c r="AH45" i="4"/>
  <c r="AE195" i="4"/>
  <c r="AH195" i="4"/>
  <c r="AG56" i="4"/>
  <c r="AS56" i="4" s="1"/>
  <c r="AH109" i="4"/>
  <c r="AG121" i="4"/>
  <c r="AS121" i="4" s="1"/>
  <c r="AC101" i="4"/>
  <c r="AR101" i="4" s="1"/>
  <c r="Z159" i="4"/>
  <c r="AC159" i="4" s="1"/>
  <c r="AC166" i="4"/>
  <c r="AR166" i="4" s="1"/>
  <c r="AC91" i="4"/>
  <c r="AR91" i="4" s="1"/>
  <c r="AC76" i="4"/>
  <c r="AC121" i="4"/>
  <c r="AR121" i="4" s="1"/>
  <c r="AC44" i="4"/>
  <c r="AR44" i="4" s="1"/>
  <c r="AB168" i="4"/>
  <c r="AC172" i="4"/>
  <c r="AR172" i="4" s="1"/>
  <c r="AC112" i="4"/>
  <c r="AR112" i="4" s="1"/>
  <c r="AC199" i="4"/>
  <c r="AR199" i="4" s="1"/>
  <c r="AF168" i="4"/>
  <c r="AC183" i="4"/>
  <c r="AC95" i="4"/>
  <c r="AR95" i="4" s="1"/>
  <c r="Z195" i="4"/>
  <c r="AC197" i="4"/>
  <c r="AC204" i="4"/>
  <c r="AR204" i="4" s="1"/>
  <c r="AC140" i="4"/>
  <c r="AR140" i="4" s="1"/>
  <c r="Z201" i="4"/>
  <c r="AC201" i="4" s="1"/>
  <c r="AR201" i="4" s="1"/>
  <c r="AB195" i="4"/>
  <c r="AC146" i="4"/>
  <c r="AR146" i="4" s="1"/>
  <c r="AC191" i="4"/>
  <c r="AR191" i="4" s="1"/>
  <c r="M195" i="4"/>
  <c r="AA195" i="4" s="1"/>
  <c r="AC171" i="4"/>
  <c r="AO171" i="4" s="1"/>
  <c r="AQ171" i="4" s="1"/>
  <c r="AU171" i="4" s="1"/>
  <c r="AC147" i="4"/>
  <c r="AR147" i="4" s="1"/>
  <c r="AC154" i="4"/>
  <c r="AR154" i="4" s="1"/>
  <c r="AC174" i="4"/>
  <c r="AR174" i="4" s="1"/>
  <c r="AC56" i="4"/>
  <c r="AC155" i="4"/>
  <c r="AR155" i="4" s="1"/>
  <c r="AC33" i="4"/>
  <c r="AR33" i="4" s="1"/>
  <c r="AC206" i="4"/>
  <c r="AC208" i="4"/>
  <c r="AR208" i="4" s="1"/>
  <c r="Z89" i="4"/>
  <c r="AC38" i="4"/>
  <c r="AR38" i="4" s="1"/>
  <c r="AC50" i="4"/>
  <c r="AR50" i="4" s="1"/>
  <c r="AB136" i="4"/>
  <c r="M136" i="4"/>
  <c r="AA136" i="4" s="1"/>
  <c r="AF136" i="4"/>
  <c r="Z136" i="4"/>
  <c r="AC134" i="4"/>
  <c r="AR134" i="4" s="1"/>
  <c r="AC194" i="4"/>
  <c r="AR194" i="4" s="1"/>
  <c r="AC31" i="4"/>
  <c r="AR31" i="4" s="1"/>
  <c r="B55" i="2"/>
  <c r="R6" i="8" s="1"/>
  <c r="S6" i="8" s="1"/>
  <c r="B56" i="2" s="1"/>
  <c r="AC162" i="4"/>
  <c r="AR162" i="4" s="1"/>
  <c r="A83" i="8"/>
  <c r="A120" i="8"/>
  <c r="A104" i="8"/>
  <c r="M116" i="4"/>
  <c r="AA116" i="4" s="1"/>
  <c r="AB116" i="4"/>
  <c r="Z116" i="4"/>
  <c r="AF116" i="4"/>
  <c r="A102" i="8"/>
  <c r="AC68" i="4"/>
  <c r="AR68" i="4" s="1"/>
  <c r="Z170" i="4"/>
  <c r="AB170" i="4"/>
  <c r="AF170" i="4"/>
  <c r="M170" i="4"/>
  <c r="AA170" i="4" s="1"/>
  <c r="AF89" i="4"/>
  <c r="AG89" i="4" s="1"/>
  <c r="AS89" i="4" s="1"/>
  <c r="Z81" i="4"/>
  <c r="AF81" i="4"/>
  <c r="AG81" i="4" s="1"/>
  <c r="AS81" i="4" s="1"/>
  <c r="M81" i="4"/>
  <c r="AA81" i="4" s="1"/>
  <c r="AB81" i="4"/>
  <c r="AC57" i="4"/>
  <c r="AR57" i="4" s="1"/>
  <c r="A89" i="8"/>
  <c r="AF153" i="4"/>
  <c r="AG153" i="4" s="1"/>
  <c r="AS153" i="4" s="1"/>
  <c r="M153" i="4"/>
  <c r="AA153" i="4" s="1"/>
  <c r="AB153" i="4"/>
  <c r="Z153" i="4"/>
  <c r="A106" i="8"/>
  <c r="A103" i="8"/>
  <c r="M65" i="4"/>
  <c r="AA65" i="4" s="1"/>
  <c r="Z65" i="4"/>
  <c r="AB65" i="4"/>
  <c r="AF65" i="4"/>
  <c r="A86" i="8"/>
  <c r="A105" i="8"/>
  <c r="AB103" i="4"/>
  <c r="AF103" i="4"/>
  <c r="AG103" i="4" s="1"/>
  <c r="AS103" i="4" s="1"/>
  <c r="Z103" i="4"/>
  <c r="M103" i="4"/>
  <c r="AA103" i="4" s="1"/>
  <c r="A135" i="8"/>
  <c r="AR40" i="3"/>
  <c r="B40" i="3"/>
  <c r="A41" i="3"/>
  <c r="AQ40" i="3"/>
  <c r="C40" i="3"/>
  <c r="D40" i="3"/>
  <c r="F40" i="3"/>
  <c r="AB131" i="4"/>
  <c r="M131" i="4"/>
  <c r="AA131" i="4" s="1"/>
  <c r="Z131" i="4"/>
  <c r="AF131" i="4"/>
  <c r="AG131" i="4" s="1"/>
  <c r="AS131" i="4" s="1"/>
  <c r="A112" i="8"/>
  <c r="AF129" i="4"/>
  <c r="M129" i="4"/>
  <c r="AA129" i="4" s="1"/>
  <c r="AB129" i="4"/>
  <c r="Z129" i="4"/>
  <c r="AF161" i="4"/>
  <c r="M161" i="4"/>
  <c r="AA161" i="4" s="1"/>
  <c r="AB161" i="4"/>
  <c r="Z161" i="4"/>
  <c r="M89" i="4"/>
  <c r="AA89" i="4" s="1"/>
  <c r="AB89" i="4"/>
  <c r="Z32" i="4"/>
  <c r="AF32" i="4"/>
  <c r="AB32" i="4"/>
  <c r="M32" i="4"/>
  <c r="AA32" i="4" s="1"/>
  <c r="A97" i="8"/>
  <c r="Z193" i="4"/>
  <c r="AB193" i="4"/>
  <c r="M193" i="4"/>
  <c r="AA193" i="4" s="1"/>
  <c r="AF193" i="4"/>
  <c r="R30" i="8"/>
  <c r="AC66" i="4"/>
  <c r="Z132" i="4"/>
  <c r="AB132" i="4"/>
  <c r="M132" i="4"/>
  <c r="AA132" i="4" s="1"/>
  <c r="AF132" i="4"/>
  <c r="AC164" i="4"/>
  <c r="AR164" i="4" s="1"/>
  <c r="AC114" i="4"/>
  <c r="AR114" i="4" s="1"/>
  <c r="AC80" i="4"/>
  <c r="AR80" i="4" s="1"/>
  <c r="M127" i="4"/>
  <c r="AA127" i="4" s="1"/>
  <c r="AF127" i="4"/>
  <c r="AB127" i="4"/>
  <c r="Z127" i="4"/>
  <c r="AC94" i="4"/>
  <c r="AR94" i="4" s="1"/>
  <c r="Z111" i="4"/>
  <c r="AC60" i="4"/>
  <c r="M61" i="4"/>
  <c r="AA61" i="4" s="1"/>
  <c r="AB61" i="4"/>
  <c r="Z61" i="4"/>
  <c r="AF61" i="4"/>
  <c r="AC152" i="4"/>
  <c r="AR152" i="4" s="1"/>
  <c r="AC205" i="4"/>
  <c r="AR205" i="4" s="1"/>
  <c r="AC10" i="4"/>
  <c r="AR10" i="4" s="1"/>
  <c r="AC83" i="4"/>
  <c r="AC108" i="4"/>
  <c r="AR108" i="4" s="1"/>
  <c r="AC124" i="4"/>
  <c r="AR124" i="4" s="1"/>
  <c r="AC137" i="4"/>
  <c r="AC97" i="4"/>
  <c r="AR97" i="4" s="1"/>
  <c r="AC47" i="4"/>
  <c r="AC11" i="4"/>
  <c r="AC17" i="4"/>
  <c r="AR17" i="4" s="1"/>
  <c r="AC128" i="4"/>
  <c r="AR128" i="4" s="1"/>
  <c r="AC74" i="4"/>
  <c r="AR74" i="4" s="1"/>
  <c r="AC21" i="4"/>
  <c r="AC75" i="4"/>
  <c r="B265" i="2"/>
  <c r="C265" i="2"/>
  <c r="B60" i="2"/>
  <c r="A265" i="2" s="1"/>
  <c r="AC62" i="4"/>
  <c r="AC102" i="4"/>
  <c r="AC43" i="4"/>
  <c r="AC29" i="4"/>
  <c r="AC92" i="4"/>
  <c r="AC15" i="4"/>
  <c r="M46" i="4"/>
  <c r="AA46" i="4" s="1"/>
  <c r="AF46" i="4"/>
  <c r="AB46" i="4"/>
  <c r="Z46" i="4"/>
  <c r="AB45" i="4"/>
  <c r="AF45" i="4"/>
  <c r="Z45" i="4"/>
  <c r="M45" i="4"/>
  <c r="AA45" i="4" s="1"/>
  <c r="Z40" i="4"/>
  <c r="M40" i="4"/>
  <c r="AA40" i="4" s="1"/>
  <c r="AB40" i="4"/>
  <c r="AF40" i="4"/>
  <c r="M113" i="4"/>
  <c r="AA113" i="4" s="1"/>
  <c r="AB113" i="4"/>
  <c r="AF113" i="4"/>
  <c r="AG113" i="4" s="1"/>
  <c r="AS113" i="4" s="1"/>
  <c r="Z113" i="4"/>
  <c r="AF53" i="4"/>
  <c r="AG53" i="4" s="1"/>
  <c r="AS53" i="4" s="1"/>
  <c r="Z53" i="4"/>
  <c r="AB53" i="4"/>
  <c r="M53" i="4"/>
  <c r="AA53" i="4" s="1"/>
  <c r="AB109" i="4"/>
  <c r="M109" i="4"/>
  <c r="AA109" i="4" s="1"/>
  <c r="AF109" i="4"/>
  <c r="Z109" i="4"/>
  <c r="M49" i="4"/>
  <c r="AA49" i="4" s="1"/>
  <c r="AB49" i="4"/>
  <c r="AF49" i="4"/>
  <c r="Z49" i="4"/>
  <c r="AF111" i="4"/>
  <c r="AG111" i="4" s="1"/>
  <c r="AS111" i="4" s="1"/>
  <c r="M111" i="4"/>
  <c r="AA111" i="4" s="1"/>
  <c r="AB111" i="4"/>
  <c r="Z115" i="4"/>
  <c r="AF115" i="4"/>
  <c r="AG115" i="4" s="1"/>
  <c r="AS115" i="4" s="1"/>
  <c r="AB115" i="4"/>
  <c r="M115" i="4"/>
  <c r="AA115" i="4" s="1"/>
  <c r="M41" i="4"/>
  <c r="AA41" i="4" s="1"/>
  <c r="AF41" i="4"/>
  <c r="AG41" i="4" s="1"/>
  <c r="AS41" i="4" s="1"/>
  <c r="Z41" i="4"/>
  <c r="AB41" i="4"/>
  <c r="M106" i="4"/>
  <c r="AA106" i="4" s="1"/>
  <c r="AF106" i="4"/>
  <c r="Z106" i="4"/>
  <c r="AB106" i="4"/>
  <c r="M24" i="4"/>
  <c r="AA24" i="4" s="1"/>
  <c r="AB24" i="4"/>
  <c r="AF24" i="4"/>
  <c r="AG24" i="4" s="1"/>
  <c r="AS24" i="4" s="1"/>
  <c r="Z24" i="4"/>
  <c r="AB9" i="4"/>
  <c r="Z9" i="4"/>
  <c r="M9" i="4"/>
  <c r="AA9" i="4" s="1"/>
  <c r="AF9" i="4"/>
  <c r="AR70" i="4"/>
  <c r="AO70" i="4"/>
  <c r="AQ70" i="4" s="1"/>
  <c r="AU70" i="4" s="1"/>
  <c r="AC54" i="4"/>
  <c r="AR138" i="4"/>
  <c r="AR119" i="4"/>
  <c r="AO119" i="4"/>
  <c r="AQ119" i="4" s="1"/>
  <c r="AU119" i="4" s="1"/>
  <c r="AC90" i="4"/>
  <c r="AR196" i="4"/>
  <c r="AO196" i="4"/>
  <c r="AQ196" i="4" s="1"/>
  <c r="AU196" i="4" s="1"/>
  <c r="B142" i="2"/>
  <c r="C53" i="16"/>
  <c r="D53" i="16" s="1"/>
  <c r="AR139" i="4"/>
  <c r="AO139" i="4"/>
  <c r="AQ139" i="4" s="1"/>
  <c r="AU139" i="4" s="1"/>
  <c r="AR67" i="4"/>
  <c r="AR25" i="4"/>
  <c r="AC123" i="4" l="1"/>
  <c r="AR123" i="4" s="1"/>
  <c r="AC51" i="4"/>
  <c r="AR51" i="4" s="1"/>
  <c r="AC79" i="4"/>
  <c r="AR79" i="4" s="1"/>
  <c r="AC126" i="4"/>
  <c r="AR126" i="4" s="1"/>
  <c r="AC77" i="4"/>
  <c r="AR77" i="4" s="1"/>
  <c r="AC176" i="4"/>
  <c r="AR176" i="4" s="1"/>
  <c r="AC39" i="4"/>
  <c r="AR39" i="4" s="1"/>
  <c r="AO42" i="4"/>
  <c r="AQ42" i="4" s="1"/>
  <c r="AU42" i="4" s="1"/>
  <c r="AC69" i="4"/>
  <c r="AR69" i="4" s="1"/>
  <c r="AC104" i="4"/>
  <c r="AR104" i="4" s="1"/>
  <c r="AC202" i="4"/>
  <c r="AO202" i="4" s="1"/>
  <c r="AQ202" i="4" s="1"/>
  <c r="AU202" i="4" s="1"/>
  <c r="AC149" i="4"/>
  <c r="AR149" i="4" s="1"/>
  <c r="AG30" i="4"/>
  <c r="AS30" i="4" s="1"/>
  <c r="AC85" i="4"/>
  <c r="AO85" i="4" s="1"/>
  <c r="AQ85" i="4" s="1"/>
  <c r="AU85" i="4" s="1"/>
  <c r="AC72" i="4"/>
  <c r="AR72" i="4" s="1"/>
  <c r="AC200" i="4"/>
  <c r="AR200" i="4" s="1"/>
  <c r="AG93" i="4"/>
  <c r="AS93" i="4" s="1"/>
  <c r="AG96" i="4"/>
  <c r="AS96" i="4" s="1"/>
  <c r="AC93" i="4"/>
  <c r="AR93" i="4" s="1"/>
  <c r="AC96" i="4"/>
  <c r="AR96" i="4" s="1"/>
  <c r="AC157" i="4"/>
  <c r="AR157" i="4" s="1"/>
  <c r="AC36" i="4"/>
  <c r="AO36" i="4" s="1"/>
  <c r="AQ36" i="4" s="1"/>
  <c r="AU36" i="4" s="1"/>
  <c r="AC18" i="4"/>
  <c r="AR18" i="4" s="1"/>
  <c r="AG126" i="4"/>
  <c r="AS126" i="4" s="1"/>
  <c r="AC55" i="4"/>
  <c r="AR55" i="4" s="1"/>
  <c r="AC13" i="4"/>
  <c r="AO13" i="4" s="1"/>
  <c r="AQ13" i="4" s="1"/>
  <c r="AU13" i="4" s="1"/>
  <c r="AC105" i="4"/>
  <c r="AR105" i="4" s="1"/>
  <c r="AC203" i="4"/>
  <c r="AR203" i="4" s="1"/>
  <c r="AC207" i="4"/>
  <c r="AR207" i="4" s="1"/>
  <c r="AG209" i="4"/>
  <c r="AS209" i="4" s="1"/>
  <c r="AC30" i="4"/>
  <c r="AR30" i="4" s="1"/>
  <c r="AC117" i="4"/>
  <c r="AR117" i="4" s="1"/>
  <c r="AC120" i="4"/>
  <c r="AR120" i="4" s="1"/>
  <c r="AO160" i="4"/>
  <c r="AQ160" i="4" s="1"/>
  <c r="AU160" i="4" s="1"/>
  <c r="AC148" i="4"/>
  <c r="AR148" i="4" s="1"/>
  <c r="AC14" i="4"/>
  <c r="AR14" i="4" s="1"/>
  <c r="AG55" i="4"/>
  <c r="AS55" i="4" s="1"/>
  <c r="AC82" i="4"/>
  <c r="AR82" i="4" s="1"/>
  <c r="AC209" i="4"/>
  <c r="AR209" i="4" s="1"/>
  <c r="AC179" i="4"/>
  <c r="AR179" i="4" s="1"/>
  <c r="AC122" i="4"/>
  <c r="AR122" i="4" s="1"/>
  <c r="AC185" i="4"/>
  <c r="AR185" i="4" s="1"/>
  <c r="AC37" i="4"/>
  <c r="AR37" i="4" s="1"/>
  <c r="AG28" i="4"/>
  <c r="AS28" i="4" s="1"/>
  <c r="AO64" i="4"/>
  <c r="AQ64" i="4" s="1"/>
  <c r="AU64" i="4" s="1"/>
  <c r="AC98" i="4"/>
  <c r="AR98" i="4" s="1"/>
  <c r="AG20" i="4"/>
  <c r="AS20" i="4" s="1"/>
  <c r="AO63" i="4"/>
  <c r="AQ63" i="4" s="1"/>
  <c r="AU63" i="4" s="1"/>
  <c r="AG98" i="4"/>
  <c r="AS98" i="4" s="1"/>
  <c r="AC88" i="4"/>
  <c r="AR88" i="4" s="1"/>
  <c r="AC20" i="4"/>
  <c r="AR20" i="4" s="1"/>
  <c r="AC28" i="4"/>
  <c r="AR28" i="4" s="1"/>
  <c r="AG88" i="4"/>
  <c r="AS88" i="4" s="1"/>
  <c r="AC19" i="4"/>
  <c r="AR19" i="4" s="1"/>
  <c r="AG72" i="4"/>
  <c r="AS72" i="4" s="1"/>
  <c r="AC190" i="4"/>
  <c r="AO190" i="4" s="1"/>
  <c r="AQ190" i="4" s="1"/>
  <c r="AU190" i="4" s="1"/>
  <c r="AC169" i="4"/>
  <c r="AR169" i="4" s="1"/>
  <c r="AC142" i="4"/>
  <c r="AR142" i="4" s="1"/>
  <c r="AC180" i="4"/>
  <c r="AR180" i="4" s="1"/>
  <c r="AC145" i="4"/>
  <c r="AR145" i="4" s="1"/>
  <c r="AC182" i="4"/>
  <c r="AR182" i="4" s="1"/>
  <c r="AC99" i="4"/>
  <c r="AR99" i="4" s="1"/>
  <c r="AC187" i="4"/>
  <c r="AR187" i="4" s="1"/>
  <c r="AC16" i="4"/>
  <c r="AO16" i="4" s="1"/>
  <c r="AQ16" i="4" s="1"/>
  <c r="AU16" i="4" s="1"/>
  <c r="AC141" i="4"/>
  <c r="AR141" i="4" s="1"/>
  <c r="AC189" i="4"/>
  <c r="AR189" i="4" s="1"/>
  <c r="AC27" i="4"/>
  <c r="AC135" i="4"/>
  <c r="AO135" i="4" s="1"/>
  <c r="AQ135" i="4" s="1"/>
  <c r="AU135" i="4" s="1"/>
  <c r="AC48" i="4"/>
  <c r="AR48" i="4" s="1"/>
  <c r="AC118" i="4"/>
  <c r="AR118" i="4" s="1"/>
  <c r="AC35" i="4"/>
  <c r="AR35" i="4" s="1"/>
  <c r="AC181" i="4"/>
  <c r="AR181" i="4" s="1"/>
  <c r="AC23" i="4"/>
  <c r="AR23" i="4" s="1"/>
  <c r="AC143" i="4"/>
  <c r="AR143" i="4" s="1"/>
  <c r="AC86" i="4"/>
  <c r="AR86" i="4" s="1"/>
  <c r="AC165" i="4"/>
  <c r="AR165" i="4" s="1"/>
  <c r="AC158" i="4"/>
  <c r="AR158" i="4" s="1"/>
  <c r="AC84" i="4"/>
  <c r="AR84" i="4" s="1"/>
  <c r="AC177" i="4"/>
  <c r="AR177" i="4" s="1"/>
  <c r="AC52" i="4"/>
  <c r="AR52" i="4" s="1"/>
  <c r="AC100" i="4"/>
  <c r="AR100" i="4" s="1"/>
  <c r="AG100" i="4"/>
  <c r="AS100" i="4" s="1"/>
  <c r="AG27" i="4"/>
  <c r="AS27" i="4" s="1"/>
  <c r="AC173" i="4"/>
  <c r="AO173" i="4" s="1"/>
  <c r="AQ173" i="4" s="1"/>
  <c r="AU173" i="4" s="1"/>
  <c r="AC178" i="4"/>
  <c r="AR178" i="4" s="1"/>
  <c r="AC22" i="4"/>
  <c r="AR22" i="4" s="1"/>
  <c r="BM40" i="3"/>
  <c r="AG73" i="4"/>
  <c r="AS73" i="4" s="1"/>
  <c r="AC12" i="4"/>
  <c r="AR12" i="4" s="1"/>
  <c r="AC73" i="4"/>
  <c r="AC78" i="4"/>
  <c r="AR78" i="4" s="1"/>
  <c r="AC133" i="4"/>
  <c r="AR133" i="4" s="1"/>
  <c r="AC125" i="4"/>
  <c r="AR125" i="4" s="1"/>
  <c r="AG34" i="4"/>
  <c r="AS34" i="4" s="1"/>
  <c r="AO110" i="4"/>
  <c r="AQ110" i="4" s="1"/>
  <c r="AU110" i="4" s="1"/>
  <c r="AC59" i="4"/>
  <c r="AR59" i="4" s="1"/>
  <c r="AC144" i="4"/>
  <c r="AR144" i="4" s="1"/>
  <c r="AO151" i="4"/>
  <c r="AQ151" i="4" s="1"/>
  <c r="AU151" i="4" s="1"/>
  <c r="AG195" i="4"/>
  <c r="AS195" i="4" s="1"/>
  <c r="AC34" i="4"/>
  <c r="AG129" i="4"/>
  <c r="AS129" i="4" s="1"/>
  <c r="B133" i="2"/>
  <c r="C3" i="8" s="1"/>
  <c r="R8" i="8"/>
  <c r="S8" i="8" s="1"/>
  <c r="R27" i="8" s="1"/>
  <c r="BN40" i="3"/>
  <c r="AO83" i="4"/>
  <c r="AQ83" i="4" s="1"/>
  <c r="AU83" i="4" s="1"/>
  <c r="AO186" i="4"/>
  <c r="AQ186" i="4" s="1"/>
  <c r="AU186" i="4" s="1"/>
  <c r="AO31" i="4"/>
  <c r="AQ31" i="4" s="1"/>
  <c r="AU31" i="4" s="1"/>
  <c r="AO25" i="4"/>
  <c r="AQ25" i="4" s="1"/>
  <c r="AU25" i="4" s="1"/>
  <c r="AO147" i="4"/>
  <c r="AQ147" i="4" s="1"/>
  <c r="AU147" i="4" s="1"/>
  <c r="AO123" i="4"/>
  <c r="AQ123" i="4" s="1"/>
  <c r="AU123" i="4" s="1"/>
  <c r="AO26" i="4"/>
  <c r="AQ26" i="4" s="1"/>
  <c r="AU26" i="4" s="1"/>
  <c r="AO66" i="4"/>
  <c r="AQ66" i="4" s="1"/>
  <c r="AU66" i="4" s="1"/>
  <c r="AG61" i="4"/>
  <c r="AS61" i="4" s="1"/>
  <c r="AO183" i="4"/>
  <c r="AQ183" i="4" s="1"/>
  <c r="AU183" i="4" s="1"/>
  <c r="AO137" i="4"/>
  <c r="AQ137" i="4" s="1"/>
  <c r="AU137" i="4" s="1"/>
  <c r="AO156" i="4"/>
  <c r="AQ156" i="4" s="1"/>
  <c r="AU156" i="4" s="1"/>
  <c r="AO76" i="4"/>
  <c r="AQ76" i="4" s="1"/>
  <c r="AU76" i="4" s="1"/>
  <c r="AO154" i="4"/>
  <c r="AQ154" i="4" s="1"/>
  <c r="AU154" i="4" s="1"/>
  <c r="AG136" i="4"/>
  <c r="AS136" i="4" s="1"/>
  <c r="AG49" i="4"/>
  <c r="AS49" i="4" s="1"/>
  <c r="AG193" i="4"/>
  <c r="AS193" i="4" s="1"/>
  <c r="AO192" i="4"/>
  <c r="AQ192" i="4" s="1"/>
  <c r="AU192" i="4" s="1"/>
  <c r="AO175" i="4"/>
  <c r="AQ175" i="4" s="1"/>
  <c r="AU175" i="4" s="1"/>
  <c r="AG109" i="4"/>
  <c r="AS109" i="4" s="1"/>
  <c r="AG132" i="4"/>
  <c r="AS132" i="4" s="1"/>
  <c r="AO184" i="4"/>
  <c r="AQ184" i="4" s="1"/>
  <c r="AU184" i="4" s="1"/>
  <c r="AO197" i="4"/>
  <c r="AQ197" i="4" s="1"/>
  <c r="AU197" i="4" s="1"/>
  <c r="AO198" i="4"/>
  <c r="AQ198" i="4" s="1"/>
  <c r="AU198" i="4" s="1"/>
  <c r="AO163" i="4"/>
  <c r="AQ163" i="4" s="1"/>
  <c r="AU163" i="4" s="1"/>
  <c r="AG170" i="4"/>
  <c r="AS170" i="4" s="1"/>
  <c r="AO206" i="4"/>
  <c r="AQ206" i="4" s="1"/>
  <c r="AU206" i="4" s="1"/>
  <c r="AO172" i="4"/>
  <c r="AQ172" i="4" s="1"/>
  <c r="AU172" i="4" s="1"/>
  <c r="AO138" i="4"/>
  <c r="AQ138" i="4" s="1"/>
  <c r="AU138" i="4" s="1"/>
  <c r="AG32" i="4"/>
  <c r="AS32" i="4" s="1"/>
  <c r="AC65" i="4"/>
  <c r="AR65" i="4" s="1"/>
  <c r="AG45" i="4"/>
  <c r="AS45" i="4" s="1"/>
  <c r="AO112" i="4"/>
  <c r="AQ112" i="4" s="1"/>
  <c r="AU112" i="4" s="1"/>
  <c r="AG127" i="4"/>
  <c r="AS127" i="4" s="1"/>
  <c r="AG46" i="4"/>
  <c r="AS46" i="4" s="1"/>
  <c r="AG9" i="4"/>
  <c r="AS9" i="4" s="1"/>
  <c r="AO67" i="4"/>
  <c r="AQ67" i="4" s="1"/>
  <c r="AU67" i="4" s="1"/>
  <c r="AG106" i="4"/>
  <c r="AS106" i="4" s="1"/>
  <c r="AO150" i="4"/>
  <c r="AQ150" i="4" s="1"/>
  <c r="AU150" i="4" s="1"/>
  <c r="AG116" i="4"/>
  <c r="AS116" i="4" s="1"/>
  <c r="AG40" i="4"/>
  <c r="AS40" i="4" s="1"/>
  <c r="AG168" i="4"/>
  <c r="AS168" i="4" s="1"/>
  <c r="AC107" i="4"/>
  <c r="AO11" i="4"/>
  <c r="AQ11" i="4" s="1"/>
  <c r="AU11" i="4" s="1"/>
  <c r="AG65" i="4"/>
  <c r="AS65" i="4" s="1"/>
  <c r="AO130" i="4"/>
  <c r="AQ130" i="4" s="1"/>
  <c r="AU130" i="4" s="1"/>
  <c r="AO204" i="4"/>
  <c r="AQ204" i="4" s="1"/>
  <c r="AU204" i="4" s="1"/>
  <c r="AO47" i="4"/>
  <c r="AQ47" i="4" s="1"/>
  <c r="AU47" i="4" s="1"/>
  <c r="AO56" i="4"/>
  <c r="AQ56" i="4" s="1"/>
  <c r="AU56" i="4" s="1"/>
  <c r="AO58" i="4"/>
  <c r="AQ58" i="4" s="1"/>
  <c r="AU58" i="4" s="1"/>
  <c r="AO188" i="4"/>
  <c r="AQ188" i="4" s="1"/>
  <c r="AU188" i="4" s="1"/>
  <c r="AG161" i="4"/>
  <c r="AS161" i="4" s="1"/>
  <c r="AC168" i="4"/>
  <c r="AR168" i="4" s="1"/>
  <c r="AO121" i="4"/>
  <c r="AQ121" i="4" s="1"/>
  <c r="AU121" i="4" s="1"/>
  <c r="AO91" i="4"/>
  <c r="AQ91" i="4" s="1"/>
  <c r="AU91" i="4" s="1"/>
  <c r="AO174" i="4"/>
  <c r="AQ174" i="4" s="1"/>
  <c r="AU174" i="4" s="1"/>
  <c r="AR183" i="4"/>
  <c r="AO44" i="4"/>
  <c r="AQ44" i="4" s="1"/>
  <c r="AU44" i="4" s="1"/>
  <c r="AO166" i="4"/>
  <c r="AQ166" i="4" s="1"/>
  <c r="AU166" i="4" s="1"/>
  <c r="AR76" i="4"/>
  <c r="AO101" i="4"/>
  <c r="AQ101" i="4" s="1"/>
  <c r="AU101" i="4" s="1"/>
  <c r="AO199" i="4"/>
  <c r="AQ199" i="4" s="1"/>
  <c r="AU199" i="4" s="1"/>
  <c r="AO167" i="4"/>
  <c r="AQ167" i="4" s="1"/>
  <c r="AU167" i="4" s="1"/>
  <c r="AO140" i="4"/>
  <c r="AQ140" i="4" s="1"/>
  <c r="AU140" i="4" s="1"/>
  <c r="AO95" i="4"/>
  <c r="AQ95" i="4" s="1"/>
  <c r="AU95" i="4" s="1"/>
  <c r="AR197" i="4"/>
  <c r="AO191" i="4"/>
  <c r="AQ191" i="4" s="1"/>
  <c r="AU191" i="4" s="1"/>
  <c r="AC195" i="4"/>
  <c r="AR195" i="4" s="1"/>
  <c r="AR171" i="4"/>
  <c r="AO146" i="4"/>
  <c r="AQ146" i="4" s="1"/>
  <c r="AU146" i="4" s="1"/>
  <c r="AO38" i="4"/>
  <c r="AQ38" i="4" s="1"/>
  <c r="AU38" i="4" s="1"/>
  <c r="AR206" i="4"/>
  <c r="R5" i="8"/>
  <c r="S5" i="8" s="1"/>
  <c r="AR56" i="4"/>
  <c r="B64" i="2"/>
  <c r="R13" i="8" s="1"/>
  <c r="AO155" i="4"/>
  <c r="AQ155" i="4" s="1"/>
  <c r="AU155" i="4" s="1"/>
  <c r="AC81" i="4"/>
  <c r="AR81" i="4" s="1"/>
  <c r="AO162" i="4"/>
  <c r="AQ162" i="4" s="1"/>
  <c r="AU162" i="4" s="1"/>
  <c r="AO152" i="4"/>
  <c r="AQ152" i="4" s="1"/>
  <c r="AU152" i="4" s="1"/>
  <c r="AO33" i="4"/>
  <c r="AQ33" i="4" s="1"/>
  <c r="AU33" i="4" s="1"/>
  <c r="AO201" i="4"/>
  <c r="AQ201" i="4" s="1"/>
  <c r="AU201" i="4" s="1"/>
  <c r="AO194" i="4"/>
  <c r="AQ194" i="4" s="1"/>
  <c r="AU194" i="4" s="1"/>
  <c r="AC136" i="4"/>
  <c r="AO134" i="4"/>
  <c r="AQ134" i="4" s="1"/>
  <c r="AU134" i="4" s="1"/>
  <c r="AO80" i="4"/>
  <c r="AQ80" i="4" s="1"/>
  <c r="AU80" i="4" s="1"/>
  <c r="AO208" i="4"/>
  <c r="AQ208" i="4" s="1"/>
  <c r="AU208" i="4" s="1"/>
  <c r="AC89" i="4"/>
  <c r="AR89" i="4" s="1"/>
  <c r="AO50" i="4"/>
  <c r="AQ50" i="4" s="1"/>
  <c r="AU50" i="4" s="1"/>
  <c r="AO68" i="4"/>
  <c r="AQ68" i="4" s="1"/>
  <c r="AU68" i="4" s="1"/>
  <c r="AC153" i="4"/>
  <c r="AR153" i="4" s="1"/>
  <c r="AC131" i="4"/>
  <c r="AR131" i="4" s="1"/>
  <c r="AO114" i="4"/>
  <c r="AQ114" i="4" s="1"/>
  <c r="AU114" i="4" s="1"/>
  <c r="A132" i="8"/>
  <c r="A116" i="8"/>
  <c r="A115" i="8"/>
  <c r="A109" i="8"/>
  <c r="AR159" i="4"/>
  <c r="AO159" i="4"/>
  <c r="AQ159" i="4" s="1"/>
  <c r="AU159" i="4" s="1"/>
  <c r="AO94" i="4"/>
  <c r="AQ94" i="4" s="1"/>
  <c r="AU94" i="4" s="1"/>
  <c r="AC170" i="4"/>
  <c r="AC129" i="4"/>
  <c r="AC103" i="4"/>
  <c r="AO57" i="4"/>
  <c r="AQ57" i="4" s="1"/>
  <c r="AU57" i="4" s="1"/>
  <c r="A147" i="8"/>
  <c r="A98" i="8"/>
  <c r="A117" i="8"/>
  <c r="AC32" i="4"/>
  <c r="A118" i="8"/>
  <c r="A101" i="8"/>
  <c r="AQ41" i="3"/>
  <c r="AR41" i="3"/>
  <c r="A42" i="3"/>
  <c r="B41" i="3"/>
  <c r="C41" i="3"/>
  <c r="D41" i="3"/>
  <c r="G41" i="3"/>
  <c r="H41" i="3" s="1"/>
  <c r="BN41" i="3" s="1"/>
  <c r="F41" i="3"/>
  <c r="A95" i="8"/>
  <c r="A114" i="8"/>
  <c r="AC161" i="4"/>
  <c r="A124" i="8"/>
  <c r="AC116" i="4"/>
  <c r="AR66" i="4"/>
  <c r="AC193" i="4"/>
  <c r="AC132" i="4"/>
  <c r="AO164" i="4"/>
  <c r="AQ164" i="4" s="1"/>
  <c r="AU164" i="4" s="1"/>
  <c r="AC127" i="4"/>
  <c r="AO10" i="4"/>
  <c r="AQ10" i="4" s="1"/>
  <c r="AU10" i="4" s="1"/>
  <c r="AO71" i="4"/>
  <c r="AQ71" i="4" s="1"/>
  <c r="AU71" i="4" s="1"/>
  <c r="AC61" i="4"/>
  <c r="AR47" i="4"/>
  <c r="AO205" i="4"/>
  <c r="AQ205" i="4" s="1"/>
  <c r="AU205" i="4" s="1"/>
  <c r="AR60" i="4"/>
  <c r="AO60" i="4"/>
  <c r="AQ60" i="4" s="1"/>
  <c r="AU60" i="4" s="1"/>
  <c r="AO17" i="4"/>
  <c r="AQ17" i="4" s="1"/>
  <c r="AU17" i="4" s="1"/>
  <c r="AR11" i="4"/>
  <c r="AR83" i="4"/>
  <c r="AO108" i="4"/>
  <c r="AQ108" i="4" s="1"/>
  <c r="AU108" i="4" s="1"/>
  <c r="AO74" i="4"/>
  <c r="AQ74" i="4" s="1"/>
  <c r="AU74" i="4" s="1"/>
  <c r="AO124" i="4"/>
  <c r="AQ124" i="4" s="1"/>
  <c r="AU124" i="4" s="1"/>
  <c r="AO97" i="4"/>
  <c r="AQ97" i="4" s="1"/>
  <c r="AU97" i="4" s="1"/>
  <c r="AR137" i="4"/>
  <c r="AO87" i="4"/>
  <c r="AQ87" i="4" s="1"/>
  <c r="AU87" i="4" s="1"/>
  <c r="AO128" i="4"/>
  <c r="AQ128" i="4" s="1"/>
  <c r="AU128" i="4" s="1"/>
  <c r="AC111" i="4"/>
  <c r="AR111" i="4" s="1"/>
  <c r="AR102" i="4"/>
  <c r="AO102" i="4"/>
  <c r="AQ102" i="4" s="1"/>
  <c r="AU102" i="4" s="1"/>
  <c r="AR62" i="4"/>
  <c r="AO62" i="4"/>
  <c r="AQ62" i="4" s="1"/>
  <c r="AU62" i="4" s="1"/>
  <c r="AR21" i="4"/>
  <c r="AO21" i="4"/>
  <c r="AQ21" i="4" s="1"/>
  <c r="AU21" i="4" s="1"/>
  <c r="AR15" i="4"/>
  <c r="AO15" i="4"/>
  <c r="AQ15" i="4" s="1"/>
  <c r="AU15" i="4" s="1"/>
  <c r="AC106" i="4"/>
  <c r="AO92" i="4"/>
  <c r="AQ92" i="4" s="1"/>
  <c r="AU92" i="4" s="1"/>
  <c r="AR92" i="4"/>
  <c r="AR29" i="4"/>
  <c r="AO29" i="4"/>
  <c r="AQ29" i="4" s="1"/>
  <c r="AU29" i="4" s="1"/>
  <c r="A264" i="2"/>
  <c r="B264" i="2"/>
  <c r="B268" i="2" s="1"/>
  <c r="C264" i="2"/>
  <c r="C268" i="2" s="1"/>
  <c r="E26" i="1"/>
  <c r="C54" i="16" s="1"/>
  <c r="D54" i="16" s="1"/>
  <c r="AC109" i="4"/>
  <c r="AO43" i="4"/>
  <c r="AQ43" i="4" s="1"/>
  <c r="AU43" i="4" s="1"/>
  <c r="AR43" i="4"/>
  <c r="AR75" i="4"/>
  <c r="AO75" i="4"/>
  <c r="AQ75" i="4" s="1"/>
  <c r="AU75" i="4" s="1"/>
  <c r="AC53" i="4"/>
  <c r="AC45" i="4"/>
  <c r="AC113" i="4"/>
  <c r="AC24" i="4"/>
  <c r="AC49" i="4"/>
  <c r="AC46" i="4"/>
  <c r="AC9" i="4"/>
  <c r="AC41" i="4"/>
  <c r="AC115" i="4"/>
  <c r="AC40" i="4"/>
  <c r="AR90" i="4"/>
  <c r="AO90" i="4"/>
  <c r="AQ90" i="4" s="1"/>
  <c r="AU90" i="4" s="1"/>
  <c r="AO54" i="4"/>
  <c r="AQ54" i="4" s="1"/>
  <c r="AU54" i="4" s="1"/>
  <c r="AR54" i="4"/>
  <c r="B256" i="2"/>
  <c r="A256" i="2"/>
  <c r="AO176" i="4" l="1"/>
  <c r="AQ176" i="4" s="1"/>
  <c r="AU176" i="4" s="1"/>
  <c r="AO69" i="4"/>
  <c r="AQ69" i="4" s="1"/>
  <c r="AU69" i="4" s="1"/>
  <c r="AO77" i="4"/>
  <c r="AQ77" i="4" s="1"/>
  <c r="AU77" i="4" s="1"/>
  <c r="AO51" i="4"/>
  <c r="AQ51" i="4" s="1"/>
  <c r="AU51" i="4" s="1"/>
  <c r="AO79" i="4"/>
  <c r="AQ79" i="4" s="1"/>
  <c r="AU79" i="4" s="1"/>
  <c r="AR202" i="4"/>
  <c r="AO126" i="4"/>
  <c r="AQ126" i="4" s="1"/>
  <c r="AU126" i="4" s="1"/>
  <c r="AO14" i="4"/>
  <c r="AQ14" i="4" s="1"/>
  <c r="AU14" i="4" s="1"/>
  <c r="AO104" i="4"/>
  <c r="AQ104" i="4" s="1"/>
  <c r="AU104" i="4" s="1"/>
  <c r="AO149" i="4"/>
  <c r="AQ149" i="4" s="1"/>
  <c r="AU149" i="4" s="1"/>
  <c r="AR85" i="4"/>
  <c r="AO39" i="4"/>
  <c r="AQ39" i="4" s="1"/>
  <c r="AU39" i="4" s="1"/>
  <c r="AR13" i="4"/>
  <c r="AR36" i="4"/>
  <c r="AO18" i="4"/>
  <c r="AQ18" i="4" s="1"/>
  <c r="AU18" i="4" s="1"/>
  <c r="AO96" i="4"/>
  <c r="AQ96" i="4" s="1"/>
  <c r="AU96" i="4" s="1"/>
  <c r="AO30" i="4"/>
  <c r="AQ30" i="4" s="1"/>
  <c r="AU30" i="4" s="1"/>
  <c r="AO148" i="4"/>
  <c r="AQ148" i="4" s="1"/>
  <c r="AU148" i="4" s="1"/>
  <c r="AO93" i="4"/>
  <c r="AQ93" i="4" s="1"/>
  <c r="AU93" i="4" s="1"/>
  <c r="AO200" i="4"/>
  <c r="AQ200" i="4" s="1"/>
  <c r="AU200" i="4" s="1"/>
  <c r="AO157" i="4"/>
  <c r="AQ157" i="4" s="1"/>
  <c r="AU157" i="4" s="1"/>
  <c r="AO203" i="4"/>
  <c r="AQ203" i="4" s="1"/>
  <c r="AU203" i="4" s="1"/>
  <c r="AO37" i="4"/>
  <c r="AQ37" i="4" s="1"/>
  <c r="AU37" i="4" s="1"/>
  <c r="AO105" i="4"/>
  <c r="AQ105" i="4" s="1"/>
  <c r="AU105" i="4" s="1"/>
  <c r="AO55" i="4"/>
  <c r="AQ55" i="4" s="1"/>
  <c r="AU55" i="4" s="1"/>
  <c r="AO120" i="4"/>
  <c r="AQ120" i="4" s="1"/>
  <c r="AU120" i="4" s="1"/>
  <c r="AO209" i="4"/>
  <c r="AQ209" i="4" s="1"/>
  <c r="AU209" i="4" s="1"/>
  <c r="B308" i="2" s="1"/>
  <c r="AO117" i="4"/>
  <c r="AQ117" i="4" s="1"/>
  <c r="AU117" i="4" s="1"/>
  <c r="AO82" i="4"/>
  <c r="AQ82" i="4" s="1"/>
  <c r="AU82" i="4" s="1"/>
  <c r="AO207" i="4"/>
  <c r="AQ207" i="4" s="1"/>
  <c r="AU207" i="4" s="1"/>
  <c r="AO179" i="4"/>
  <c r="AQ179" i="4" s="1"/>
  <c r="AU179" i="4" s="1"/>
  <c r="AO122" i="4"/>
  <c r="AQ122" i="4" s="1"/>
  <c r="AU122" i="4" s="1"/>
  <c r="AO185" i="4"/>
  <c r="AQ185" i="4" s="1"/>
  <c r="AU185" i="4" s="1"/>
  <c r="AO98" i="4"/>
  <c r="AQ98" i="4" s="1"/>
  <c r="AU98" i="4" s="1"/>
  <c r="AO28" i="4"/>
  <c r="AQ28" i="4" s="1"/>
  <c r="AU28" i="4" s="1"/>
  <c r="AO20" i="4"/>
  <c r="AQ20" i="4" s="1"/>
  <c r="AU20" i="4" s="1"/>
  <c r="AO88" i="4"/>
  <c r="AQ88" i="4" s="1"/>
  <c r="AU88" i="4" s="1"/>
  <c r="AR190" i="4"/>
  <c r="AO72" i="4"/>
  <c r="AQ72" i="4" s="1"/>
  <c r="AU72" i="4" s="1"/>
  <c r="AO19" i="4"/>
  <c r="AQ19" i="4" s="1"/>
  <c r="AU19" i="4" s="1"/>
  <c r="AO48" i="4"/>
  <c r="AQ48" i="4" s="1"/>
  <c r="AU48" i="4" s="1"/>
  <c r="AO169" i="4"/>
  <c r="AQ169" i="4" s="1"/>
  <c r="AU169" i="4" s="1"/>
  <c r="AO99" i="4"/>
  <c r="AQ99" i="4" s="1"/>
  <c r="AU99" i="4" s="1"/>
  <c r="AO189" i="4"/>
  <c r="AQ189" i="4" s="1"/>
  <c r="AU189" i="4" s="1"/>
  <c r="AO141" i="4"/>
  <c r="AQ141" i="4" s="1"/>
  <c r="AU141" i="4" s="1"/>
  <c r="AO22" i="4"/>
  <c r="AQ22" i="4" s="1"/>
  <c r="AU22" i="4" s="1"/>
  <c r="AO142" i="4"/>
  <c r="AQ142" i="4" s="1"/>
  <c r="AU142" i="4" s="1"/>
  <c r="AR135" i="4"/>
  <c r="AR173" i="4"/>
  <c r="AR16" i="4"/>
  <c r="AO180" i="4"/>
  <c r="AQ180" i="4" s="1"/>
  <c r="AU180" i="4" s="1"/>
  <c r="AO73" i="4"/>
  <c r="AQ73" i="4" s="1"/>
  <c r="AU73" i="4" s="1"/>
  <c r="AO187" i="4"/>
  <c r="AQ187" i="4" s="1"/>
  <c r="AU187" i="4" s="1"/>
  <c r="AO145" i="4"/>
  <c r="AQ145" i="4" s="1"/>
  <c r="AU145" i="4" s="1"/>
  <c r="AO182" i="4"/>
  <c r="AQ182" i="4" s="1"/>
  <c r="AU182" i="4" s="1"/>
  <c r="AO27" i="4"/>
  <c r="AQ27" i="4" s="1"/>
  <c r="AU27" i="4" s="1"/>
  <c r="AO118" i="4"/>
  <c r="AQ118" i="4" s="1"/>
  <c r="AU118" i="4" s="1"/>
  <c r="AR27" i="4"/>
  <c r="AO84" i="4"/>
  <c r="AQ84" i="4" s="1"/>
  <c r="AU84" i="4" s="1"/>
  <c r="AO158" i="4"/>
  <c r="AQ158" i="4" s="1"/>
  <c r="AU158" i="4" s="1"/>
  <c r="AO34" i="4"/>
  <c r="AQ34" i="4" s="1"/>
  <c r="AU34" i="4" s="1"/>
  <c r="AO181" i="4"/>
  <c r="AQ181" i="4" s="1"/>
  <c r="AU181" i="4" s="1"/>
  <c r="AO35" i="4"/>
  <c r="AQ35" i="4" s="1"/>
  <c r="AU35" i="4" s="1"/>
  <c r="AO52" i="4"/>
  <c r="AQ52" i="4" s="1"/>
  <c r="AU52" i="4" s="1"/>
  <c r="AO23" i="4"/>
  <c r="AQ23" i="4" s="1"/>
  <c r="AU23" i="4" s="1"/>
  <c r="AO125" i="4"/>
  <c r="AQ125" i="4" s="1"/>
  <c r="AU125" i="4" s="1"/>
  <c r="AO86" i="4"/>
  <c r="AQ86" i="4" s="1"/>
  <c r="AU86" i="4" s="1"/>
  <c r="AO165" i="4"/>
  <c r="AQ165" i="4" s="1"/>
  <c r="AU165" i="4" s="1"/>
  <c r="AO143" i="4"/>
  <c r="AQ143" i="4" s="1"/>
  <c r="AU143" i="4" s="1"/>
  <c r="AO100" i="4"/>
  <c r="AQ100" i="4" s="1"/>
  <c r="AU100" i="4" s="1"/>
  <c r="AO177" i="4"/>
  <c r="AQ177" i="4" s="1"/>
  <c r="AU177" i="4" s="1"/>
  <c r="AO178" i="4"/>
  <c r="AQ178" i="4" s="1"/>
  <c r="AU178" i="4" s="1"/>
  <c r="AO78" i="4"/>
  <c r="AQ78" i="4" s="1"/>
  <c r="AU78" i="4" s="1"/>
  <c r="AO59" i="4"/>
  <c r="AQ59" i="4" s="1"/>
  <c r="AU59" i="4" s="1"/>
  <c r="AO144" i="4"/>
  <c r="AQ144" i="4" s="1"/>
  <c r="AU144" i="4" s="1"/>
  <c r="AO12" i="4"/>
  <c r="AQ12" i="4" s="1"/>
  <c r="AU12" i="4" s="1"/>
  <c r="AR73" i="4"/>
  <c r="AO133" i="4"/>
  <c r="AQ133" i="4" s="1"/>
  <c r="AU133" i="4" s="1"/>
  <c r="S27" i="8"/>
  <c r="C74" i="1" s="1"/>
  <c r="D74" i="1" s="1"/>
  <c r="B139" i="2" s="1"/>
  <c r="B253" i="2" s="1"/>
  <c r="AR34" i="4"/>
  <c r="B134" i="2"/>
  <c r="B76" i="1" s="1"/>
  <c r="B75" i="1"/>
  <c r="BM41" i="3"/>
  <c r="R23" i="8"/>
  <c r="AO168" i="4"/>
  <c r="AQ168" i="4" s="1"/>
  <c r="AU168" i="4" s="1"/>
  <c r="AO107" i="4"/>
  <c r="AQ107" i="4" s="1"/>
  <c r="AU107" i="4" s="1"/>
  <c r="AR107" i="4"/>
  <c r="AO65" i="4"/>
  <c r="AQ65" i="4" s="1"/>
  <c r="AU65" i="4" s="1"/>
  <c r="H3" i="8"/>
  <c r="AO195" i="4"/>
  <c r="AQ195" i="4" s="1"/>
  <c r="AU195" i="4" s="1"/>
  <c r="AO81" i="4"/>
  <c r="AQ81" i="4" s="1"/>
  <c r="AU81" i="4" s="1"/>
  <c r="AO153" i="4"/>
  <c r="AQ153" i="4" s="1"/>
  <c r="AU153" i="4" s="1"/>
  <c r="AO131" i="4"/>
  <c r="AQ131" i="4" s="1"/>
  <c r="AU131" i="4" s="1"/>
  <c r="AO89" i="4"/>
  <c r="AQ89" i="4" s="1"/>
  <c r="AU89" i="4" s="1"/>
  <c r="AR136" i="4"/>
  <c r="AO136" i="4"/>
  <c r="AQ136" i="4" s="1"/>
  <c r="AU136" i="4" s="1"/>
  <c r="A113" i="8"/>
  <c r="A43" i="3"/>
  <c r="AR42" i="3"/>
  <c r="AQ42" i="3"/>
  <c r="B42" i="3"/>
  <c r="D42" i="3"/>
  <c r="C42" i="3"/>
  <c r="F42" i="3"/>
  <c r="G42" i="3"/>
  <c r="H42" i="3" s="1"/>
  <c r="A126" i="8"/>
  <c r="A130" i="8"/>
  <c r="A127" i="8"/>
  <c r="A110" i="8"/>
  <c r="A159" i="8"/>
  <c r="A128" i="8"/>
  <c r="A121" i="8"/>
  <c r="AO161" i="4"/>
  <c r="AQ161" i="4" s="1"/>
  <c r="AU161" i="4" s="1"/>
  <c r="AR161" i="4"/>
  <c r="AR32" i="4"/>
  <c r="AO32" i="4"/>
  <c r="AQ32" i="4" s="1"/>
  <c r="AU32" i="4" s="1"/>
  <c r="A107" i="8"/>
  <c r="AR103" i="4"/>
  <c r="AO103" i="4"/>
  <c r="AQ103" i="4" s="1"/>
  <c r="AU103" i="4" s="1"/>
  <c r="AO129" i="4"/>
  <c r="AQ129" i="4" s="1"/>
  <c r="AU129" i="4" s="1"/>
  <c r="AR129" i="4"/>
  <c r="A144" i="8"/>
  <c r="AR193" i="4"/>
  <c r="AO193" i="4"/>
  <c r="AQ193" i="4" s="1"/>
  <c r="AU193" i="4" s="1"/>
  <c r="AR170" i="4"/>
  <c r="AO170" i="4"/>
  <c r="AQ170" i="4" s="1"/>
  <c r="AU170" i="4" s="1"/>
  <c r="A136" i="8"/>
  <c r="A129" i="8"/>
  <c r="AR116" i="4"/>
  <c r="AO116" i="4"/>
  <c r="AQ116" i="4" s="1"/>
  <c r="AU116" i="4" s="1"/>
  <c r="AO127" i="4"/>
  <c r="AQ127" i="4" s="1"/>
  <c r="AU127" i="4" s="1"/>
  <c r="AR127" i="4"/>
  <c r="AR132" i="4"/>
  <c r="AO132" i="4"/>
  <c r="AQ132" i="4" s="1"/>
  <c r="AU132" i="4" s="1"/>
  <c r="AR61" i="4"/>
  <c r="AO61" i="4"/>
  <c r="AQ61" i="4" s="1"/>
  <c r="AU61" i="4" s="1"/>
  <c r="AO111" i="4"/>
  <c r="AQ111" i="4" s="1"/>
  <c r="AU111" i="4" s="1"/>
  <c r="AR106" i="4"/>
  <c r="AO106" i="4"/>
  <c r="AQ106" i="4" s="1"/>
  <c r="AU106" i="4" s="1"/>
  <c r="AR109" i="4"/>
  <c r="AO109" i="4"/>
  <c r="AQ109" i="4" s="1"/>
  <c r="AU109" i="4" s="1"/>
  <c r="B309" i="2" s="1"/>
  <c r="AR9" i="4"/>
  <c r="AO9" i="4"/>
  <c r="AQ9" i="4" s="1"/>
  <c r="AU9" i="4" s="1"/>
  <c r="AR113" i="4"/>
  <c r="AO113" i="4"/>
  <c r="AQ113" i="4" s="1"/>
  <c r="AU113" i="4" s="1"/>
  <c r="AO115" i="4"/>
  <c r="AQ115" i="4" s="1"/>
  <c r="AU115" i="4" s="1"/>
  <c r="AR115" i="4"/>
  <c r="AO45" i="4"/>
  <c r="AQ45" i="4" s="1"/>
  <c r="AU45" i="4" s="1"/>
  <c r="AR45" i="4"/>
  <c r="AR40" i="4"/>
  <c r="AO40" i="4"/>
  <c r="AQ40" i="4" s="1"/>
  <c r="AU40" i="4" s="1"/>
  <c r="AO41" i="4"/>
  <c r="AQ41" i="4" s="1"/>
  <c r="AU41" i="4" s="1"/>
  <c r="AR41" i="4"/>
  <c r="AR46" i="4"/>
  <c r="AO46" i="4"/>
  <c r="AQ46" i="4" s="1"/>
  <c r="AU46" i="4" s="1"/>
  <c r="AR49" i="4"/>
  <c r="AO49" i="4"/>
  <c r="AQ49" i="4" s="1"/>
  <c r="AU49" i="4" s="1"/>
  <c r="AR24" i="4"/>
  <c r="AO24" i="4"/>
  <c r="AQ24" i="4" s="1"/>
  <c r="AU24" i="4" s="1"/>
  <c r="AO53" i="4"/>
  <c r="AQ53" i="4" s="1"/>
  <c r="AU53" i="4" s="1"/>
  <c r="AR53" i="4"/>
  <c r="A253" i="2" l="1"/>
  <c r="C52" i="16"/>
  <c r="D52" i="16" s="1"/>
  <c r="B237" i="2"/>
  <c r="A237" i="2"/>
  <c r="BN42" i="3"/>
  <c r="D3" i="8"/>
  <c r="D159" i="8" s="1"/>
  <c r="N159" i="8"/>
  <c r="J159" i="8"/>
  <c r="I159" i="8"/>
  <c r="K159" i="8"/>
  <c r="F159" i="8"/>
  <c r="L159" i="8"/>
  <c r="B159" i="8"/>
  <c r="M159" i="8"/>
  <c r="G159" i="8"/>
  <c r="E159" i="8"/>
  <c r="C159" i="8"/>
  <c r="A119" i="8"/>
  <c r="BM42" i="3"/>
  <c r="A140" i="8"/>
  <c r="A139" i="8"/>
  <c r="A148" i="8"/>
  <c r="A141" i="8"/>
  <c r="A142" i="8"/>
  <c r="AR43" i="3"/>
  <c r="A44" i="3"/>
  <c r="B43" i="3"/>
  <c r="AQ43" i="3"/>
  <c r="D43" i="3"/>
  <c r="C43" i="3"/>
  <c r="G43" i="3"/>
  <c r="H43" i="3" s="1"/>
  <c r="BN43" i="3" s="1"/>
  <c r="F43" i="3"/>
  <c r="A156" i="8"/>
  <c r="H159" i="8"/>
  <c r="A138" i="8"/>
  <c r="A122" i="8"/>
  <c r="A133" i="8"/>
  <c r="A125" i="8"/>
  <c r="BM43" i="3" l="1"/>
  <c r="A134" i="8"/>
  <c r="A150" i="8"/>
  <c r="A131" i="8"/>
  <c r="A153" i="8"/>
  <c r="A154" i="8"/>
  <c r="A137" i="8"/>
  <c r="A151" i="8"/>
  <c r="A145" i="8"/>
  <c r="A45" i="3"/>
  <c r="AR44" i="3"/>
  <c r="B44" i="3"/>
  <c r="AQ44" i="3"/>
  <c r="C44" i="3"/>
  <c r="D44" i="3"/>
  <c r="G44" i="3"/>
  <c r="H44" i="3" s="1"/>
  <c r="BN44" i="3" s="1"/>
  <c r="F44" i="3"/>
  <c r="BM44" i="3" s="1"/>
  <c r="A152" i="8"/>
  <c r="A149" i="8" l="1"/>
  <c r="A143" i="8"/>
  <c r="A157" i="8"/>
  <c r="AR45" i="3"/>
  <c r="A46" i="3"/>
  <c r="AQ45" i="3"/>
  <c r="B45" i="3"/>
  <c r="C45" i="3"/>
  <c r="D45" i="3"/>
  <c r="G45" i="3"/>
  <c r="H45" i="3" s="1"/>
  <c r="F45" i="3"/>
  <c r="A146" i="8"/>
  <c r="A155" i="8" l="1"/>
  <c r="A158" i="8"/>
  <c r="BM45" i="3"/>
  <c r="BN45" i="3"/>
  <c r="A47" i="3"/>
  <c r="AR46" i="3"/>
  <c r="B46" i="3"/>
  <c r="AQ46" i="3"/>
  <c r="C46" i="3"/>
  <c r="D46" i="3"/>
  <c r="G46" i="3"/>
  <c r="H46" i="3" s="1"/>
  <c r="BN46" i="3" s="1"/>
  <c r="F46" i="3"/>
  <c r="BM46" i="3" s="1"/>
  <c r="N158" i="8" l="1"/>
  <c r="N157" i="8" s="1"/>
  <c r="N156" i="8" s="1"/>
  <c r="N155" i="8" s="1"/>
  <c r="N154" i="8" s="1"/>
  <c r="N153" i="8" s="1"/>
  <c r="N152" i="8" s="1"/>
  <c r="N151" i="8" s="1"/>
  <c r="N150" i="8" s="1"/>
  <c r="N149" i="8" s="1"/>
  <c r="N148" i="8" s="1"/>
  <c r="N147" i="8" s="1"/>
  <c r="N146" i="8" s="1"/>
  <c r="N145" i="8" s="1"/>
  <c r="N144" i="8" s="1"/>
  <c r="N143" i="8" s="1"/>
  <c r="N142" i="8" s="1"/>
  <c r="N141" i="8" s="1"/>
  <c r="N140" i="8" s="1"/>
  <c r="N139" i="8" s="1"/>
  <c r="N138" i="8" s="1"/>
  <c r="N137" i="8" s="1"/>
  <c r="N136" i="8" s="1"/>
  <c r="N135" i="8" s="1"/>
  <c r="N134" i="8" s="1"/>
  <c r="N133" i="8" s="1"/>
  <c r="N132" i="8" s="1"/>
  <c r="N131" i="8" s="1"/>
  <c r="N130" i="8" s="1"/>
  <c r="N129" i="8" s="1"/>
  <c r="N128" i="8" s="1"/>
  <c r="N127" i="8" s="1"/>
  <c r="N126" i="8" s="1"/>
  <c r="N125" i="8" s="1"/>
  <c r="N124" i="8" s="1"/>
  <c r="N123" i="8" s="1"/>
  <c r="N122" i="8" s="1"/>
  <c r="N121" i="8" s="1"/>
  <c r="N120" i="8" s="1"/>
  <c r="N119" i="8" s="1"/>
  <c r="N118" i="8" s="1"/>
  <c r="N117" i="8" s="1"/>
  <c r="N116" i="8" s="1"/>
  <c r="N115" i="8" s="1"/>
  <c r="N114" i="8" s="1"/>
  <c r="N113" i="8" s="1"/>
  <c r="N112" i="8" s="1"/>
  <c r="N111" i="8" s="1"/>
  <c r="N110" i="8" s="1"/>
  <c r="N109" i="8" s="1"/>
  <c r="N108" i="8" s="1"/>
  <c r="N107" i="8" s="1"/>
  <c r="N106" i="8" s="1"/>
  <c r="N105" i="8" s="1"/>
  <c r="N104" i="8" s="1"/>
  <c r="N103" i="8" s="1"/>
  <c r="N102" i="8" s="1"/>
  <c r="N101" i="8" s="1"/>
  <c r="N100" i="8" s="1"/>
  <c r="N99" i="8" s="1"/>
  <c r="N98" i="8" s="1"/>
  <c r="N97" i="8" s="1"/>
  <c r="N96" i="8" s="1"/>
  <c r="N95" i="8" s="1"/>
  <c r="N94" i="8" s="1"/>
  <c r="N93" i="8" s="1"/>
  <c r="N92" i="8" s="1"/>
  <c r="N91" i="8" s="1"/>
  <c r="N90" i="8" s="1"/>
  <c r="N89" i="8" s="1"/>
  <c r="N88" i="8" s="1"/>
  <c r="N87" i="8" s="1"/>
  <c r="N86" i="8" s="1"/>
  <c r="N85" i="8" s="1"/>
  <c r="N84" i="8" s="1"/>
  <c r="N83" i="8" s="1"/>
  <c r="N82" i="8" s="1"/>
  <c r="N81" i="8" s="1"/>
  <c r="N80" i="8" s="1"/>
  <c r="N79" i="8" s="1"/>
  <c r="N78" i="8" s="1"/>
  <c r="N77" i="8" s="1"/>
  <c r="N76" i="8" s="1"/>
  <c r="N75" i="8" s="1"/>
  <c r="N74" i="8" s="1"/>
  <c r="N73" i="8" s="1"/>
  <c r="N72" i="8" s="1"/>
  <c r="N71" i="8" s="1"/>
  <c r="N70" i="8" s="1"/>
  <c r="N69" i="8" s="1"/>
  <c r="N68" i="8" s="1"/>
  <c r="N67" i="8" s="1"/>
  <c r="N66" i="8" s="1"/>
  <c r="N65" i="8" s="1"/>
  <c r="N64" i="8" s="1"/>
  <c r="N63" i="8" s="1"/>
  <c r="N62" i="8" s="1"/>
  <c r="N61" i="8" s="1"/>
  <c r="N60" i="8" s="1"/>
  <c r="N59" i="8" s="1"/>
  <c r="N58" i="8" s="1"/>
  <c r="N57" i="8" s="1"/>
  <c r="N56" i="8" s="1"/>
  <c r="N55" i="8" s="1"/>
  <c r="N54" i="8" s="1"/>
  <c r="N53" i="8" s="1"/>
  <c r="N52" i="8" s="1"/>
  <c r="N51" i="8" s="1"/>
  <c r="N50" i="8" s="1"/>
  <c r="N49" i="8" s="1"/>
  <c r="N48" i="8" s="1"/>
  <c r="N47" i="8" s="1"/>
  <c r="N46" i="8" s="1"/>
  <c r="N45" i="8" s="1"/>
  <c r="N44" i="8" s="1"/>
  <c r="N43" i="8" s="1"/>
  <c r="N42" i="8" s="1"/>
  <c r="N41" i="8" s="1"/>
  <c r="N40" i="8" s="1"/>
  <c r="N39" i="8" s="1"/>
  <c r="N38" i="8" s="1"/>
  <c r="N37" i="8" s="1"/>
  <c r="N36" i="8" s="1"/>
  <c r="N35" i="8" s="1"/>
  <c r="N34" i="8" s="1"/>
  <c r="N33" i="8" s="1"/>
  <c r="N32" i="8" s="1"/>
  <c r="N31" i="8" s="1"/>
  <c r="N30" i="8" s="1"/>
  <c r="N29" i="8" s="1"/>
  <c r="N28" i="8" s="1"/>
  <c r="N27" i="8" s="1"/>
  <c r="N26" i="8" s="1"/>
  <c r="N25" i="8" s="1"/>
  <c r="N24" i="8" s="1"/>
  <c r="N23" i="8" s="1"/>
  <c r="N22" i="8" s="1"/>
  <c r="N21" i="8" s="1"/>
  <c r="N20" i="8" s="1"/>
  <c r="N19" i="8" s="1"/>
  <c r="N18" i="8" s="1"/>
  <c r="N17" i="8" s="1"/>
  <c r="N16" i="8" s="1"/>
  <c r="N15" i="8" s="1"/>
  <c r="N14" i="8" s="1"/>
  <c r="N13" i="8" s="1"/>
  <c r="N12" i="8" s="1"/>
  <c r="N11" i="8" s="1"/>
  <c r="N10" i="8" s="1"/>
  <c r="N9" i="8" s="1"/>
  <c r="N8" i="8" s="1"/>
  <c r="N7" i="8" s="1"/>
  <c r="N6" i="8" s="1"/>
  <c r="J158" i="8"/>
  <c r="J157" i="8" s="1"/>
  <c r="J156" i="8" s="1"/>
  <c r="J155" i="8" s="1"/>
  <c r="J154" i="8" s="1"/>
  <c r="J153" i="8" s="1"/>
  <c r="J152" i="8" s="1"/>
  <c r="J151" i="8" s="1"/>
  <c r="J150" i="8" s="1"/>
  <c r="J149" i="8" s="1"/>
  <c r="J148" i="8" s="1"/>
  <c r="J147" i="8" s="1"/>
  <c r="J146" i="8" s="1"/>
  <c r="J145" i="8" s="1"/>
  <c r="J144" i="8" s="1"/>
  <c r="J143" i="8" s="1"/>
  <c r="J142" i="8" s="1"/>
  <c r="J141" i="8" s="1"/>
  <c r="J140" i="8" s="1"/>
  <c r="J139" i="8" s="1"/>
  <c r="J138" i="8" s="1"/>
  <c r="J137" i="8" s="1"/>
  <c r="J136" i="8" s="1"/>
  <c r="J135" i="8" s="1"/>
  <c r="J134" i="8" s="1"/>
  <c r="J133" i="8" s="1"/>
  <c r="J132" i="8" s="1"/>
  <c r="J131" i="8" s="1"/>
  <c r="J130" i="8" s="1"/>
  <c r="J129" i="8" s="1"/>
  <c r="J128" i="8" s="1"/>
  <c r="J127" i="8" s="1"/>
  <c r="J126" i="8" s="1"/>
  <c r="J125" i="8" s="1"/>
  <c r="J124" i="8" s="1"/>
  <c r="J123" i="8" s="1"/>
  <c r="J122" i="8" s="1"/>
  <c r="J121" i="8" s="1"/>
  <c r="J120" i="8" s="1"/>
  <c r="J119" i="8" s="1"/>
  <c r="J118" i="8" s="1"/>
  <c r="J117" i="8" s="1"/>
  <c r="J116" i="8" s="1"/>
  <c r="J115" i="8" s="1"/>
  <c r="J114" i="8" s="1"/>
  <c r="J113" i="8" s="1"/>
  <c r="J112" i="8" s="1"/>
  <c r="J111" i="8" s="1"/>
  <c r="J110" i="8" s="1"/>
  <c r="J109" i="8" s="1"/>
  <c r="J108" i="8" s="1"/>
  <c r="J107" i="8" s="1"/>
  <c r="J106" i="8" s="1"/>
  <c r="J105" i="8" s="1"/>
  <c r="J104" i="8" s="1"/>
  <c r="J103" i="8" s="1"/>
  <c r="J102" i="8" s="1"/>
  <c r="J101" i="8" s="1"/>
  <c r="J100" i="8" s="1"/>
  <c r="J99" i="8" s="1"/>
  <c r="J98" i="8" s="1"/>
  <c r="J97" i="8" s="1"/>
  <c r="J96" i="8" s="1"/>
  <c r="J95" i="8" s="1"/>
  <c r="J94" i="8" s="1"/>
  <c r="J93" i="8" s="1"/>
  <c r="J92" i="8" s="1"/>
  <c r="J91" i="8" s="1"/>
  <c r="J90" i="8" s="1"/>
  <c r="J89" i="8" s="1"/>
  <c r="J88" i="8" s="1"/>
  <c r="J87" i="8" s="1"/>
  <c r="J86" i="8" s="1"/>
  <c r="J85" i="8" s="1"/>
  <c r="J84" i="8" s="1"/>
  <c r="J83" i="8" s="1"/>
  <c r="J82" i="8" s="1"/>
  <c r="J81" i="8" s="1"/>
  <c r="J80" i="8" s="1"/>
  <c r="J79" i="8" s="1"/>
  <c r="J78" i="8" s="1"/>
  <c r="J77" i="8" s="1"/>
  <c r="J76" i="8" s="1"/>
  <c r="J75" i="8" s="1"/>
  <c r="J74" i="8" s="1"/>
  <c r="J73" i="8" s="1"/>
  <c r="J72" i="8" s="1"/>
  <c r="J71" i="8" s="1"/>
  <c r="J70" i="8" s="1"/>
  <c r="J69" i="8" s="1"/>
  <c r="J68" i="8" s="1"/>
  <c r="J67" i="8" s="1"/>
  <c r="J66" i="8" s="1"/>
  <c r="J65" i="8" s="1"/>
  <c r="J64" i="8" s="1"/>
  <c r="J63" i="8" s="1"/>
  <c r="J62" i="8" s="1"/>
  <c r="J61" i="8" s="1"/>
  <c r="J60" i="8" s="1"/>
  <c r="J59" i="8" s="1"/>
  <c r="J58" i="8" s="1"/>
  <c r="J57" i="8" s="1"/>
  <c r="J56" i="8" s="1"/>
  <c r="J55" i="8" s="1"/>
  <c r="J54" i="8" s="1"/>
  <c r="J53" i="8" s="1"/>
  <c r="J52" i="8" s="1"/>
  <c r="J51" i="8" s="1"/>
  <c r="J50" i="8" s="1"/>
  <c r="J49" i="8" s="1"/>
  <c r="J48" i="8" s="1"/>
  <c r="J47" i="8" s="1"/>
  <c r="J46" i="8" s="1"/>
  <c r="J45" i="8" s="1"/>
  <c r="J44" i="8" s="1"/>
  <c r="J43" i="8" s="1"/>
  <c r="J42" i="8" s="1"/>
  <c r="J41" i="8" s="1"/>
  <c r="J40" i="8" s="1"/>
  <c r="J39" i="8" s="1"/>
  <c r="J38" i="8" s="1"/>
  <c r="J37" i="8" s="1"/>
  <c r="J36" i="8" s="1"/>
  <c r="J35" i="8" s="1"/>
  <c r="J34" i="8" s="1"/>
  <c r="J33" i="8" s="1"/>
  <c r="J32" i="8" s="1"/>
  <c r="J31" i="8" s="1"/>
  <c r="J30" i="8" s="1"/>
  <c r="J29" i="8" s="1"/>
  <c r="J28" i="8" s="1"/>
  <c r="J27" i="8" s="1"/>
  <c r="J26" i="8" s="1"/>
  <c r="J25" i="8" s="1"/>
  <c r="J24" i="8" s="1"/>
  <c r="J23" i="8" s="1"/>
  <c r="J22" i="8" s="1"/>
  <c r="J21" i="8" s="1"/>
  <c r="J20" i="8" s="1"/>
  <c r="J19" i="8" s="1"/>
  <c r="J18" i="8" s="1"/>
  <c r="J17" i="8" s="1"/>
  <c r="J16" i="8" s="1"/>
  <c r="J15" i="8" s="1"/>
  <c r="J14" i="8" s="1"/>
  <c r="J13" i="8" s="1"/>
  <c r="J12" i="8" s="1"/>
  <c r="J11" i="8" s="1"/>
  <c r="J10" i="8" s="1"/>
  <c r="J9" i="8" s="1"/>
  <c r="J8" i="8" s="1"/>
  <c r="J7" i="8" s="1"/>
  <c r="J6" i="8" s="1"/>
  <c r="J4" i="8" s="1"/>
  <c r="M158" i="8"/>
  <c r="M157" i="8" s="1"/>
  <c r="M156" i="8" s="1"/>
  <c r="M155" i="8" s="1"/>
  <c r="M154" i="8" s="1"/>
  <c r="M153" i="8" s="1"/>
  <c r="M152" i="8" s="1"/>
  <c r="M151" i="8" s="1"/>
  <c r="M150" i="8" s="1"/>
  <c r="M149" i="8" s="1"/>
  <c r="M148" i="8" s="1"/>
  <c r="M147" i="8" s="1"/>
  <c r="M146" i="8" s="1"/>
  <c r="M145" i="8" s="1"/>
  <c r="M144" i="8" s="1"/>
  <c r="M143" i="8" s="1"/>
  <c r="M142" i="8" s="1"/>
  <c r="M141" i="8" s="1"/>
  <c r="M140" i="8" s="1"/>
  <c r="M139" i="8" s="1"/>
  <c r="M138" i="8" s="1"/>
  <c r="M137" i="8" s="1"/>
  <c r="M136" i="8" s="1"/>
  <c r="M135" i="8" s="1"/>
  <c r="M134" i="8" s="1"/>
  <c r="M133" i="8" s="1"/>
  <c r="M132" i="8" s="1"/>
  <c r="M131" i="8" s="1"/>
  <c r="M130" i="8" s="1"/>
  <c r="M129" i="8" s="1"/>
  <c r="M128" i="8" s="1"/>
  <c r="M127" i="8" s="1"/>
  <c r="M126" i="8" s="1"/>
  <c r="M125" i="8" s="1"/>
  <c r="M124" i="8" s="1"/>
  <c r="M123" i="8" s="1"/>
  <c r="M122" i="8" s="1"/>
  <c r="M121" i="8" s="1"/>
  <c r="M120" i="8" s="1"/>
  <c r="M119" i="8" s="1"/>
  <c r="M118" i="8" s="1"/>
  <c r="M117" i="8" s="1"/>
  <c r="M116" i="8" s="1"/>
  <c r="M115" i="8" s="1"/>
  <c r="M114" i="8" s="1"/>
  <c r="M113" i="8" s="1"/>
  <c r="M112" i="8" s="1"/>
  <c r="M111" i="8" s="1"/>
  <c r="M110" i="8" s="1"/>
  <c r="M109" i="8" s="1"/>
  <c r="M108" i="8" s="1"/>
  <c r="M107" i="8" s="1"/>
  <c r="M106" i="8" s="1"/>
  <c r="M105" i="8" s="1"/>
  <c r="M104" i="8" s="1"/>
  <c r="M103" i="8" s="1"/>
  <c r="M102" i="8" s="1"/>
  <c r="M101" i="8" s="1"/>
  <c r="M100" i="8" s="1"/>
  <c r="M99" i="8" s="1"/>
  <c r="M98" i="8" s="1"/>
  <c r="M97" i="8" s="1"/>
  <c r="M96" i="8" s="1"/>
  <c r="M95" i="8" s="1"/>
  <c r="M94" i="8" s="1"/>
  <c r="M93" i="8" s="1"/>
  <c r="M92" i="8" s="1"/>
  <c r="M91" i="8" s="1"/>
  <c r="M90" i="8" s="1"/>
  <c r="M89" i="8" s="1"/>
  <c r="M88" i="8" s="1"/>
  <c r="M87" i="8" s="1"/>
  <c r="M86" i="8" s="1"/>
  <c r="M85" i="8" s="1"/>
  <c r="M84" i="8" s="1"/>
  <c r="M83" i="8" s="1"/>
  <c r="M82" i="8" s="1"/>
  <c r="M81" i="8" s="1"/>
  <c r="M80" i="8" s="1"/>
  <c r="M79" i="8" s="1"/>
  <c r="M78" i="8" s="1"/>
  <c r="M77" i="8" s="1"/>
  <c r="M76" i="8" s="1"/>
  <c r="M75" i="8" s="1"/>
  <c r="M74" i="8" s="1"/>
  <c r="M73" i="8" s="1"/>
  <c r="M72" i="8" s="1"/>
  <c r="M71" i="8" s="1"/>
  <c r="M70" i="8" s="1"/>
  <c r="M69" i="8" s="1"/>
  <c r="M68" i="8" s="1"/>
  <c r="M67" i="8" s="1"/>
  <c r="M66" i="8" s="1"/>
  <c r="M65" i="8" s="1"/>
  <c r="M64" i="8" s="1"/>
  <c r="M63" i="8" s="1"/>
  <c r="M62" i="8" s="1"/>
  <c r="M61" i="8" s="1"/>
  <c r="M60" i="8" s="1"/>
  <c r="M59" i="8" s="1"/>
  <c r="M58" i="8" s="1"/>
  <c r="M57" i="8" s="1"/>
  <c r="M56" i="8" s="1"/>
  <c r="M55" i="8" s="1"/>
  <c r="M54" i="8" s="1"/>
  <c r="M53" i="8" s="1"/>
  <c r="M52" i="8" s="1"/>
  <c r="M51" i="8" s="1"/>
  <c r="M50" i="8" s="1"/>
  <c r="M49" i="8" s="1"/>
  <c r="M48" i="8" s="1"/>
  <c r="M47" i="8" s="1"/>
  <c r="M46" i="8" s="1"/>
  <c r="M45" i="8" s="1"/>
  <c r="M44" i="8" s="1"/>
  <c r="M43" i="8" s="1"/>
  <c r="M42" i="8" s="1"/>
  <c r="M41" i="8" s="1"/>
  <c r="M40" i="8" s="1"/>
  <c r="M39" i="8" s="1"/>
  <c r="M38" i="8" s="1"/>
  <c r="M37" i="8" s="1"/>
  <c r="M36" i="8" s="1"/>
  <c r="M35" i="8" s="1"/>
  <c r="M34" i="8" s="1"/>
  <c r="M33" i="8" s="1"/>
  <c r="M32" i="8" s="1"/>
  <c r="M31" i="8" s="1"/>
  <c r="M30" i="8" s="1"/>
  <c r="M29" i="8" s="1"/>
  <c r="M28" i="8" s="1"/>
  <c r="M27" i="8" s="1"/>
  <c r="M26" i="8" s="1"/>
  <c r="M25" i="8" s="1"/>
  <c r="M24" i="8" s="1"/>
  <c r="M23" i="8" s="1"/>
  <c r="M22" i="8" s="1"/>
  <c r="M21" i="8" s="1"/>
  <c r="M20" i="8" s="1"/>
  <c r="M19" i="8" s="1"/>
  <c r="M18" i="8" s="1"/>
  <c r="M17" i="8" s="1"/>
  <c r="M16" i="8" s="1"/>
  <c r="M15" i="8" s="1"/>
  <c r="M14" i="8" s="1"/>
  <c r="M13" i="8" s="1"/>
  <c r="M12" i="8" s="1"/>
  <c r="M11" i="8" s="1"/>
  <c r="M10" i="8" s="1"/>
  <c r="M9" i="8" s="1"/>
  <c r="M8" i="8" s="1"/>
  <c r="M7" i="8" s="1"/>
  <c r="M6" i="8" s="1"/>
  <c r="M4" i="8" s="1"/>
  <c r="I158" i="8"/>
  <c r="I157" i="8" s="1"/>
  <c r="I156" i="8" s="1"/>
  <c r="K158" i="8"/>
  <c r="K157" i="8" s="1"/>
  <c r="K156" i="8" s="1"/>
  <c r="L158" i="8"/>
  <c r="L157" i="8" s="1"/>
  <c r="L156" i="8" s="1"/>
  <c r="B158" i="8"/>
  <c r="B157" i="8" s="1"/>
  <c r="B156" i="8" s="1"/>
  <c r="B155" i="8" s="1"/>
  <c r="B154" i="8" s="1"/>
  <c r="B153" i="8" s="1"/>
  <c r="B152" i="8" s="1"/>
  <c r="B151" i="8" s="1"/>
  <c r="B150" i="8" s="1"/>
  <c r="B149" i="8" s="1"/>
  <c r="B148" i="8" s="1"/>
  <c r="B147" i="8" s="1"/>
  <c r="B146" i="8" s="1"/>
  <c r="B145" i="8" s="1"/>
  <c r="B144" i="8" s="1"/>
  <c r="B143" i="8" s="1"/>
  <c r="B142" i="8" s="1"/>
  <c r="B141" i="8" s="1"/>
  <c r="B140" i="8" s="1"/>
  <c r="B139" i="8" s="1"/>
  <c r="B138" i="8" s="1"/>
  <c r="B137" i="8" s="1"/>
  <c r="B136" i="8" s="1"/>
  <c r="B135" i="8" s="1"/>
  <c r="B134" i="8" s="1"/>
  <c r="B133" i="8" s="1"/>
  <c r="B132" i="8" s="1"/>
  <c r="B131" i="8" s="1"/>
  <c r="B130" i="8" s="1"/>
  <c r="B129" i="8" s="1"/>
  <c r="B128" i="8" s="1"/>
  <c r="B127" i="8" s="1"/>
  <c r="B126" i="8" s="1"/>
  <c r="B125" i="8" s="1"/>
  <c r="B124" i="8" s="1"/>
  <c r="B123" i="8" s="1"/>
  <c r="B122" i="8" s="1"/>
  <c r="B121" i="8" s="1"/>
  <c r="B120" i="8" s="1"/>
  <c r="B119" i="8" s="1"/>
  <c r="B118" i="8" s="1"/>
  <c r="B117" i="8" s="1"/>
  <c r="B116" i="8" s="1"/>
  <c r="B115" i="8" s="1"/>
  <c r="B114" i="8" s="1"/>
  <c r="B113" i="8" s="1"/>
  <c r="B112" i="8" s="1"/>
  <c r="B111" i="8" s="1"/>
  <c r="B110" i="8" s="1"/>
  <c r="B109" i="8" s="1"/>
  <c r="B108" i="8" s="1"/>
  <c r="B107" i="8" s="1"/>
  <c r="B106" i="8" s="1"/>
  <c r="B105" i="8" s="1"/>
  <c r="B104" i="8" s="1"/>
  <c r="B103" i="8" s="1"/>
  <c r="B102" i="8" s="1"/>
  <c r="B101" i="8" s="1"/>
  <c r="B100" i="8" s="1"/>
  <c r="B99" i="8" s="1"/>
  <c r="B98" i="8" s="1"/>
  <c r="B97" i="8" s="1"/>
  <c r="B96" i="8" s="1"/>
  <c r="B95" i="8" s="1"/>
  <c r="B94" i="8" s="1"/>
  <c r="B93" i="8" s="1"/>
  <c r="B92" i="8" s="1"/>
  <c r="B91" i="8" s="1"/>
  <c r="B90" i="8" s="1"/>
  <c r="B89" i="8" s="1"/>
  <c r="B88" i="8" s="1"/>
  <c r="B87" i="8" s="1"/>
  <c r="B86" i="8" s="1"/>
  <c r="B85" i="8" s="1"/>
  <c r="B84" i="8" s="1"/>
  <c r="B83" i="8" s="1"/>
  <c r="B82" i="8" s="1"/>
  <c r="B81" i="8" s="1"/>
  <c r="B80" i="8" s="1"/>
  <c r="B79" i="8" s="1"/>
  <c r="B78" i="8" s="1"/>
  <c r="B77" i="8" s="1"/>
  <c r="B76" i="8" s="1"/>
  <c r="B75" i="8" s="1"/>
  <c r="B74" i="8" s="1"/>
  <c r="B73" i="8" s="1"/>
  <c r="B72" i="8" s="1"/>
  <c r="B71" i="8" s="1"/>
  <c r="B70" i="8" s="1"/>
  <c r="B69" i="8" s="1"/>
  <c r="B68" i="8" s="1"/>
  <c r="B67" i="8" s="1"/>
  <c r="B66" i="8" s="1"/>
  <c r="B65" i="8" s="1"/>
  <c r="B64" i="8" s="1"/>
  <c r="B63" i="8" s="1"/>
  <c r="B62" i="8" s="1"/>
  <c r="B61" i="8" s="1"/>
  <c r="B60" i="8" s="1"/>
  <c r="B59" i="8" s="1"/>
  <c r="B58" i="8" s="1"/>
  <c r="B57" i="8" s="1"/>
  <c r="B56" i="8" s="1"/>
  <c r="B55" i="8" s="1"/>
  <c r="B54" i="8" s="1"/>
  <c r="B53" i="8" s="1"/>
  <c r="B52" i="8" s="1"/>
  <c r="B51" i="8" s="1"/>
  <c r="B50" i="8" s="1"/>
  <c r="B49" i="8" s="1"/>
  <c r="B48" i="8" s="1"/>
  <c r="B47" i="8" s="1"/>
  <c r="B46" i="8" s="1"/>
  <c r="B45" i="8" s="1"/>
  <c r="B44" i="8" s="1"/>
  <c r="B43" i="8" s="1"/>
  <c r="B42" i="8" s="1"/>
  <c r="B41" i="8" s="1"/>
  <c r="B40" i="8" s="1"/>
  <c r="B39" i="8" s="1"/>
  <c r="B38" i="8" s="1"/>
  <c r="B37" i="8" s="1"/>
  <c r="B36" i="8" s="1"/>
  <c r="B35" i="8" s="1"/>
  <c r="B34" i="8" s="1"/>
  <c r="B33" i="8" s="1"/>
  <c r="B32" i="8" s="1"/>
  <c r="B31" i="8" s="1"/>
  <c r="B30" i="8" s="1"/>
  <c r="B29" i="8" s="1"/>
  <c r="B28" i="8" s="1"/>
  <c r="B27" i="8" s="1"/>
  <c r="B26" i="8" s="1"/>
  <c r="B25" i="8" s="1"/>
  <c r="B24" i="8" s="1"/>
  <c r="B23" i="8" s="1"/>
  <c r="B22" i="8" s="1"/>
  <c r="B21" i="8" s="1"/>
  <c r="B20" i="8" s="1"/>
  <c r="B19" i="8" s="1"/>
  <c r="B18" i="8" s="1"/>
  <c r="B17" i="8" s="1"/>
  <c r="B16" i="8" s="1"/>
  <c r="B15" i="8" s="1"/>
  <c r="B14" i="8" s="1"/>
  <c r="B13" i="8" s="1"/>
  <c r="B12" i="8" s="1"/>
  <c r="B11" i="8" s="1"/>
  <c r="B10" i="8" s="1"/>
  <c r="B9" i="8" s="1"/>
  <c r="B8" i="8" s="1"/>
  <c r="B7" i="8" s="1"/>
  <c r="B6" i="8" s="1"/>
  <c r="B4" i="8" s="1"/>
  <c r="C158" i="8"/>
  <c r="C157" i="8" s="1"/>
  <c r="C156" i="8" s="1"/>
  <c r="C155" i="8" s="1"/>
  <c r="C154" i="8" s="1"/>
  <c r="C153" i="8" s="1"/>
  <c r="C152" i="8" s="1"/>
  <c r="C151" i="8" s="1"/>
  <c r="C150" i="8" s="1"/>
  <c r="C149" i="8" s="1"/>
  <c r="C148" i="8" s="1"/>
  <c r="C147" i="8" s="1"/>
  <c r="C146" i="8" s="1"/>
  <c r="C145" i="8" s="1"/>
  <c r="C144" i="8" s="1"/>
  <c r="C143" i="8" s="1"/>
  <c r="C142" i="8" s="1"/>
  <c r="C141" i="8" s="1"/>
  <c r="C140" i="8" s="1"/>
  <c r="C139" i="8" s="1"/>
  <c r="C138" i="8" s="1"/>
  <c r="C137" i="8" s="1"/>
  <c r="C136" i="8" s="1"/>
  <c r="C135" i="8" s="1"/>
  <c r="C134" i="8" s="1"/>
  <c r="C133" i="8" s="1"/>
  <c r="C132" i="8" s="1"/>
  <c r="C131" i="8" s="1"/>
  <c r="C130" i="8" s="1"/>
  <c r="C129" i="8" s="1"/>
  <c r="C128" i="8" s="1"/>
  <c r="C127" i="8" s="1"/>
  <c r="C126" i="8" s="1"/>
  <c r="C125" i="8" s="1"/>
  <c r="C124" i="8" s="1"/>
  <c r="C123" i="8" s="1"/>
  <c r="C122" i="8" s="1"/>
  <c r="C121" i="8" s="1"/>
  <c r="C120" i="8" s="1"/>
  <c r="C119" i="8" s="1"/>
  <c r="C118" i="8" s="1"/>
  <c r="C117" i="8" s="1"/>
  <c r="C116" i="8" s="1"/>
  <c r="C115" i="8" s="1"/>
  <c r="C114" i="8" s="1"/>
  <c r="C113" i="8" s="1"/>
  <c r="C112" i="8" s="1"/>
  <c r="C111" i="8" s="1"/>
  <c r="C110" i="8" s="1"/>
  <c r="C109" i="8" s="1"/>
  <c r="C108" i="8" s="1"/>
  <c r="C107" i="8" s="1"/>
  <c r="C106" i="8" s="1"/>
  <c r="C105" i="8" s="1"/>
  <c r="C104" i="8" s="1"/>
  <c r="C103" i="8" s="1"/>
  <c r="C102" i="8" s="1"/>
  <c r="C101" i="8" s="1"/>
  <c r="C100" i="8" s="1"/>
  <c r="C99" i="8" s="1"/>
  <c r="C98" i="8" s="1"/>
  <c r="C97" i="8" s="1"/>
  <c r="C96" i="8" s="1"/>
  <c r="C95" i="8" s="1"/>
  <c r="C94" i="8" s="1"/>
  <c r="C93" i="8" s="1"/>
  <c r="C92" i="8" s="1"/>
  <c r="C91" i="8" s="1"/>
  <c r="C90" i="8" s="1"/>
  <c r="C89" i="8" s="1"/>
  <c r="C88" i="8" s="1"/>
  <c r="C87" i="8" s="1"/>
  <c r="C86" i="8" s="1"/>
  <c r="C85" i="8" s="1"/>
  <c r="C84" i="8" s="1"/>
  <c r="C83" i="8" s="1"/>
  <c r="C82" i="8" s="1"/>
  <c r="C81" i="8" s="1"/>
  <c r="C80" i="8" s="1"/>
  <c r="C79" i="8" s="1"/>
  <c r="C78" i="8" s="1"/>
  <c r="C77" i="8" s="1"/>
  <c r="C76" i="8" s="1"/>
  <c r="C75" i="8" s="1"/>
  <c r="C74" i="8" s="1"/>
  <c r="C73" i="8" s="1"/>
  <c r="C72" i="8" s="1"/>
  <c r="C71" i="8" s="1"/>
  <c r="C70" i="8" s="1"/>
  <c r="C69" i="8" s="1"/>
  <c r="C68" i="8" s="1"/>
  <c r="C67" i="8" s="1"/>
  <c r="C66" i="8" s="1"/>
  <c r="C65" i="8" s="1"/>
  <c r="C64" i="8" s="1"/>
  <c r="C63" i="8" s="1"/>
  <c r="C62" i="8" s="1"/>
  <c r="C61" i="8" s="1"/>
  <c r="C60" i="8" s="1"/>
  <c r="C59" i="8" s="1"/>
  <c r="C58" i="8" s="1"/>
  <c r="C57" i="8" s="1"/>
  <c r="C56" i="8" s="1"/>
  <c r="C55" i="8" s="1"/>
  <c r="C54" i="8" s="1"/>
  <c r="C53" i="8" s="1"/>
  <c r="C52" i="8" s="1"/>
  <c r="C51" i="8" s="1"/>
  <c r="C50" i="8" s="1"/>
  <c r="C49" i="8" s="1"/>
  <c r="C48" i="8" s="1"/>
  <c r="C47" i="8" s="1"/>
  <c r="C46" i="8" s="1"/>
  <c r="C45" i="8" s="1"/>
  <c r="C44" i="8" s="1"/>
  <c r="C43" i="8" s="1"/>
  <c r="C42" i="8" s="1"/>
  <c r="C41" i="8" s="1"/>
  <c r="C40" i="8" s="1"/>
  <c r="C39" i="8" s="1"/>
  <c r="C38" i="8" s="1"/>
  <c r="C37" i="8" s="1"/>
  <c r="C36" i="8" s="1"/>
  <c r="C35" i="8" s="1"/>
  <c r="C34" i="8" s="1"/>
  <c r="C33" i="8" s="1"/>
  <c r="C32" i="8" s="1"/>
  <c r="C31" i="8" s="1"/>
  <c r="C30" i="8" s="1"/>
  <c r="C29" i="8" s="1"/>
  <c r="C28" i="8" s="1"/>
  <c r="C27" i="8" s="1"/>
  <c r="C26" i="8" s="1"/>
  <c r="C25" i="8" s="1"/>
  <c r="C24" i="8" s="1"/>
  <c r="C23" i="8" s="1"/>
  <c r="C22" i="8" s="1"/>
  <c r="C21" i="8" s="1"/>
  <c r="C20" i="8" s="1"/>
  <c r="C19" i="8" s="1"/>
  <c r="C18" i="8" s="1"/>
  <c r="C17" i="8" s="1"/>
  <c r="C16" i="8" s="1"/>
  <c r="C15" i="8" s="1"/>
  <c r="C14" i="8" s="1"/>
  <c r="C13" i="8" s="1"/>
  <c r="C12" i="8" s="1"/>
  <c r="C11" i="8" s="1"/>
  <c r="C10" i="8" s="1"/>
  <c r="C9" i="8" s="1"/>
  <c r="C8" i="8" s="1"/>
  <c r="C7" i="8" s="1"/>
  <c r="C6" i="8" s="1"/>
  <c r="C4" i="8" s="1"/>
  <c r="D158" i="8"/>
  <c r="D157" i="8" s="1"/>
  <c r="D156" i="8" s="1"/>
  <c r="D155" i="8" s="1"/>
  <c r="D154" i="8" s="1"/>
  <c r="D153" i="8" s="1"/>
  <c r="D152" i="8" s="1"/>
  <c r="D151" i="8" s="1"/>
  <c r="D150" i="8" s="1"/>
  <c r="D149" i="8" s="1"/>
  <c r="D148" i="8" s="1"/>
  <c r="D147" i="8" s="1"/>
  <c r="D146" i="8" s="1"/>
  <c r="D145" i="8" s="1"/>
  <c r="D144" i="8" s="1"/>
  <c r="D143" i="8" s="1"/>
  <c r="D142" i="8" s="1"/>
  <c r="D141" i="8" s="1"/>
  <c r="D140" i="8" s="1"/>
  <c r="D139" i="8" s="1"/>
  <c r="D138" i="8" s="1"/>
  <c r="D137" i="8" s="1"/>
  <c r="D136" i="8" s="1"/>
  <c r="D135" i="8" s="1"/>
  <c r="D134" i="8" s="1"/>
  <c r="D133" i="8" s="1"/>
  <c r="D132" i="8" s="1"/>
  <c r="D131" i="8" s="1"/>
  <c r="D130" i="8" s="1"/>
  <c r="D129" i="8" s="1"/>
  <c r="D128" i="8" s="1"/>
  <c r="D127" i="8" s="1"/>
  <c r="D126" i="8" s="1"/>
  <c r="D125" i="8" s="1"/>
  <c r="D124" i="8" s="1"/>
  <c r="D123" i="8" s="1"/>
  <c r="D122" i="8" s="1"/>
  <c r="D121" i="8" s="1"/>
  <c r="D120" i="8" s="1"/>
  <c r="D119" i="8" s="1"/>
  <c r="D118" i="8" s="1"/>
  <c r="D117" i="8" s="1"/>
  <c r="D116" i="8" s="1"/>
  <c r="D115" i="8" s="1"/>
  <c r="D114" i="8" s="1"/>
  <c r="D113" i="8" s="1"/>
  <c r="D112" i="8" s="1"/>
  <c r="D111" i="8" s="1"/>
  <c r="D110" i="8" s="1"/>
  <c r="D109" i="8" s="1"/>
  <c r="D108" i="8" s="1"/>
  <c r="D107" i="8" s="1"/>
  <c r="D106" i="8" s="1"/>
  <c r="D105" i="8" s="1"/>
  <c r="D104" i="8" s="1"/>
  <c r="D103" i="8" s="1"/>
  <c r="D102" i="8" s="1"/>
  <c r="D101" i="8" s="1"/>
  <c r="D100" i="8" s="1"/>
  <c r="D99" i="8" s="1"/>
  <c r="D98" i="8" s="1"/>
  <c r="D97" i="8" s="1"/>
  <c r="D96" i="8" s="1"/>
  <c r="D95" i="8" s="1"/>
  <c r="D94" i="8" s="1"/>
  <c r="D93" i="8" s="1"/>
  <c r="D92" i="8" s="1"/>
  <c r="D91" i="8" s="1"/>
  <c r="D90" i="8" s="1"/>
  <c r="D89" i="8" s="1"/>
  <c r="D88" i="8" s="1"/>
  <c r="D87" i="8" s="1"/>
  <c r="D86" i="8" s="1"/>
  <c r="D85" i="8" s="1"/>
  <c r="D84" i="8" s="1"/>
  <c r="D83" i="8" s="1"/>
  <c r="D82" i="8" s="1"/>
  <c r="D81" i="8" s="1"/>
  <c r="D80" i="8" s="1"/>
  <c r="D79" i="8" s="1"/>
  <c r="D78" i="8" s="1"/>
  <c r="D77" i="8" s="1"/>
  <c r="D76" i="8" s="1"/>
  <c r="D75" i="8" s="1"/>
  <c r="D74" i="8" s="1"/>
  <c r="D73" i="8" s="1"/>
  <c r="D72" i="8" s="1"/>
  <c r="D71" i="8" s="1"/>
  <c r="D70" i="8" s="1"/>
  <c r="D69" i="8" s="1"/>
  <c r="D68" i="8" s="1"/>
  <c r="D67" i="8" s="1"/>
  <c r="D66" i="8" s="1"/>
  <c r="D65" i="8" s="1"/>
  <c r="D64" i="8" s="1"/>
  <c r="D63" i="8" s="1"/>
  <c r="D62" i="8" s="1"/>
  <c r="D61" i="8" s="1"/>
  <c r="D60" i="8" s="1"/>
  <c r="D59" i="8" s="1"/>
  <c r="D58" i="8" s="1"/>
  <c r="D57" i="8" s="1"/>
  <c r="D56" i="8" s="1"/>
  <c r="D55" i="8" s="1"/>
  <c r="D54" i="8" s="1"/>
  <c r="D53" i="8" s="1"/>
  <c r="D52" i="8" s="1"/>
  <c r="D51" i="8" s="1"/>
  <c r="D50" i="8" s="1"/>
  <c r="D49" i="8" s="1"/>
  <c r="D48" i="8" s="1"/>
  <c r="D47" i="8" s="1"/>
  <c r="D46" i="8" s="1"/>
  <c r="D45" i="8" s="1"/>
  <c r="D44" i="8" s="1"/>
  <c r="D43" i="8" s="1"/>
  <c r="D42" i="8" s="1"/>
  <c r="D41" i="8" s="1"/>
  <c r="D40" i="8" s="1"/>
  <c r="D39" i="8" s="1"/>
  <c r="D38" i="8" s="1"/>
  <c r="D37" i="8" s="1"/>
  <c r="D36" i="8" s="1"/>
  <c r="D35" i="8" s="1"/>
  <c r="D34" i="8" s="1"/>
  <c r="D33" i="8" s="1"/>
  <c r="D32" i="8" s="1"/>
  <c r="D31" i="8" s="1"/>
  <c r="D30" i="8" s="1"/>
  <c r="D29" i="8" s="1"/>
  <c r="D28" i="8" s="1"/>
  <c r="D27" i="8" s="1"/>
  <c r="D26" i="8" s="1"/>
  <c r="D25" i="8" s="1"/>
  <c r="D24" i="8" s="1"/>
  <c r="D23" i="8" s="1"/>
  <c r="D22" i="8" s="1"/>
  <c r="D21" i="8" s="1"/>
  <c r="D20" i="8" s="1"/>
  <c r="D19" i="8" s="1"/>
  <c r="D18" i="8" s="1"/>
  <c r="D17" i="8" s="1"/>
  <c r="D16" i="8" s="1"/>
  <c r="D15" i="8" s="1"/>
  <c r="D14" i="8" s="1"/>
  <c r="D13" i="8" s="1"/>
  <c r="D12" i="8" s="1"/>
  <c r="D11" i="8" s="1"/>
  <c r="D10" i="8" s="1"/>
  <c r="D9" i="8" s="1"/>
  <c r="D8" i="8" s="1"/>
  <c r="D7" i="8" s="1"/>
  <c r="D6" i="8" s="1"/>
  <c r="D4" i="8" s="1"/>
  <c r="E158" i="8"/>
  <c r="E157" i="8" s="1"/>
  <c r="E156" i="8" s="1"/>
  <c r="E155" i="8" s="1"/>
  <c r="E154" i="8" s="1"/>
  <c r="E153" i="8" s="1"/>
  <c r="E152" i="8" s="1"/>
  <c r="E151" i="8" s="1"/>
  <c r="E150" i="8" s="1"/>
  <c r="E149" i="8" s="1"/>
  <c r="E148" i="8" s="1"/>
  <c r="E147" i="8" s="1"/>
  <c r="E146" i="8" s="1"/>
  <c r="E145" i="8" s="1"/>
  <c r="E144" i="8" s="1"/>
  <c r="E143" i="8" s="1"/>
  <c r="E142" i="8" s="1"/>
  <c r="E141" i="8" s="1"/>
  <c r="E140" i="8" s="1"/>
  <c r="E139" i="8" s="1"/>
  <c r="E138" i="8" s="1"/>
  <c r="E137" i="8" s="1"/>
  <c r="E136" i="8" s="1"/>
  <c r="E135" i="8" s="1"/>
  <c r="E134" i="8" s="1"/>
  <c r="E133" i="8" s="1"/>
  <c r="E132" i="8" s="1"/>
  <c r="E131" i="8" s="1"/>
  <c r="E130" i="8" s="1"/>
  <c r="E129" i="8" s="1"/>
  <c r="E128" i="8" s="1"/>
  <c r="E127" i="8" s="1"/>
  <c r="E126" i="8" s="1"/>
  <c r="E125" i="8" s="1"/>
  <c r="E124" i="8" s="1"/>
  <c r="E123" i="8" s="1"/>
  <c r="E122" i="8" s="1"/>
  <c r="E121" i="8" s="1"/>
  <c r="E120" i="8" s="1"/>
  <c r="E119" i="8" s="1"/>
  <c r="E118" i="8" s="1"/>
  <c r="E117" i="8" s="1"/>
  <c r="E116" i="8" s="1"/>
  <c r="E115" i="8" s="1"/>
  <c r="E114" i="8" s="1"/>
  <c r="E113" i="8" s="1"/>
  <c r="E112" i="8" s="1"/>
  <c r="E111" i="8" s="1"/>
  <c r="E110" i="8" s="1"/>
  <c r="E109" i="8" s="1"/>
  <c r="E108" i="8" s="1"/>
  <c r="E107" i="8" s="1"/>
  <c r="E106" i="8" s="1"/>
  <c r="E105" i="8" s="1"/>
  <c r="E104" i="8" s="1"/>
  <c r="E103" i="8" s="1"/>
  <c r="E102" i="8" s="1"/>
  <c r="E101" i="8" s="1"/>
  <c r="E100" i="8" s="1"/>
  <c r="E99" i="8" s="1"/>
  <c r="E98" i="8" s="1"/>
  <c r="E97" i="8" s="1"/>
  <c r="E96" i="8" s="1"/>
  <c r="E95" i="8" s="1"/>
  <c r="E94" i="8" s="1"/>
  <c r="E93" i="8" s="1"/>
  <c r="E92" i="8" s="1"/>
  <c r="E91" i="8" s="1"/>
  <c r="E90" i="8" s="1"/>
  <c r="E89" i="8" s="1"/>
  <c r="E88" i="8" s="1"/>
  <c r="E87" i="8" s="1"/>
  <c r="E86" i="8" s="1"/>
  <c r="E85" i="8" s="1"/>
  <c r="E84" i="8" s="1"/>
  <c r="E83" i="8" s="1"/>
  <c r="E82" i="8" s="1"/>
  <c r="E81" i="8" s="1"/>
  <c r="E80" i="8" s="1"/>
  <c r="E79" i="8" s="1"/>
  <c r="E78" i="8" s="1"/>
  <c r="E77" i="8" s="1"/>
  <c r="E76" i="8" s="1"/>
  <c r="E75" i="8" s="1"/>
  <c r="E74" i="8" s="1"/>
  <c r="E73" i="8" s="1"/>
  <c r="E72" i="8" s="1"/>
  <c r="E71" i="8" s="1"/>
  <c r="E70" i="8" s="1"/>
  <c r="E69" i="8" s="1"/>
  <c r="E68" i="8" s="1"/>
  <c r="E67" i="8" s="1"/>
  <c r="E66" i="8" s="1"/>
  <c r="E65" i="8" s="1"/>
  <c r="E64" i="8" s="1"/>
  <c r="E63" i="8" s="1"/>
  <c r="E62" i="8" s="1"/>
  <c r="E61" i="8" s="1"/>
  <c r="E60" i="8" s="1"/>
  <c r="E59" i="8" s="1"/>
  <c r="E58" i="8" s="1"/>
  <c r="E57" i="8" s="1"/>
  <c r="E56" i="8" s="1"/>
  <c r="E55" i="8" s="1"/>
  <c r="E54" i="8" s="1"/>
  <c r="E53" i="8" s="1"/>
  <c r="E52" i="8" s="1"/>
  <c r="E51" i="8" s="1"/>
  <c r="E50" i="8" s="1"/>
  <c r="E49" i="8" s="1"/>
  <c r="E48" i="8" s="1"/>
  <c r="E47" i="8" s="1"/>
  <c r="E46" i="8" s="1"/>
  <c r="E45" i="8" s="1"/>
  <c r="E44" i="8" s="1"/>
  <c r="E43" i="8" s="1"/>
  <c r="E42" i="8" s="1"/>
  <c r="E41" i="8" s="1"/>
  <c r="E40" i="8" s="1"/>
  <c r="E39" i="8" s="1"/>
  <c r="E38" i="8" s="1"/>
  <c r="E37" i="8" s="1"/>
  <c r="E36" i="8" s="1"/>
  <c r="E35" i="8" s="1"/>
  <c r="E34" i="8" s="1"/>
  <c r="E33" i="8" s="1"/>
  <c r="E32" i="8" s="1"/>
  <c r="E31" i="8" s="1"/>
  <c r="E30" i="8" s="1"/>
  <c r="E29" i="8" s="1"/>
  <c r="E28" i="8" s="1"/>
  <c r="E27" i="8" s="1"/>
  <c r="E26" i="8" s="1"/>
  <c r="E25" i="8" s="1"/>
  <c r="E24" i="8" s="1"/>
  <c r="E23" i="8" s="1"/>
  <c r="E22" i="8" s="1"/>
  <c r="E21" i="8" s="1"/>
  <c r="E20" i="8" s="1"/>
  <c r="E19" i="8" s="1"/>
  <c r="E18" i="8" s="1"/>
  <c r="E17" i="8" s="1"/>
  <c r="E16" i="8" s="1"/>
  <c r="E15" i="8" s="1"/>
  <c r="E14" i="8" s="1"/>
  <c r="E13" i="8" s="1"/>
  <c r="E12" i="8" s="1"/>
  <c r="E11" i="8" s="1"/>
  <c r="E10" i="8" s="1"/>
  <c r="E9" i="8" s="1"/>
  <c r="E8" i="8" s="1"/>
  <c r="E7" i="8" s="1"/>
  <c r="E6" i="8" s="1"/>
  <c r="E4" i="8" s="1"/>
  <c r="F158" i="8"/>
  <c r="F157" i="8" s="1"/>
  <c r="F156" i="8" s="1"/>
  <c r="F155" i="8" s="1"/>
  <c r="F154" i="8" s="1"/>
  <c r="F153" i="8" s="1"/>
  <c r="F152" i="8" s="1"/>
  <c r="F151" i="8" s="1"/>
  <c r="F150" i="8" s="1"/>
  <c r="F149" i="8" s="1"/>
  <c r="F148" i="8" s="1"/>
  <c r="F147" i="8" s="1"/>
  <c r="F146" i="8" s="1"/>
  <c r="F145" i="8" s="1"/>
  <c r="F144" i="8" s="1"/>
  <c r="F143" i="8" s="1"/>
  <c r="F142" i="8" s="1"/>
  <c r="F141" i="8" s="1"/>
  <c r="F140" i="8" s="1"/>
  <c r="F139" i="8" s="1"/>
  <c r="F138" i="8" s="1"/>
  <c r="F137" i="8" s="1"/>
  <c r="F136" i="8" s="1"/>
  <c r="F135" i="8" s="1"/>
  <c r="F134" i="8" s="1"/>
  <c r="F133" i="8" s="1"/>
  <c r="F132" i="8" s="1"/>
  <c r="F131" i="8" s="1"/>
  <c r="F130" i="8" s="1"/>
  <c r="F129" i="8" s="1"/>
  <c r="F128" i="8" s="1"/>
  <c r="F127" i="8" s="1"/>
  <c r="F126" i="8" s="1"/>
  <c r="F125" i="8" s="1"/>
  <c r="F124" i="8" s="1"/>
  <c r="F123" i="8" s="1"/>
  <c r="F122" i="8" s="1"/>
  <c r="F121" i="8" s="1"/>
  <c r="F120" i="8" s="1"/>
  <c r="F119" i="8" s="1"/>
  <c r="F118" i="8" s="1"/>
  <c r="F117" i="8" s="1"/>
  <c r="F116" i="8" s="1"/>
  <c r="F115" i="8" s="1"/>
  <c r="F114" i="8" s="1"/>
  <c r="F113" i="8" s="1"/>
  <c r="F112" i="8" s="1"/>
  <c r="F111" i="8" s="1"/>
  <c r="F110" i="8" s="1"/>
  <c r="F109" i="8" s="1"/>
  <c r="F108" i="8" s="1"/>
  <c r="F107" i="8" s="1"/>
  <c r="F106" i="8" s="1"/>
  <c r="F105" i="8" s="1"/>
  <c r="F104" i="8" s="1"/>
  <c r="F103" i="8" s="1"/>
  <c r="F102" i="8" s="1"/>
  <c r="F101" i="8" s="1"/>
  <c r="F100" i="8" s="1"/>
  <c r="F99" i="8" s="1"/>
  <c r="F98" i="8" s="1"/>
  <c r="F97" i="8" s="1"/>
  <c r="F96" i="8" s="1"/>
  <c r="F95" i="8" s="1"/>
  <c r="F94" i="8" s="1"/>
  <c r="F93" i="8" s="1"/>
  <c r="F92" i="8" s="1"/>
  <c r="F91" i="8" s="1"/>
  <c r="F90" i="8" s="1"/>
  <c r="F89" i="8" s="1"/>
  <c r="F88" i="8" s="1"/>
  <c r="F87" i="8" s="1"/>
  <c r="F86" i="8" s="1"/>
  <c r="F85" i="8" s="1"/>
  <c r="F84" i="8" s="1"/>
  <c r="F83" i="8" s="1"/>
  <c r="F82" i="8" s="1"/>
  <c r="F81" i="8" s="1"/>
  <c r="F80" i="8" s="1"/>
  <c r="F79" i="8" s="1"/>
  <c r="F78" i="8" s="1"/>
  <c r="F77" i="8" s="1"/>
  <c r="F76" i="8" s="1"/>
  <c r="F75" i="8" s="1"/>
  <c r="F74" i="8" s="1"/>
  <c r="F73" i="8" s="1"/>
  <c r="F72" i="8" s="1"/>
  <c r="F71" i="8" s="1"/>
  <c r="F70" i="8" s="1"/>
  <c r="F69" i="8" s="1"/>
  <c r="F68" i="8" s="1"/>
  <c r="F67" i="8" s="1"/>
  <c r="F66" i="8" s="1"/>
  <c r="F65" i="8" s="1"/>
  <c r="F64" i="8" s="1"/>
  <c r="F63" i="8" s="1"/>
  <c r="F62" i="8" s="1"/>
  <c r="F61" i="8" s="1"/>
  <c r="F60" i="8" s="1"/>
  <c r="F59" i="8" s="1"/>
  <c r="F58" i="8" s="1"/>
  <c r="F57" i="8" s="1"/>
  <c r="F56" i="8" s="1"/>
  <c r="F55" i="8" s="1"/>
  <c r="F54" i="8" s="1"/>
  <c r="F53" i="8" s="1"/>
  <c r="F52" i="8" s="1"/>
  <c r="F51" i="8" s="1"/>
  <c r="F50" i="8" s="1"/>
  <c r="F49" i="8" s="1"/>
  <c r="F48" i="8" s="1"/>
  <c r="F47" i="8" s="1"/>
  <c r="F46" i="8" s="1"/>
  <c r="F45" i="8" s="1"/>
  <c r="F44" i="8" s="1"/>
  <c r="F43" i="8" s="1"/>
  <c r="F42" i="8" s="1"/>
  <c r="F41" i="8" s="1"/>
  <c r="F40" i="8" s="1"/>
  <c r="F39" i="8" s="1"/>
  <c r="F38" i="8" s="1"/>
  <c r="F37" i="8" s="1"/>
  <c r="F36" i="8" s="1"/>
  <c r="F35" i="8" s="1"/>
  <c r="F34" i="8" s="1"/>
  <c r="F33" i="8" s="1"/>
  <c r="F32" i="8" s="1"/>
  <c r="F31" i="8" s="1"/>
  <c r="F30" i="8" s="1"/>
  <c r="F29" i="8" s="1"/>
  <c r="F28" i="8" s="1"/>
  <c r="F27" i="8" s="1"/>
  <c r="F26" i="8" s="1"/>
  <c r="F25" i="8" s="1"/>
  <c r="F24" i="8" s="1"/>
  <c r="F23" i="8" s="1"/>
  <c r="F22" i="8" s="1"/>
  <c r="F21" i="8" s="1"/>
  <c r="F20" i="8" s="1"/>
  <c r="F19" i="8" s="1"/>
  <c r="F18" i="8" s="1"/>
  <c r="F17" i="8" s="1"/>
  <c r="F16" i="8" s="1"/>
  <c r="F15" i="8" s="1"/>
  <c r="F14" i="8" s="1"/>
  <c r="F13" i="8" s="1"/>
  <c r="F12" i="8" s="1"/>
  <c r="F11" i="8" s="1"/>
  <c r="F10" i="8" s="1"/>
  <c r="F9" i="8" s="1"/>
  <c r="F8" i="8" s="1"/>
  <c r="F7" i="8" s="1"/>
  <c r="F6" i="8" s="1"/>
  <c r="F4" i="8" s="1"/>
  <c r="H158" i="8"/>
  <c r="H157" i="8" s="1"/>
  <c r="H156" i="8" s="1"/>
  <c r="H155" i="8" s="1"/>
  <c r="H154" i="8" s="1"/>
  <c r="H153" i="8" s="1"/>
  <c r="H152" i="8" s="1"/>
  <c r="H151" i="8" s="1"/>
  <c r="H150" i="8" s="1"/>
  <c r="H149" i="8" s="1"/>
  <c r="H148" i="8" s="1"/>
  <c r="H147" i="8" s="1"/>
  <c r="H146" i="8" s="1"/>
  <c r="H145" i="8" s="1"/>
  <c r="H144" i="8" s="1"/>
  <c r="H143" i="8" s="1"/>
  <c r="H142" i="8" s="1"/>
  <c r="H141" i="8" s="1"/>
  <c r="H140" i="8" s="1"/>
  <c r="H139" i="8" s="1"/>
  <c r="H138" i="8" s="1"/>
  <c r="H137" i="8" s="1"/>
  <c r="H136" i="8" s="1"/>
  <c r="H135" i="8" s="1"/>
  <c r="H134" i="8" s="1"/>
  <c r="H133" i="8" s="1"/>
  <c r="H132" i="8" s="1"/>
  <c r="H131" i="8" s="1"/>
  <c r="H130" i="8" s="1"/>
  <c r="H129" i="8" s="1"/>
  <c r="H128" i="8" s="1"/>
  <c r="H127" i="8" s="1"/>
  <c r="H126" i="8" s="1"/>
  <c r="H125" i="8" s="1"/>
  <c r="H124" i="8" s="1"/>
  <c r="H123" i="8" s="1"/>
  <c r="H122" i="8" s="1"/>
  <c r="H121" i="8" s="1"/>
  <c r="H120" i="8" s="1"/>
  <c r="H119" i="8" s="1"/>
  <c r="H118" i="8" s="1"/>
  <c r="H117" i="8" s="1"/>
  <c r="H116" i="8" s="1"/>
  <c r="H115" i="8" s="1"/>
  <c r="H114" i="8" s="1"/>
  <c r="H113" i="8" s="1"/>
  <c r="H112" i="8" s="1"/>
  <c r="H111" i="8" s="1"/>
  <c r="H110" i="8" s="1"/>
  <c r="H109" i="8" s="1"/>
  <c r="H108" i="8" s="1"/>
  <c r="H107" i="8" s="1"/>
  <c r="H106" i="8" s="1"/>
  <c r="H105" i="8" s="1"/>
  <c r="H104" i="8" s="1"/>
  <c r="H103" i="8" s="1"/>
  <c r="H102" i="8" s="1"/>
  <c r="H101" i="8" s="1"/>
  <c r="H100" i="8" s="1"/>
  <c r="H99" i="8" s="1"/>
  <c r="H98" i="8" s="1"/>
  <c r="H97" i="8" s="1"/>
  <c r="H96" i="8" s="1"/>
  <c r="H95" i="8" s="1"/>
  <c r="H94" i="8" s="1"/>
  <c r="H93" i="8" s="1"/>
  <c r="H92" i="8" s="1"/>
  <c r="H91" i="8" s="1"/>
  <c r="H90" i="8" s="1"/>
  <c r="H89" i="8" s="1"/>
  <c r="H88" i="8" s="1"/>
  <c r="H87" i="8" s="1"/>
  <c r="H86" i="8" s="1"/>
  <c r="H85" i="8" s="1"/>
  <c r="H84" i="8" s="1"/>
  <c r="H83" i="8" s="1"/>
  <c r="H82" i="8" s="1"/>
  <c r="H81" i="8" s="1"/>
  <c r="H80" i="8" s="1"/>
  <c r="H79" i="8" s="1"/>
  <c r="H78" i="8" s="1"/>
  <c r="H77" i="8" s="1"/>
  <c r="H76" i="8" s="1"/>
  <c r="H75" i="8" s="1"/>
  <c r="H74" i="8" s="1"/>
  <c r="H73" i="8" s="1"/>
  <c r="H72" i="8" s="1"/>
  <c r="H71" i="8" s="1"/>
  <c r="H70" i="8" s="1"/>
  <c r="H69" i="8" s="1"/>
  <c r="H68" i="8" s="1"/>
  <c r="H67" i="8" s="1"/>
  <c r="H66" i="8" s="1"/>
  <c r="H65" i="8" s="1"/>
  <c r="H64" i="8" s="1"/>
  <c r="H63" i="8" s="1"/>
  <c r="H62" i="8" s="1"/>
  <c r="H61" i="8" s="1"/>
  <c r="H60" i="8" s="1"/>
  <c r="H59" i="8" s="1"/>
  <c r="H58" i="8" s="1"/>
  <c r="H57" i="8" s="1"/>
  <c r="H56" i="8" s="1"/>
  <c r="H55" i="8" s="1"/>
  <c r="H54" i="8" s="1"/>
  <c r="H53" i="8" s="1"/>
  <c r="H52" i="8" s="1"/>
  <c r="H51" i="8" s="1"/>
  <c r="H50" i="8" s="1"/>
  <c r="H49" i="8" s="1"/>
  <c r="H48" i="8" s="1"/>
  <c r="H47" i="8" s="1"/>
  <c r="H46" i="8" s="1"/>
  <c r="H45" i="8" s="1"/>
  <c r="H44" i="8" s="1"/>
  <c r="H43" i="8" s="1"/>
  <c r="H42" i="8" s="1"/>
  <c r="H41" i="8" s="1"/>
  <c r="H40" i="8" s="1"/>
  <c r="H39" i="8" s="1"/>
  <c r="H38" i="8" s="1"/>
  <c r="H37" i="8" s="1"/>
  <c r="H36" i="8" s="1"/>
  <c r="H35" i="8" s="1"/>
  <c r="H34" i="8" s="1"/>
  <c r="H33" i="8" s="1"/>
  <c r="H32" i="8" s="1"/>
  <c r="H31" i="8" s="1"/>
  <c r="H30" i="8" s="1"/>
  <c r="H29" i="8" s="1"/>
  <c r="H28" i="8" s="1"/>
  <c r="H27" i="8" s="1"/>
  <c r="H26" i="8" s="1"/>
  <c r="H25" i="8" s="1"/>
  <c r="H24" i="8" s="1"/>
  <c r="H23" i="8" s="1"/>
  <c r="H22" i="8" s="1"/>
  <c r="H21" i="8" s="1"/>
  <c r="H20" i="8" s="1"/>
  <c r="H19" i="8" s="1"/>
  <c r="H18" i="8" s="1"/>
  <c r="H17" i="8" s="1"/>
  <c r="H16" i="8" s="1"/>
  <c r="H15" i="8" s="1"/>
  <c r="H14" i="8" s="1"/>
  <c r="H13" i="8" s="1"/>
  <c r="H12" i="8" s="1"/>
  <c r="H11" i="8" s="1"/>
  <c r="H10" i="8" s="1"/>
  <c r="H9" i="8" s="1"/>
  <c r="H8" i="8" s="1"/>
  <c r="H7" i="8" s="1"/>
  <c r="H6" i="8" s="1"/>
  <c r="H4" i="8" s="1"/>
  <c r="S23" i="8" s="1"/>
  <c r="B65" i="2" s="1"/>
  <c r="G158" i="8"/>
  <c r="G157" i="8" s="1"/>
  <c r="G156" i="8" s="1"/>
  <c r="G155" i="8" s="1"/>
  <c r="G154" i="8" s="1"/>
  <c r="G153" i="8" s="1"/>
  <c r="G152" i="8" s="1"/>
  <c r="G151" i="8" s="1"/>
  <c r="G150" i="8" s="1"/>
  <c r="G149" i="8" s="1"/>
  <c r="G148" i="8" s="1"/>
  <c r="G147" i="8" s="1"/>
  <c r="G146" i="8" s="1"/>
  <c r="G145" i="8" s="1"/>
  <c r="G144" i="8" s="1"/>
  <c r="G143" i="8" s="1"/>
  <c r="G142" i="8" s="1"/>
  <c r="G141" i="8" s="1"/>
  <c r="G140" i="8" s="1"/>
  <c r="G139" i="8" s="1"/>
  <c r="G138" i="8" s="1"/>
  <c r="G137" i="8" s="1"/>
  <c r="G136" i="8" s="1"/>
  <c r="G135" i="8" s="1"/>
  <c r="G134" i="8" s="1"/>
  <c r="G133" i="8" s="1"/>
  <c r="G132" i="8" s="1"/>
  <c r="G131" i="8" s="1"/>
  <c r="G130" i="8" s="1"/>
  <c r="G129" i="8" s="1"/>
  <c r="G128" i="8" s="1"/>
  <c r="G127" i="8" s="1"/>
  <c r="G126" i="8" s="1"/>
  <c r="G125" i="8" s="1"/>
  <c r="G124" i="8" s="1"/>
  <c r="G123" i="8" s="1"/>
  <c r="G122" i="8" s="1"/>
  <c r="G121" i="8" s="1"/>
  <c r="G120" i="8" s="1"/>
  <c r="G119" i="8" s="1"/>
  <c r="G118" i="8" s="1"/>
  <c r="G117" i="8" s="1"/>
  <c r="G116" i="8" s="1"/>
  <c r="G115" i="8" s="1"/>
  <c r="G114" i="8" s="1"/>
  <c r="G113" i="8" s="1"/>
  <c r="G112" i="8" s="1"/>
  <c r="G111" i="8" s="1"/>
  <c r="G110" i="8" s="1"/>
  <c r="G109" i="8" s="1"/>
  <c r="G108" i="8" s="1"/>
  <c r="G107" i="8" s="1"/>
  <c r="G106" i="8" s="1"/>
  <c r="G105" i="8" s="1"/>
  <c r="G104" i="8" s="1"/>
  <c r="G103" i="8" s="1"/>
  <c r="G102" i="8" s="1"/>
  <c r="G101" i="8" s="1"/>
  <c r="G100" i="8" s="1"/>
  <c r="G99" i="8" s="1"/>
  <c r="G98" i="8" s="1"/>
  <c r="G97" i="8" s="1"/>
  <c r="G96" i="8" s="1"/>
  <c r="G95" i="8" s="1"/>
  <c r="G94" i="8" s="1"/>
  <c r="G93" i="8" s="1"/>
  <c r="G92" i="8" s="1"/>
  <c r="G91" i="8" s="1"/>
  <c r="G90" i="8" s="1"/>
  <c r="G89" i="8" s="1"/>
  <c r="G88" i="8" s="1"/>
  <c r="G87" i="8" s="1"/>
  <c r="G86" i="8" s="1"/>
  <c r="G85" i="8" s="1"/>
  <c r="G84" i="8" s="1"/>
  <c r="G83" i="8" s="1"/>
  <c r="G82" i="8" s="1"/>
  <c r="G81" i="8" s="1"/>
  <c r="G80" i="8" s="1"/>
  <c r="G79" i="8" s="1"/>
  <c r="G78" i="8" s="1"/>
  <c r="G77" i="8" s="1"/>
  <c r="G76" i="8" s="1"/>
  <c r="G75" i="8" s="1"/>
  <c r="G74" i="8" s="1"/>
  <c r="G73" i="8" s="1"/>
  <c r="G72" i="8" s="1"/>
  <c r="G71" i="8" s="1"/>
  <c r="G70" i="8" s="1"/>
  <c r="G69" i="8" s="1"/>
  <c r="G68" i="8" s="1"/>
  <c r="G67" i="8" s="1"/>
  <c r="G66" i="8" s="1"/>
  <c r="G65" i="8" s="1"/>
  <c r="G64" i="8" s="1"/>
  <c r="G63" i="8" s="1"/>
  <c r="G62" i="8" s="1"/>
  <c r="G61" i="8" s="1"/>
  <c r="G60" i="8" s="1"/>
  <c r="G59" i="8" s="1"/>
  <c r="G58" i="8" s="1"/>
  <c r="G57" i="8" s="1"/>
  <c r="G56" i="8" s="1"/>
  <c r="G55" i="8" s="1"/>
  <c r="G54" i="8" s="1"/>
  <c r="G53" i="8" s="1"/>
  <c r="G52" i="8" s="1"/>
  <c r="G51" i="8" s="1"/>
  <c r="G50" i="8" s="1"/>
  <c r="G49" i="8" s="1"/>
  <c r="G48" i="8" s="1"/>
  <c r="G47" i="8" s="1"/>
  <c r="G46" i="8" s="1"/>
  <c r="G45" i="8" s="1"/>
  <c r="G44" i="8" s="1"/>
  <c r="G43" i="8" s="1"/>
  <c r="G42" i="8" s="1"/>
  <c r="G41" i="8" s="1"/>
  <c r="G40" i="8" s="1"/>
  <c r="G39" i="8" s="1"/>
  <c r="G38" i="8" s="1"/>
  <c r="G37" i="8" s="1"/>
  <c r="G36" i="8" s="1"/>
  <c r="G35" i="8" s="1"/>
  <c r="G34" i="8" s="1"/>
  <c r="G33" i="8" s="1"/>
  <c r="G32" i="8" s="1"/>
  <c r="G31" i="8" s="1"/>
  <c r="G30" i="8" s="1"/>
  <c r="G29" i="8" s="1"/>
  <c r="G28" i="8" s="1"/>
  <c r="G27" i="8" s="1"/>
  <c r="G26" i="8" s="1"/>
  <c r="G25" i="8" s="1"/>
  <c r="G24" i="8" s="1"/>
  <c r="G23" i="8" s="1"/>
  <c r="G22" i="8" s="1"/>
  <c r="G21" i="8" s="1"/>
  <c r="G20" i="8" s="1"/>
  <c r="G19" i="8" s="1"/>
  <c r="G18" i="8" s="1"/>
  <c r="G17" i="8" s="1"/>
  <c r="G16" i="8" s="1"/>
  <c r="G15" i="8" s="1"/>
  <c r="G14" i="8" s="1"/>
  <c r="G13" i="8" s="1"/>
  <c r="G12" i="8" s="1"/>
  <c r="G11" i="8" s="1"/>
  <c r="G10" i="8" s="1"/>
  <c r="G9" i="8" s="1"/>
  <c r="G8" i="8" s="1"/>
  <c r="G7" i="8" s="1"/>
  <c r="G6" i="8" s="1"/>
  <c r="G4" i="8" s="1"/>
  <c r="I155" i="8"/>
  <c r="I154" i="8" s="1"/>
  <c r="I153" i="8" s="1"/>
  <c r="I152" i="8" s="1"/>
  <c r="I151" i="8" s="1"/>
  <c r="I150" i="8" s="1"/>
  <c r="I149" i="8" s="1"/>
  <c r="I148" i="8" s="1"/>
  <c r="I147" i="8" s="1"/>
  <c r="I146" i="8" s="1"/>
  <c r="I145" i="8" s="1"/>
  <c r="I144" i="8" s="1"/>
  <c r="I143" i="8" s="1"/>
  <c r="I142" i="8" s="1"/>
  <c r="I141" i="8" s="1"/>
  <c r="I140" i="8" s="1"/>
  <c r="I139" i="8" s="1"/>
  <c r="I138" i="8" s="1"/>
  <c r="I137" i="8" s="1"/>
  <c r="I136" i="8" s="1"/>
  <c r="I135" i="8" s="1"/>
  <c r="I134" i="8" s="1"/>
  <c r="I133" i="8" s="1"/>
  <c r="I132" i="8" s="1"/>
  <c r="I131" i="8" s="1"/>
  <c r="I130" i="8" s="1"/>
  <c r="I129" i="8" s="1"/>
  <c r="I128" i="8" s="1"/>
  <c r="I127" i="8" s="1"/>
  <c r="I126" i="8" s="1"/>
  <c r="I125" i="8" s="1"/>
  <c r="I124" i="8" s="1"/>
  <c r="I123" i="8" s="1"/>
  <c r="I122" i="8" s="1"/>
  <c r="I121" i="8" s="1"/>
  <c r="I120" i="8" s="1"/>
  <c r="I119" i="8" s="1"/>
  <c r="I118" i="8" s="1"/>
  <c r="I117" i="8" s="1"/>
  <c r="I116" i="8" s="1"/>
  <c r="I115" i="8" s="1"/>
  <c r="I114" i="8" s="1"/>
  <c r="I113" i="8" s="1"/>
  <c r="I112" i="8" s="1"/>
  <c r="I111" i="8" s="1"/>
  <c r="I110" i="8" s="1"/>
  <c r="I109" i="8" s="1"/>
  <c r="I108" i="8" s="1"/>
  <c r="I107" i="8" s="1"/>
  <c r="I106" i="8" s="1"/>
  <c r="I105" i="8" s="1"/>
  <c r="I104" i="8" s="1"/>
  <c r="I103" i="8" s="1"/>
  <c r="I102" i="8" s="1"/>
  <c r="I101" i="8" s="1"/>
  <c r="I100" i="8" s="1"/>
  <c r="I99" i="8" s="1"/>
  <c r="I98" i="8" s="1"/>
  <c r="I97" i="8" s="1"/>
  <c r="I96" i="8" s="1"/>
  <c r="I95" i="8" s="1"/>
  <c r="I94" i="8" s="1"/>
  <c r="I93" i="8" s="1"/>
  <c r="I92" i="8" s="1"/>
  <c r="I91" i="8" s="1"/>
  <c r="I90" i="8" s="1"/>
  <c r="I89" i="8" s="1"/>
  <c r="I88" i="8" s="1"/>
  <c r="I87" i="8" s="1"/>
  <c r="I86" i="8" s="1"/>
  <c r="I85" i="8" s="1"/>
  <c r="I84" i="8" s="1"/>
  <c r="I83" i="8" s="1"/>
  <c r="I82" i="8" s="1"/>
  <c r="I81" i="8" s="1"/>
  <c r="I80" i="8" s="1"/>
  <c r="I79" i="8" s="1"/>
  <c r="I78" i="8" s="1"/>
  <c r="I77" i="8" s="1"/>
  <c r="I76" i="8" s="1"/>
  <c r="I75" i="8" s="1"/>
  <c r="I74" i="8" s="1"/>
  <c r="I73" i="8" s="1"/>
  <c r="I72" i="8" s="1"/>
  <c r="I71" i="8" s="1"/>
  <c r="I70" i="8" s="1"/>
  <c r="I69" i="8" s="1"/>
  <c r="I68" i="8" s="1"/>
  <c r="I67" i="8" s="1"/>
  <c r="I66" i="8" s="1"/>
  <c r="I65" i="8" s="1"/>
  <c r="I64" i="8" s="1"/>
  <c r="I63" i="8" s="1"/>
  <c r="I62" i="8" s="1"/>
  <c r="I61" i="8" s="1"/>
  <c r="I60" i="8" s="1"/>
  <c r="I59" i="8" s="1"/>
  <c r="I58" i="8" s="1"/>
  <c r="I57" i="8" s="1"/>
  <c r="I56" i="8" s="1"/>
  <c r="I55" i="8" s="1"/>
  <c r="I54" i="8" s="1"/>
  <c r="I53" i="8" s="1"/>
  <c r="I52" i="8" s="1"/>
  <c r="I51" i="8" s="1"/>
  <c r="I50" i="8" s="1"/>
  <c r="I49" i="8" s="1"/>
  <c r="I48" i="8" s="1"/>
  <c r="I47" i="8" s="1"/>
  <c r="I46" i="8" s="1"/>
  <c r="I45" i="8" s="1"/>
  <c r="I44" i="8" s="1"/>
  <c r="I43" i="8" s="1"/>
  <c r="I42" i="8" s="1"/>
  <c r="I41" i="8" s="1"/>
  <c r="I40" i="8" s="1"/>
  <c r="I39" i="8" s="1"/>
  <c r="I38" i="8" s="1"/>
  <c r="I37" i="8" s="1"/>
  <c r="I36" i="8" s="1"/>
  <c r="I35" i="8" s="1"/>
  <c r="I34" i="8" s="1"/>
  <c r="I33" i="8" s="1"/>
  <c r="I32" i="8" s="1"/>
  <c r="I31" i="8" s="1"/>
  <c r="I30" i="8" s="1"/>
  <c r="I29" i="8" s="1"/>
  <c r="I28" i="8" s="1"/>
  <c r="I27" i="8" s="1"/>
  <c r="I26" i="8" s="1"/>
  <c r="I25" i="8" s="1"/>
  <c r="I24" i="8" s="1"/>
  <c r="I23" i="8" s="1"/>
  <c r="I22" i="8" s="1"/>
  <c r="I21" i="8" s="1"/>
  <c r="I20" i="8" s="1"/>
  <c r="I19" i="8" s="1"/>
  <c r="I18" i="8" s="1"/>
  <c r="I17" i="8" s="1"/>
  <c r="I16" i="8" s="1"/>
  <c r="I15" i="8" s="1"/>
  <c r="I14" i="8" s="1"/>
  <c r="I13" i="8" s="1"/>
  <c r="I12" i="8" s="1"/>
  <c r="I11" i="8" s="1"/>
  <c r="I10" i="8" s="1"/>
  <c r="I9" i="8" s="1"/>
  <c r="I8" i="8" s="1"/>
  <c r="I7" i="8" s="1"/>
  <c r="I6" i="8" s="1"/>
  <c r="I4" i="8" s="1"/>
  <c r="L155" i="8"/>
  <c r="L154" i="8" s="1"/>
  <c r="L153" i="8" s="1"/>
  <c r="L152" i="8" s="1"/>
  <c r="L151" i="8" s="1"/>
  <c r="L150" i="8" s="1"/>
  <c r="L149" i="8" s="1"/>
  <c r="L148" i="8" s="1"/>
  <c r="L147" i="8" s="1"/>
  <c r="L146" i="8" s="1"/>
  <c r="L145" i="8" s="1"/>
  <c r="L144" i="8" s="1"/>
  <c r="L143" i="8" s="1"/>
  <c r="L142" i="8" s="1"/>
  <c r="L141" i="8" s="1"/>
  <c r="L140" i="8" s="1"/>
  <c r="L139" i="8" s="1"/>
  <c r="L138" i="8" s="1"/>
  <c r="L137" i="8" s="1"/>
  <c r="L136" i="8" s="1"/>
  <c r="L135" i="8" s="1"/>
  <c r="L134" i="8" s="1"/>
  <c r="L133" i="8" s="1"/>
  <c r="L132" i="8" s="1"/>
  <c r="L131" i="8" s="1"/>
  <c r="L130" i="8" s="1"/>
  <c r="L129" i="8" s="1"/>
  <c r="L128" i="8" s="1"/>
  <c r="L127" i="8" s="1"/>
  <c r="L126" i="8" s="1"/>
  <c r="L125" i="8" s="1"/>
  <c r="L124" i="8" s="1"/>
  <c r="L123" i="8" s="1"/>
  <c r="L122" i="8" s="1"/>
  <c r="L121" i="8" s="1"/>
  <c r="L120" i="8" s="1"/>
  <c r="L119" i="8" s="1"/>
  <c r="L118" i="8" s="1"/>
  <c r="L117" i="8" s="1"/>
  <c r="L116" i="8" s="1"/>
  <c r="L115" i="8" s="1"/>
  <c r="L114" i="8" s="1"/>
  <c r="L113" i="8" s="1"/>
  <c r="L112" i="8" s="1"/>
  <c r="L111" i="8" s="1"/>
  <c r="L110" i="8" s="1"/>
  <c r="L109" i="8" s="1"/>
  <c r="L108" i="8" s="1"/>
  <c r="L107" i="8" s="1"/>
  <c r="L106" i="8" s="1"/>
  <c r="L105" i="8" s="1"/>
  <c r="L104" i="8" s="1"/>
  <c r="L103" i="8" s="1"/>
  <c r="L102" i="8" s="1"/>
  <c r="L101" i="8" s="1"/>
  <c r="L100" i="8" s="1"/>
  <c r="L99" i="8" s="1"/>
  <c r="L98" i="8" s="1"/>
  <c r="L97" i="8" s="1"/>
  <c r="L96" i="8" s="1"/>
  <c r="L95" i="8" s="1"/>
  <c r="L94" i="8" s="1"/>
  <c r="L93" i="8" s="1"/>
  <c r="L92" i="8" s="1"/>
  <c r="L91" i="8" s="1"/>
  <c r="L90" i="8" s="1"/>
  <c r="L89" i="8" s="1"/>
  <c r="L88" i="8" s="1"/>
  <c r="L87" i="8" s="1"/>
  <c r="L86" i="8" s="1"/>
  <c r="L85" i="8" s="1"/>
  <c r="L84" i="8" s="1"/>
  <c r="L83" i="8" s="1"/>
  <c r="L82" i="8" s="1"/>
  <c r="L81" i="8" s="1"/>
  <c r="L80" i="8" s="1"/>
  <c r="L79" i="8" s="1"/>
  <c r="L78" i="8" s="1"/>
  <c r="L77" i="8" s="1"/>
  <c r="L76" i="8" s="1"/>
  <c r="L75" i="8" s="1"/>
  <c r="L74" i="8" s="1"/>
  <c r="L73" i="8" s="1"/>
  <c r="L72" i="8" s="1"/>
  <c r="L71" i="8" s="1"/>
  <c r="L70" i="8" s="1"/>
  <c r="L69" i="8" s="1"/>
  <c r="L68" i="8" s="1"/>
  <c r="L67" i="8" s="1"/>
  <c r="L66" i="8" s="1"/>
  <c r="L65" i="8" s="1"/>
  <c r="L64" i="8" s="1"/>
  <c r="L63" i="8" s="1"/>
  <c r="L62" i="8" s="1"/>
  <c r="L61" i="8" s="1"/>
  <c r="L60" i="8" s="1"/>
  <c r="L59" i="8" s="1"/>
  <c r="L58" i="8" s="1"/>
  <c r="L57" i="8" s="1"/>
  <c r="L56" i="8" s="1"/>
  <c r="L55" i="8" s="1"/>
  <c r="L54" i="8" s="1"/>
  <c r="L53" i="8" s="1"/>
  <c r="L52" i="8" s="1"/>
  <c r="L51" i="8" s="1"/>
  <c r="L50" i="8" s="1"/>
  <c r="L49" i="8" s="1"/>
  <c r="L48" i="8" s="1"/>
  <c r="L47" i="8" s="1"/>
  <c r="L46" i="8" s="1"/>
  <c r="L45" i="8" s="1"/>
  <c r="L44" i="8" s="1"/>
  <c r="L43" i="8" s="1"/>
  <c r="L42" i="8" s="1"/>
  <c r="L41" i="8" s="1"/>
  <c r="L40" i="8" s="1"/>
  <c r="L39" i="8" s="1"/>
  <c r="L38" i="8" s="1"/>
  <c r="L37" i="8" s="1"/>
  <c r="L36" i="8" s="1"/>
  <c r="L35" i="8" s="1"/>
  <c r="L34" i="8" s="1"/>
  <c r="L33" i="8" s="1"/>
  <c r="L32" i="8" s="1"/>
  <c r="L31" i="8" s="1"/>
  <c r="L30" i="8" s="1"/>
  <c r="L29" i="8" s="1"/>
  <c r="L28" i="8" s="1"/>
  <c r="L27" i="8" s="1"/>
  <c r="L26" i="8" s="1"/>
  <c r="L25" i="8" s="1"/>
  <c r="L24" i="8" s="1"/>
  <c r="L23" i="8" s="1"/>
  <c r="L22" i="8" s="1"/>
  <c r="L21" i="8" s="1"/>
  <c r="L20" i="8" s="1"/>
  <c r="L19" i="8" s="1"/>
  <c r="L18" i="8" s="1"/>
  <c r="L17" i="8" s="1"/>
  <c r="L16" i="8" s="1"/>
  <c r="L15" i="8" s="1"/>
  <c r="L14" i="8" s="1"/>
  <c r="L13" i="8" s="1"/>
  <c r="L12" i="8" s="1"/>
  <c r="L11" i="8" s="1"/>
  <c r="L10" i="8" s="1"/>
  <c r="L9" i="8" s="1"/>
  <c r="L8" i="8" s="1"/>
  <c r="L7" i="8" s="1"/>
  <c r="L6" i="8" s="1"/>
  <c r="L4" i="8" s="1"/>
  <c r="K155" i="8"/>
  <c r="K154" i="8" s="1"/>
  <c r="K153" i="8" s="1"/>
  <c r="K152" i="8" s="1"/>
  <c r="K151" i="8" s="1"/>
  <c r="K150" i="8" s="1"/>
  <c r="K149" i="8" s="1"/>
  <c r="K148" i="8" s="1"/>
  <c r="K147" i="8" s="1"/>
  <c r="K146" i="8" s="1"/>
  <c r="K145" i="8" s="1"/>
  <c r="K144" i="8" s="1"/>
  <c r="K143" i="8" s="1"/>
  <c r="K142" i="8" s="1"/>
  <c r="K141" i="8" s="1"/>
  <c r="K140" i="8" s="1"/>
  <c r="K139" i="8" s="1"/>
  <c r="K138" i="8" s="1"/>
  <c r="K137" i="8" s="1"/>
  <c r="K136" i="8" s="1"/>
  <c r="K135" i="8" s="1"/>
  <c r="K134" i="8" s="1"/>
  <c r="K133" i="8" s="1"/>
  <c r="K132" i="8" s="1"/>
  <c r="K131" i="8" s="1"/>
  <c r="K130" i="8" s="1"/>
  <c r="K129" i="8" s="1"/>
  <c r="K128" i="8" s="1"/>
  <c r="K127" i="8" s="1"/>
  <c r="K126" i="8" s="1"/>
  <c r="K125" i="8" s="1"/>
  <c r="K124" i="8" s="1"/>
  <c r="K123" i="8" s="1"/>
  <c r="K122" i="8" s="1"/>
  <c r="K121" i="8" s="1"/>
  <c r="K120" i="8" s="1"/>
  <c r="K119" i="8" s="1"/>
  <c r="K118" i="8" s="1"/>
  <c r="K117" i="8" s="1"/>
  <c r="K116" i="8" s="1"/>
  <c r="K115" i="8" s="1"/>
  <c r="K114" i="8" s="1"/>
  <c r="K113" i="8" s="1"/>
  <c r="K112" i="8" s="1"/>
  <c r="K111" i="8" s="1"/>
  <c r="K110" i="8" s="1"/>
  <c r="K109" i="8" s="1"/>
  <c r="K108" i="8" s="1"/>
  <c r="K107" i="8" s="1"/>
  <c r="K106" i="8" s="1"/>
  <c r="K105" i="8" s="1"/>
  <c r="K104" i="8" s="1"/>
  <c r="K103" i="8" s="1"/>
  <c r="K102" i="8" s="1"/>
  <c r="K101" i="8" s="1"/>
  <c r="K100" i="8" s="1"/>
  <c r="K99" i="8" s="1"/>
  <c r="K98" i="8" s="1"/>
  <c r="K97" i="8" s="1"/>
  <c r="K96" i="8" s="1"/>
  <c r="K95" i="8" s="1"/>
  <c r="K94" i="8" s="1"/>
  <c r="K93" i="8" s="1"/>
  <c r="K92" i="8" s="1"/>
  <c r="K91" i="8" s="1"/>
  <c r="K90" i="8" s="1"/>
  <c r="K89" i="8" s="1"/>
  <c r="K88" i="8" s="1"/>
  <c r="K87" i="8" s="1"/>
  <c r="K86" i="8" s="1"/>
  <c r="K85" i="8" s="1"/>
  <c r="K84" i="8" s="1"/>
  <c r="K83" i="8" s="1"/>
  <c r="K82" i="8" s="1"/>
  <c r="K81" i="8" s="1"/>
  <c r="K80" i="8" s="1"/>
  <c r="K79" i="8" s="1"/>
  <c r="K78" i="8" s="1"/>
  <c r="K77" i="8" s="1"/>
  <c r="K76" i="8" s="1"/>
  <c r="K75" i="8" s="1"/>
  <c r="K74" i="8" s="1"/>
  <c r="K73" i="8" s="1"/>
  <c r="K72" i="8" s="1"/>
  <c r="K71" i="8" s="1"/>
  <c r="K70" i="8" s="1"/>
  <c r="K69" i="8" s="1"/>
  <c r="K68" i="8" s="1"/>
  <c r="K67" i="8" s="1"/>
  <c r="K66" i="8" s="1"/>
  <c r="K65" i="8" s="1"/>
  <c r="K64" i="8" s="1"/>
  <c r="K63" i="8" s="1"/>
  <c r="K62" i="8" s="1"/>
  <c r="K61" i="8" s="1"/>
  <c r="K60" i="8" s="1"/>
  <c r="K59" i="8" s="1"/>
  <c r="K58" i="8" s="1"/>
  <c r="K57" i="8" s="1"/>
  <c r="K56" i="8" s="1"/>
  <c r="K55" i="8" s="1"/>
  <c r="K54" i="8" s="1"/>
  <c r="K53" i="8" s="1"/>
  <c r="K52" i="8" s="1"/>
  <c r="K51" i="8" s="1"/>
  <c r="K50" i="8" s="1"/>
  <c r="K49" i="8" s="1"/>
  <c r="K48" i="8" s="1"/>
  <c r="K47" i="8" s="1"/>
  <c r="K46" i="8" s="1"/>
  <c r="K45" i="8" s="1"/>
  <c r="K44" i="8" s="1"/>
  <c r="K43" i="8" s="1"/>
  <c r="K42" i="8" s="1"/>
  <c r="K41" i="8" s="1"/>
  <c r="K40" i="8" s="1"/>
  <c r="K39" i="8" s="1"/>
  <c r="K38" i="8" s="1"/>
  <c r="K37" i="8" s="1"/>
  <c r="K36" i="8" s="1"/>
  <c r="K35" i="8" s="1"/>
  <c r="K34" i="8" s="1"/>
  <c r="K33" i="8" s="1"/>
  <c r="K32" i="8" s="1"/>
  <c r="K31" i="8" s="1"/>
  <c r="K30" i="8" s="1"/>
  <c r="K29" i="8" s="1"/>
  <c r="K28" i="8" s="1"/>
  <c r="K27" i="8" s="1"/>
  <c r="K26" i="8" s="1"/>
  <c r="K25" i="8" s="1"/>
  <c r="K24" i="8" s="1"/>
  <c r="K23" i="8" s="1"/>
  <c r="K22" i="8" s="1"/>
  <c r="K21" i="8" s="1"/>
  <c r="K20" i="8" s="1"/>
  <c r="K19" i="8" s="1"/>
  <c r="K18" i="8" s="1"/>
  <c r="K17" i="8" s="1"/>
  <c r="K16" i="8" s="1"/>
  <c r="K15" i="8" s="1"/>
  <c r="K14" i="8" s="1"/>
  <c r="K13" i="8" s="1"/>
  <c r="K12" i="8" s="1"/>
  <c r="K11" i="8" s="1"/>
  <c r="K10" i="8" s="1"/>
  <c r="K9" i="8" s="1"/>
  <c r="K8" i="8" s="1"/>
  <c r="K7" i="8" s="1"/>
  <c r="K6" i="8" s="1"/>
  <c r="K4" i="8" s="1"/>
  <c r="AQ47" i="3"/>
  <c r="AR47" i="3"/>
  <c r="A48" i="3"/>
  <c r="B47" i="3"/>
  <c r="D47" i="3"/>
  <c r="C47" i="3"/>
  <c r="F47" i="3"/>
  <c r="BM47" i="3" s="1"/>
  <c r="G47" i="3"/>
  <c r="H47" i="3" s="1"/>
  <c r="BN47" i="3" s="1"/>
  <c r="B266" i="2" l="1"/>
  <c r="C270" i="2"/>
  <c r="B270" i="2"/>
  <c r="C266" i="2"/>
  <c r="R12" i="8"/>
  <c r="S31" i="8"/>
  <c r="C78" i="1" s="1"/>
  <c r="D78" i="1" s="1"/>
  <c r="R31" i="8"/>
  <c r="S29" i="8"/>
  <c r="C76" i="1" s="1"/>
  <c r="D76" i="1" s="1"/>
  <c r="R29" i="8"/>
  <c r="S28" i="8"/>
  <c r="C75" i="1" s="1"/>
  <c r="D75" i="1" s="1"/>
  <c r="R28" i="8"/>
  <c r="B91" i="2"/>
  <c r="E50" i="1" s="1"/>
  <c r="C45" i="16" s="1"/>
  <c r="D45" i="16" s="1"/>
  <c r="B276" i="2"/>
  <c r="B48" i="3"/>
  <c r="AQ48" i="3"/>
  <c r="A49" i="3"/>
  <c r="AR48" i="3"/>
  <c r="D48" i="3"/>
  <c r="C48" i="3"/>
  <c r="F48" i="3"/>
  <c r="G48" i="3"/>
  <c r="H48" i="3" s="1"/>
  <c r="BN48" i="3" l="1"/>
  <c r="BM48" i="3"/>
  <c r="AQ49" i="3"/>
  <c r="AR49" i="3"/>
  <c r="A50" i="3"/>
  <c r="B49" i="3"/>
  <c r="C49" i="3"/>
  <c r="D49" i="3"/>
  <c r="F49" i="3"/>
  <c r="BM49" i="3" s="1"/>
  <c r="G49" i="3"/>
  <c r="H49" i="3" s="1"/>
  <c r="BN49" i="3" s="1"/>
  <c r="C39" i="16"/>
  <c r="D39" i="16" s="1"/>
  <c r="B140" i="2"/>
  <c r="C40" i="16"/>
  <c r="D40" i="16" s="1"/>
  <c r="B141" i="2"/>
  <c r="C41" i="16"/>
  <c r="D41" i="16" s="1"/>
  <c r="B143" i="2"/>
  <c r="D42" i="16"/>
  <c r="C42" i="16"/>
  <c r="AM46" i="3" l="1"/>
  <c r="AM34" i="3"/>
  <c r="AK36" i="3"/>
  <c r="AM33" i="3"/>
  <c r="AM19" i="3"/>
  <c r="AM35" i="3"/>
  <c r="AK44" i="3"/>
  <c r="AM45" i="3"/>
  <c r="AK37" i="3"/>
  <c r="AK31" i="3"/>
  <c r="AK11" i="3"/>
  <c r="AK50" i="3"/>
  <c r="AM25" i="3"/>
  <c r="AK20" i="3"/>
  <c r="AK45" i="3"/>
  <c r="AM49" i="3"/>
  <c r="AK12" i="3"/>
  <c r="AK25" i="3"/>
  <c r="AM29" i="3"/>
  <c r="AK682" i="3"/>
  <c r="AM20" i="3"/>
  <c r="AK21" i="3"/>
  <c r="AM9" i="3"/>
  <c r="AM13" i="3"/>
  <c r="AK24" i="3"/>
  <c r="AK9" i="3"/>
  <c r="AK47" i="3"/>
  <c r="AK683" i="3"/>
  <c r="AM44" i="3"/>
  <c r="AM14" i="3"/>
  <c r="AK16" i="3"/>
  <c r="AM31" i="3"/>
  <c r="AK10" i="3"/>
  <c r="AM38" i="3"/>
  <c r="AK49" i="3"/>
  <c r="AK34" i="3"/>
  <c r="AM683" i="3"/>
  <c r="AM37" i="3"/>
  <c r="AK22" i="3"/>
  <c r="AM27" i="3"/>
  <c r="AK15" i="3"/>
  <c r="AK41" i="3"/>
  <c r="AM32" i="3"/>
  <c r="AK48" i="3"/>
  <c r="AM18" i="3"/>
  <c r="AM30" i="3"/>
  <c r="AM43" i="3"/>
  <c r="AK29" i="3"/>
  <c r="AK43" i="3"/>
  <c r="AM28" i="3"/>
  <c r="AK19" i="3"/>
  <c r="AK35" i="3"/>
  <c r="B151" i="2"/>
  <c r="S50" i="3" s="1"/>
  <c r="AM11" i="3"/>
  <c r="AK40" i="3"/>
  <c r="AM682" i="3"/>
  <c r="AM50" i="3"/>
  <c r="AM12" i="3"/>
  <c r="AM24" i="3"/>
  <c r="AN24" i="3" s="1"/>
  <c r="AM26" i="3"/>
  <c r="AM15" i="3"/>
  <c r="AM21" i="3"/>
  <c r="AK38" i="3"/>
  <c r="AK23" i="3"/>
  <c r="AK46" i="3"/>
  <c r="AK30" i="3"/>
  <c r="AM41" i="3"/>
  <c r="A257" i="2"/>
  <c r="AK39" i="3"/>
  <c r="AK33" i="3"/>
  <c r="AK32" i="3"/>
  <c r="AK13" i="3"/>
  <c r="AM39" i="3"/>
  <c r="AK17" i="3"/>
  <c r="AM47" i="3"/>
  <c r="AM48" i="3"/>
  <c r="AK18" i="3"/>
  <c r="AM42" i="3"/>
  <c r="AK14" i="3"/>
  <c r="AK28" i="3"/>
  <c r="AK26" i="3"/>
  <c r="AM36" i="3"/>
  <c r="AM40" i="3"/>
  <c r="B257" i="2"/>
  <c r="AM16" i="3"/>
  <c r="AK27" i="3"/>
  <c r="AM22" i="3"/>
  <c r="B150" i="2"/>
  <c r="AM10" i="3"/>
  <c r="AM23" i="3"/>
  <c r="AM17" i="3"/>
  <c r="AK42" i="3"/>
  <c r="AD24" i="3"/>
  <c r="AD26" i="3"/>
  <c r="AD37" i="3"/>
  <c r="AD38" i="3"/>
  <c r="AD33" i="3"/>
  <c r="AD25" i="3"/>
  <c r="AD18" i="3"/>
  <c r="AD28" i="3"/>
  <c r="A254" i="2"/>
  <c r="AD48" i="3"/>
  <c r="B254" i="2"/>
  <c r="AD32" i="3"/>
  <c r="AD45" i="3"/>
  <c r="AD22" i="3"/>
  <c r="AD9" i="3"/>
  <c r="AD43" i="3"/>
  <c r="AD27" i="3"/>
  <c r="AD49" i="3"/>
  <c r="AD35" i="3"/>
  <c r="AD41" i="3"/>
  <c r="AD29" i="3"/>
  <c r="AD39" i="3"/>
  <c r="AD50" i="3"/>
  <c r="AD44" i="3"/>
  <c r="AD17" i="3"/>
  <c r="AD40" i="3"/>
  <c r="AD23" i="3"/>
  <c r="AD13" i="3"/>
  <c r="AD30" i="3"/>
  <c r="AD10" i="3"/>
  <c r="AD46" i="3"/>
  <c r="AD682" i="3"/>
  <c r="AD683" i="3"/>
  <c r="B149" i="2"/>
  <c r="O50" i="3" s="1"/>
  <c r="AD47" i="3"/>
  <c r="AD42" i="3"/>
  <c r="AD14" i="3"/>
  <c r="AD20" i="3"/>
  <c r="AD36" i="3"/>
  <c r="AD34" i="3"/>
  <c r="AD16" i="3"/>
  <c r="AD12" i="3"/>
  <c r="AD21" i="3"/>
  <c r="AD15" i="3"/>
  <c r="AD19" i="3"/>
  <c r="AD11" i="3"/>
  <c r="AD31" i="3"/>
  <c r="AE36" i="3"/>
  <c r="AE9" i="3"/>
  <c r="AE33" i="3"/>
  <c r="M27" i="3"/>
  <c r="AE43" i="3"/>
  <c r="AE40" i="3"/>
  <c r="AE13" i="3"/>
  <c r="AE28" i="3"/>
  <c r="AE22" i="3"/>
  <c r="AE16" i="3"/>
  <c r="AE23" i="3"/>
  <c r="M47" i="3"/>
  <c r="AE10" i="3"/>
  <c r="AE683" i="3"/>
  <c r="AE49" i="3"/>
  <c r="M13" i="3"/>
  <c r="B152" i="2"/>
  <c r="U50" i="3" s="1"/>
  <c r="M683" i="3"/>
  <c r="AE48" i="3"/>
  <c r="M31" i="3"/>
  <c r="M15" i="3"/>
  <c r="AE15" i="3"/>
  <c r="M35" i="3"/>
  <c r="AE45" i="3"/>
  <c r="AE34" i="3"/>
  <c r="M25" i="3"/>
  <c r="M32" i="3"/>
  <c r="M29" i="3"/>
  <c r="AE41" i="3"/>
  <c r="M38" i="3"/>
  <c r="AE46" i="3"/>
  <c r="M49" i="3"/>
  <c r="AE682" i="3"/>
  <c r="AE38" i="3"/>
  <c r="M30" i="3"/>
  <c r="M34" i="3"/>
  <c r="M37" i="3"/>
  <c r="M24" i="3"/>
  <c r="M20" i="3"/>
  <c r="AE17" i="3"/>
  <c r="M21" i="3"/>
  <c r="AE30" i="3"/>
  <c r="AE47" i="3"/>
  <c r="M12" i="3"/>
  <c r="AE26" i="3"/>
  <c r="M44" i="3"/>
  <c r="M36" i="3"/>
  <c r="M46" i="3"/>
  <c r="M19" i="3"/>
  <c r="AE42" i="3"/>
  <c r="M26" i="3"/>
  <c r="AE35" i="3"/>
  <c r="M40" i="3"/>
  <c r="AE44" i="3"/>
  <c r="AE25" i="3"/>
  <c r="M41" i="3"/>
  <c r="AE12" i="3"/>
  <c r="AE27" i="3"/>
  <c r="M48" i="3"/>
  <c r="M18" i="3"/>
  <c r="M28" i="3"/>
  <c r="M10" i="3"/>
  <c r="M50" i="3"/>
  <c r="M39" i="3"/>
  <c r="M17" i="3"/>
  <c r="M33" i="3"/>
  <c r="AE18" i="3"/>
  <c r="M682" i="3"/>
  <c r="AE31" i="3"/>
  <c r="AE29" i="3"/>
  <c r="M16" i="3"/>
  <c r="M14" i="3"/>
  <c r="AE39" i="3"/>
  <c r="AE32" i="3"/>
  <c r="AE50" i="3"/>
  <c r="M9" i="3"/>
  <c r="M43" i="3"/>
  <c r="M23" i="3"/>
  <c r="AE37" i="3"/>
  <c r="M45" i="3"/>
  <c r="AE20" i="3"/>
  <c r="AE19" i="3"/>
  <c r="AE21" i="3"/>
  <c r="AE11" i="3"/>
  <c r="M22" i="3"/>
  <c r="AE14" i="3"/>
  <c r="M42" i="3"/>
  <c r="AE24" i="3"/>
  <c r="M11" i="3"/>
  <c r="AF26" i="3"/>
  <c r="AF23" i="3"/>
  <c r="AF25" i="3"/>
  <c r="AF35" i="3"/>
  <c r="AF47" i="3"/>
  <c r="AF44" i="3"/>
  <c r="AF43" i="3"/>
  <c r="AF38" i="3"/>
  <c r="AF33" i="3"/>
  <c r="AF27" i="3"/>
  <c r="AF39" i="3"/>
  <c r="AF31" i="3"/>
  <c r="AF34" i="3"/>
  <c r="AF49" i="3"/>
  <c r="AF20" i="3"/>
  <c r="AF12" i="3"/>
  <c r="AF18" i="3"/>
  <c r="AF37" i="3"/>
  <c r="AF14" i="3"/>
  <c r="AF683" i="3"/>
  <c r="AF24" i="3"/>
  <c r="AF36" i="3"/>
  <c r="AF41" i="3"/>
  <c r="AF16" i="3"/>
  <c r="AF9" i="3"/>
  <c r="A255" i="2"/>
  <c r="AF28" i="3"/>
  <c r="B255" i="2"/>
  <c r="AF45" i="3"/>
  <c r="AF32" i="3"/>
  <c r="AF22" i="3"/>
  <c r="AF50" i="3"/>
  <c r="AF48" i="3"/>
  <c r="AF46" i="3"/>
  <c r="AF682" i="3"/>
  <c r="AF13" i="3"/>
  <c r="AF17" i="3"/>
  <c r="AF40" i="3"/>
  <c r="AF19" i="3"/>
  <c r="AF21" i="3"/>
  <c r="AF10" i="3"/>
  <c r="AF42" i="3"/>
  <c r="AF29" i="3"/>
  <c r="AF51" i="3"/>
  <c r="AF15" i="3"/>
  <c r="AF11" i="3"/>
  <c r="AF30" i="3"/>
  <c r="B50" i="3"/>
  <c r="A51" i="3"/>
  <c r="AM51" i="3" s="1"/>
  <c r="AR50" i="3"/>
  <c r="AQ50" i="3"/>
  <c r="D50" i="3"/>
  <c r="C50" i="3"/>
  <c r="F50" i="3"/>
  <c r="G50" i="3"/>
  <c r="H50" i="3" s="1"/>
  <c r="Q50" i="3"/>
  <c r="AN48" i="3" l="1"/>
  <c r="AO43" i="3"/>
  <c r="AO33" i="3"/>
  <c r="AH26" i="3"/>
  <c r="AN15" i="3"/>
  <c r="AN31" i="3"/>
  <c r="AO38" i="3"/>
  <c r="AN36" i="3"/>
  <c r="AN49" i="3"/>
  <c r="AN39" i="3"/>
  <c r="AO37" i="3"/>
  <c r="AG11" i="3"/>
  <c r="AG20" i="3"/>
  <c r="AO9" i="3"/>
  <c r="AO20" i="3"/>
  <c r="AO18" i="3"/>
  <c r="AN17" i="3"/>
  <c r="AN50" i="3"/>
  <c r="AO19" i="3"/>
  <c r="AO32" i="3"/>
  <c r="AN34" i="3"/>
  <c r="AO46" i="3"/>
  <c r="AN10" i="3"/>
  <c r="AN682" i="3"/>
  <c r="AN22" i="3"/>
  <c r="AN11" i="3"/>
  <c r="AH18" i="3"/>
  <c r="AN29" i="3"/>
  <c r="AG45" i="3"/>
  <c r="AO21" i="3"/>
  <c r="AN16" i="3"/>
  <c r="AH30" i="3"/>
  <c r="AO12" i="3"/>
  <c r="AG38" i="3"/>
  <c r="AN25" i="3"/>
  <c r="AO14" i="3"/>
  <c r="AN47" i="3"/>
  <c r="AH21" i="3"/>
  <c r="AO41" i="3"/>
  <c r="AO13" i="3"/>
  <c r="AN27" i="3"/>
  <c r="AN45" i="3"/>
  <c r="AO28" i="3"/>
  <c r="AO44" i="3"/>
  <c r="AN40" i="3"/>
  <c r="AH23" i="3"/>
  <c r="AN35" i="3"/>
  <c r="AO26" i="3"/>
  <c r="AN42" i="3"/>
  <c r="AH48" i="3"/>
  <c r="AN683" i="3"/>
  <c r="AG31" i="3"/>
  <c r="AH28" i="3"/>
  <c r="AN23" i="3"/>
  <c r="AO30" i="3"/>
  <c r="AH14" i="3"/>
  <c r="AG48" i="3"/>
  <c r="AG27" i="3"/>
  <c r="AH15" i="3"/>
  <c r="AG37" i="3"/>
  <c r="AH39" i="3"/>
  <c r="BN50" i="3"/>
  <c r="AG18" i="3"/>
  <c r="BM50" i="3"/>
  <c r="AH22" i="3"/>
  <c r="AH10" i="3"/>
  <c r="AH34" i="3"/>
  <c r="AQ51" i="3"/>
  <c r="AR51" i="3"/>
  <c r="A52" i="3"/>
  <c r="B51" i="3"/>
  <c r="D51" i="3"/>
  <c r="C51" i="3"/>
  <c r="F51" i="3"/>
  <c r="G51" i="3"/>
  <c r="H51" i="3" s="1"/>
  <c r="Q51" i="3"/>
  <c r="S51" i="3"/>
  <c r="O51" i="3"/>
  <c r="U51" i="3"/>
  <c r="AD51" i="3"/>
  <c r="AK51" i="3"/>
  <c r="AO51" i="3" s="1"/>
  <c r="M51" i="3"/>
  <c r="AE51" i="3"/>
  <c r="AH49" i="3"/>
  <c r="AG21" i="3"/>
  <c r="AG24" i="3"/>
  <c r="AG14" i="3"/>
  <c r="AG25" i="3"/>
  <c r="AH50" i="3"/>
  <c r="AG28" i="3"/>
  <c r="AG19" i="3"/>
  <c r="AG29" i="3"/>
  <c r="AG49" i="3"/>
  <c r="AG9" i="3"/>
  <c r="AG12" i="3"/>
  <c r="AO36" i="3"/>
  <c r="O45" i="3"/>
  <c r="O683" i="3"/>
  <c r="P17" i="3"/>
  <c r="P46" i="3"/>
  <c r="P40" i="3"/>
  <c r="O22" i="3"/>
  <c r="P21" i="3"/>
  <c r="P20" i="3"/>
  <c r="O37" i="3"/>
  <c r="P28" i="3"/>
  <c r="O33" i="3"/>
  <c r="O15" i="3"/>
  <c r="P41" i="3"/>
  <c r="P50" i="3"/>
  <c r="P49" i="3"/>
  <c r="O36" i="3"/>
  <c r="P16" i="3"/>
  <c r="P52" i="3"/>
  <c r="P22" i="3"/>
  <c r="O32" i="3"/>
  <c r="O23" i="3"/>
  <c r="O43" i="3"/>
  <c r="O24" i="3"/>
  <c r="O10" i="3"/>
  <c r="P32" i="3"/>
  <c r="P12" i="3"/>
  <c r="P43" i="3"/>
  <c r="P44" i="3"/>
  <c r="O19" i="3"/>
  <c r="O21" i="3"/>
  <c r="P682" i="3"/>
  <c r="O39" i="3"/>
  <c r="O14" i="3"/>
  <c r="P24" i="3"/>
  <c r="P48" i="3"/>
  <c r="P33" i="3"/>
  <c r="P18" i="3"/>
  <c r="O34" i="3"/>
  <c r="P10" i="3"/>
  <c r="P15" i="3"/>
  <c r="O41" i="3"/>
  <c r="P45" i="3"/>
  <c r="O30" i="3"/>
  <c r="O11" i="3"/>
  <c r="P36" i="3"/>
  <c r="O13" i="3"/>
  <c r="P26" i="3"/>
  <c r="O40" i="3"/>
  <c r="P30" i="3"/>
  <c r="P25" i="3"/>
  <c r="P39" i="3"/>
  <c r="O17" i="3"/>
  <c r="P38" i="3"/>
  <c r="P37" i="3"/>
  <c r="P23" i="3"/>
  <c r="O28" i="3"/>
  <c r="O29" i="3"/>
  <c r="P9" i="3"/>
  <c r="O44" i="3"/>
  <c r="O9" i="3"/>
  <c r="P27" i="3"/>
  <c r="P19" i="3"/>
  <c r="O18" i="3"/>
  <c r="O682" i="3"/>
  <c r="P34" i="3"/>
  <c r="O25" i="3"/>
  <c r="O20" i="3"/>
  <c r="P51" i="3"/>
  <c r="O26" i="3"/>
  <c r="O27" i="3"/>
  <c r="O12" i="3"/>
  <c r="P683" i="3"/>
  <c r="O42" i="3"/>
  <c r="P11" i="3"/>
  <c r="P14" i="3"/>
  <c r="O31" i="3"/>
  <c r="O16" i="3"/>
  <c r="P35" i="3"/>
  <c r="O46" i="3"/>
  <c r="O38" i="3"/>
  <c r="A684" i="3"/>
  <c r="O35" i="3"/>
  <c r="F74" i="1"/>
  <c r="P47" i="3"/>
  <c r="P13" i="3"/>
  <c r="P31" i="3"/>
  <c r="P42" i="3"/>
  <c r="P29" i="3"/>
  <c r="O47" i="3"/>
  <c r="O48" i="3"/>
  <c r="O49" i="3"/>
  <c r="AG36" i="3"/>
  <c r="AG43" i="3"/>
  <c r="AG44" i="3"/>
  <c r="AG35" i="3"/>
  <c r="AH37" i="3"/>
  <c r="AG50" i="3"/>
  <c r="AG42" i="3"/>
  <c r="AG13" i="3"/>
  <c r="AH32" i="3"/>
  <c r="X50" i="3"/>
  <c r="AH683" i="3"/>
  <c r="AN9" i="3"/>
  <c r="AG26" i="3"/>
  <c r="AH44" i="3"/>
  <c r="AN14" i="3"/>
  <c r="AG32" i="3"/>
  <c r="AO39" i="3"/>
  <c r="AN43" i="3"/>
  <c r="AO25" i="3"/>
  <c r="AG39" i="3"/>
  <c r="AG16" i="3"/>
  <c r="AO22" i="3"/>
  <c r="AO10" i="3"/>
  <c r="AG22" i="3"/>
  <c r="AH35" i="3"/>
  <c r="AH12" i="3"/>
  <c r="AH25" i="3"/>
  <c r="S45" i="3"/>
  <c r="T12" i="3"/>
  <c r="S44" i="3"/>
  <c r="T41" i="3"/>
  <c r="T18" i="3"/>
  <c r="S20" i="3"/>
  <c r="T31" i="3"/>
  <c r="T52" i="3"/>
  <c r="S9" i="3"/>
  <c r="S34" i="3"/>
  <c r="S682" i="3"/>
  <c r="S38" i="3"/>
  <c r="S14" i="3"/>
  <c r="S29" i="3"/>
  <c r="T29" i="3"/>
  <c r="S41" i="3"/>
  <c r="T20" i="3"/>
  <c r="F76" i="1"/>
  <c r="T36" i="3"/>
  <c r="S27" i="3"/>
  <c r="T30" i="3"/>
  <c r="S37" i="3"/>
  <c r="T47" i="3"/>
  <c r="S17" i="3"/>
  <c r="T25" i="3"/>
  <c r="A686" i="3"/>
  <c r="S26" i="3"/>
  <c r="T16" i="3"/>
  <c r="T10" i="3"/>
  <c r="S31" i="3"/>
  <c r="T48" i="3"/>
  <c r="T28" i="3"/>
  <c r="T19" i="3"/>
  <c r="S25" i="3"/>
  <c r="T44" i="3"/>
  <c r="T33" i="3"/>
  <c r="T45" i="3"/>
  <c r="S12" i="3"/>
  <c r="S11" i="3"/>
  <c r="T35" i="3"/>
  <c r="T22" i="3"/>
  <c r="T682" i="3"/>
  <c r="S42" i="3"/>
  <c r="T17" i="3"/>
  <c r="S36" i="3"/>
  <c r="T38" i="3"/>
  <c r="T9" i="3"/>
  <c r="S16" i="3"/>
  <c r="S21" i="3"/>
  <c r="S35" i="3"/>
  <c r="S33" i="3"/>
  <c r="S24" i="3"/>
  <c r="S22" i="3"/>
  <c r="S39" i="3"/>
  <c r="T24" i="3"/>
  <c r="T21" i="3"/>
  <c r="S28" i="3"/>
  <c r="S43" i="3"/>
  <c r="T51" i="3"/>
  <c r="T46" i="3"/>
  <c r="T50" i="3"/>
  <c r="T27" i="3"/>
  <c r="T49" i="3"/>
  <c r="T14" i="3"/>
  <c r="S18" i="3"/>
  <c r="S15" i="3"/>
  <c r="T26" i="3"/>
  <c r="T13" i="3"/>
  <c r="T15" i="3"/>
  <c r="S23" i="3"/>
  <c r="T37" i="3"/>
  <c r="S19" i="3"/>
  <c r="S30" i="3"/>
  <c r="T34" i="3"/>
  <c r="T43" i="3"/>
  <c r="T40" i="3"/>
  <c r="S32" i="3"/>
  <c r="S13" i="3"/>
  <c r="T32" i="3"/>
  <c r="T11" i="3"/>
  <c r="T683" i="3"/>
  <c r="T23" i="3"/>
  <c r="S10" i="3"/>
  <c r="S683" i="3"/>
  <c r="T42" i="3"/>
  <c r="T39" i="3"/>
  <c r="S40" i="3"/>
  <c r="S46" i="3"/>
  <c r="S47" i="3"/>
  <c r="S48" i="3"/>
  <c r="S49" i="3"/>
  <c r="AO29" i="3"/>
  <c r="AN30" i="3"/>
  <c r="AN44" i="3"/>
  <c r="AO34" i="3"/>
  <c r="AG17" i="3"/>
  <c r="AG15" i="3"/>
  <c r="AO27" i="3"/>
  <c r="AO48" i="3"/>
  <c r="AO15" i="3"/>
  <c r="AH17" i="3"/>
  <c r="AH16" i="3"/>
  <c r="AO17" i="3"/>
  <c r="AO40" i="3"/>
  <c r="AO50" i="3"/>
  <c r="AG683" i="3"/>
  <c r="AG33" i="3"/>
  <c r="AH36" i="3"/>
  <c r="AH9" i="3"/>
  <c r="AH13" i="3"/>
  <c r="AH33" i="3"/>
  <c r="AH24" i="3"/>
  <c r="AO11" i="3"/>
  <c r="AG10" i="3"/>
  <c r="AH42" i="3"/>
  <c r="AO24" i="3"/>
  <c r="U31" i="3"/>
  <c r="U13" i="3"/>
  <c r="V27" i="3"/>
  <c r="V42" i="3"/>
  <c r="V30" i="3"/>
  <c r="V51" i="3"/>
  <c r="V29" i="3"/>
  <c r="V34" i="3"/>
  <c r="U682" i="3"/>
  <c r="V37" i="3"/>
  <c r="U40" i="3"/>
  <c r="V14" i="3"/>
  <c r="V10" i="3"/>
  <c r="V20" i="3"/>
  <c r="V32" i="3"/>
  <c r="V39" i="3"/>
  <c r="U46" i="3"/>
  <c r="V35" i="3"/>
  <c r="U27" i="3"/>
  <c r="U32" i="3"/>
  <c r="V44" i="3"/>
  <c r="U37" i="3"/>
  <c r="V49" i="3"/>
  <c r="U25" i="3"/>
  <c r="V682" i="3"/>
  <c r="U12" i="3"/>
  <c r="U20" i="3"/>
  <c r="U10" i="3"/>
  <c r="V15" i="3"/>
  <c r="V41" i="3"/>
  <c r="U30" i="3"/>
  <c r="U15" i="3"/>
  <c r="U35" i="3"/>
  <c r="V22" i="3"/>
  <c r="V19" i="3"/>
  <c r="V13" i="3"/>
  <c r="U29" i="3"/>
  <c r="U24" i="3"/>
  <c r="V43" i="3"/>
  <c r="V40" i="3"/>
  <c r="U19" i="3"/>
  <c r="U28" i="3"/>
  <c r="V45" i="3"/>
  <c r="V26" i="3"/>
  <c r="V12" i="3"/>
  <c r="U22" i="3"/>
  <c r="U11" i="3"/>
  <c r="U34" i="3"/>
  <c r="U44" i="3"/>
  <c r="U683" i="3"/>
  <c r="U38" i="3"/>
  <c r="V683" i="3"/>
  <c r="U26" i="3"/>
  <c r="U23" i="3"/>
  <c r="V11" i="3"/>
  <c r="U17" i="3"/>
  <c r="V25" i="3"/>
  <c r="U41" i="3"/>
  <c r="V38" i="3"/>
  <c r="U16" i="3"/>
  <c r="V17" i="3"/>
  <c r="F77" i="1"/>
  <c r="U14" i="3"/>
  <c r="U21" i="3"/>
  <c r="V24" i="3"/>
  <c r="V9" i="3"/>
  <c r="U43" i="3"/>
  <c r="V50" i="3"/>
  <c r="V52" i="3"/>
  <c r="V21" i="3"/>
  <c r="U42" i="3"/>
  <c r="U47" i="3"/>
  <c r="V18" i="3"/>
  <c r="U33" i="3"/>
  <c r="U36" i="3"/>
  <c r="V28" i="3"/>
  <c r="V16" i="3"/>
  <c r="U18" i="3"/>
  <c r="V46" i="3"/>
  <c r="U9" i="3"/>
  <c r="V31" i="3"/>
  <c r="V36" i="3"/>
  <c r="A687" i="3"/>
  <c r="V33" i="3"/>
  <c r="V23" i="3"/>
  <c r="U39" i="3"/>
  <c r="V47" i="3"/>
  <c r="U45" i="3"/>
  <c r="V48" i="3"/>
  <c r="U48" i="3"/>
  <c r="U49" i="3"/>
  <c r="R45" i="3"/>
  <c r="Q35" i="3"/>
  <c r="Q24" i="3"/>
  <c r="Q31" i="3"/>
  <c r="Q32" i="3"/>
  <c r="R44" i="3"/>
  <c r="Q27" i="3"/>
  <c r="F75" i="1"/>
  <c r="R41" i="3"/>
  <c r="R22" i="3"/>
  <c r="R13" i="3"/>
  <c r="Q42" i="3"/>
  <c r="Q22" i="3"/>
  <c r="Q17" i="3"/>
  <c r="Q28" i="3"/>
  <c r="R33" i="3"/>
  <c r="R682" i="3"/>
  <c r="Q20" i="3"/>
  <c r="R26" i="3"/>
  <c r="Q18" i="3"/>
  <c r="R25" i="3"/>
  <c r="Q44" i="3"/>
  <c r="Q23" i="3"/>
  <c r="Q30" i="3"/>
  <c r="R52" i="3"/>
  <c r="Q26" i="3"/>
  <c r="R47" i="3"/>
  <c r="Q33" i="3"/>
  <c r="R9" i="3"/>
  <c r="R16" i="3"/>
  <c r="Q43" i="3"/>
  <c r="Q14" i="3"/>
  <c r="Q45" i="3"/>
  <c r="Q21" i="3"/>
  <c r="R10" i="3"/>
  <c r="R17" i="3"/>
  <c r="Q13" i="3"/>
  <c r="Q37" i="3"/>
  <c r="R21" i="3"/>
  <c r="R49" i="3"/>
  <c r="Q10" i="3"/>
  <c r="Q38" i="3"/>
  <c r="R32" i="3"/>
  <c r="Q40" i="3"/>
  <c r="R51" i="3"/>
  <c r="R42" i="3"/>
  <c r="Q9" i="3"/>
  <c r="R24" i="3"/>
  <c r="Q29" i="3"/>
  <c r="R29" i="3"/>
  <c r="R36" i="3"/>
  <c r="Q36" i="3"/>
  <c r="Q11" i="3"/>
  <c r="R39" i="3"/>
  <c r="R31" i="3"/>
  <c r="R48" i="3"/>
  <c r="Q12" i="3"/>
  <c r="Q41" i="3"/>
  <c r="R30" i="3"/>
  <c r="R38" i="3"/>
  <c r="Q25" i="3"/>
  <c r="A685" i="3"/>
  <c r="U685" i="3" s="1"/>
  <c r="R27" i="3"/>
  <c r="Q15" i="3"/>
  <c r="R15" i="3"/>
  <c r="R50" i="3"/>
  <c r="R34" i="3"/>
  <c r="R19" i="3"/>
  <c r="R28" i="3"/>
  <c r="R46" i="3"/>
  <c r="R14" i="3"/>
  <c r="R35" i="3"/>
  <c r="Q39" i="3"/>
  <c r="Q16" i="3"/>
  <c r="R23" i="3"/>
  <c r="R18" i="3"/>
  <c r="R37" i="3"/>
  <c r="R11" i="3"/>
  <c r="Q682" i="3"/>
  <c r="R20" i="3"/>
  <c r="Q34" i="3"/>
  <c r="Q19" i="3"/>
  <c r="R40" i="3"/>
  <c r="R43" i="3"/>
  <c r="Q683" i="3"/>
  <c r="R683" i="3"/>
  <c r="R12" i="3"/>
  <c r="Q46" i="3"/>
  <c r="Q47" i="3"/>
  <c r="Q48" i="3"/>
  <c r="Q49" i="3"/>
  <c r="AO23" i="3"/>
  <c r="AN21" i="3"/>
  <c r="AO35" i="3"/>
  <c r="AO683" i="3"/>
  <c r="AG682" i="3"/>
  <c r="AH45" i="3"/>
  <c r="AO49" i="3"/>
  <c r="AN20" i="3"/>
  <c r="AN19" i="3"/>
  <c r="AG47" i="3"/>
  <c r="AG34" i="3"/>
  <c r="AH29" i="3"/>
  <c r="AN28" i="3"/>
  <c r="AN37" i="3"/>
  <c r="AO31" i="3"/>
  <c r="AG46" i="3"/>
  <c r="AH20" i="3"/>
  <c r="AH47" i="3"/>
  <c r="AH31" i="3"/>
  <c r="AH682" i="3"/>
  <c r="AO42" i="3"/>
  <c r="AN26" i="3"/>
  <c r="AN32" i="3"/>
  <c r="AO682" i="3"/>
  <c r="AH27" i="3"/>
  <c r="AO45" i="3"/>
  <c r="AG41" i="3"/>
  <c r="AH11" i="3"/>
  <c r="AH46" i="3"/>
  <c r="AH40" i="3"/>
  <c r="AH38" i="3"/>
  <c r="AN18" i="3"/>
  <c r="AG23" i="3"/>
  <c r="AH41" i="3"/>
  <c r="AN12" i="3"/>
  <c r="AN38" i="3"/>
  <c r="AO16" i="3"/>
  <c r="AN13" i="3"/>
  <c r="AN33" i="3"/>
  <c r="AG30" i="3"/>
  <c r="AG40" i="3"/>
  <c r="AH19" i="3"/>
  <c r="AH43" i="3"/>
  <c r="AN41" i="3"/>
  <c r="AO47" i="3"/>
  <c r="AN46" i="3"/>
  <c r="BM51" i="3" l="1"/>
  <c r="BN51" i="3"/>
  <c r="AP9" i="3"/>
  <c r="Y14" i="3"/>
  <c r="Z14" i="3" s="1"/>
  <c r="X40" i="3"/>
  <c r="AT28" i="3"/>
  <c r="AG51" i="3"/>
  <c r="AU18" i="3"/>
  <c r="AT48" i="3"/>
  <c r="AX30" i="3"/>
  <c r="AW22" i="3"/>
  <c r="Y9" i="3"/>
  <c r="Z9" i="3" s="1"/>
  <c r="X13" i="3"/>
  <c r="X21" i="3"/>
  <c r="AW40" i="3"/>
  <c r="Y15" i="3"/>
  <c r="Z15" i="3" s="1"/>
  <c r="AT18" i="3"/>
  <c r="AT50" i="3"/>
  <c r="AX18" i="3"/>
  <c r="Y49" i="3"/>
  <c r="Z49" i="3" s="1"/>
  <c r="Y50" i="3"/>
  <c r="Z50" i="3" s="1"/>
  <c r="Y13" i="3"/>
  <c r="Z13" i="3" s="1"/>
  <c r="AX28" i="3"/>
  <c r="X42" i="3"/>
  <c r="AW32" i="3"/>
  <c r="AX21" i="3"/>
  <c r="X45" i="3"/>
  <c r="AW42" i="3"/>
  <c r="X19" i="3"/>
  <c r="AW47" i="3"/>
  <c r="X14" i="3"/>
  <c r="AW10" i="3"/>
  <c r="AX14" i="3"/>
  <c r="AW30" i="3"/>
  <c r="AW38" i="3"/>
  <c r="X26" i="3"/>
  <c r="AU48" i="3"/>
  <c r="AW682" i="3"/>
  <c r="X39" i="3"/>
  <c r="X37" i="3"/>
  <c r="Y683" i="3"/>
  <c r="Z683" i="3" s="1"/>
  <c r="X32" i="3"/>
  <c r="AW11" i="3"/>
  <c r="Y44" i="3"/>
  <c r="Z44" i="3" s="1"/>
  <c r="X44" i="3"/>
  <c r="Y41" i="3"/>
  <c r="Z41" i="3" s="1"/>
  <c r="Y38" i="3"/>
  <c r="Z38" i="3" s="1"/>
  <c r="Y37" i="3"/>
  <c r="Z37" i="3" s="1"/>
  <c r="X15" i="3"/>
  <c r="AW41" i="3"/>
  <c r="AX48" i="3"/>
  <c r="Y28" i="3"/>
  <c r="Z28" i="3" s="1"/>
  <c r="AU41" i="3"/>
  <c r="AX41" i="3"/>
  <c r="AT41" i="3"/>
  <c r="X10" i="3"/>
  <c r="X22" i="3"/>
  <c r="AT9" i="3"/>
  <c r="AX9" i="3"/>
  <c r="AU9" i="3"/>
  <c r="AU3" i="3" s="1"/>
  <c r="AU4" i="3" s="1"/>
  <c r="AT46" i="3"/>
  <c r="AX46" i="3"/>
  <c r="AU46" i="3"/>
  <c r="AX36" i="3"/>
  <c r="AU36" i="3"/>
  <c r="AT36" i="3"/>
  <c r="AW26" i="3"/>
  <c r="AT26" i="3"/>
  <c r="AU26" i="3"/>
  <c r="Y11" i="3"/>
  <c r="Z11" i="3" s="1"/>
  <c r="AW23" i="3"/>
  <c r="AX23" i="3"/>
  <c r="AU23" i="3"/>
  <c r="AT23" i="3"/>
  <c r="AX27" i="3"/>
  <c r="AU27" i="3"/>
  <c r="X16" i="3"/>
  <c r="Y48" i="3"/>
  <c r="Z48" i="3" s="1"/>
  <c r="X18" i="3"/>
  <c r="AU16" i="3"/>
  <c r="AT16" i="3"/>
  <c r="AX16" i="3"/>
  <c r="AX26" i="3"/>
  <c r="AU17" i="3"/>
  <c r="AT17" i="3"/>
  <c r="AX17" i="3"/>
  <c r="AT19" i="3"/>
  <c r="AX19" i="3"/>
  <c r="AU19" i="3"/>
  <c r="AD685" i="3"/>
  <c r="C685" i="3"/>
  <c r="T685" i="3"/>
  <c r="F685" i="3"/>
  <c r="Q685" i="3"/>
  <c r="AQ685" i="3"/>
  <c r="B685" i="3"/>
  <c r="P685" i="3"/>
  <c r="G685" i="3"/>
  <c r="H685" i="3" s="1"/>
  <c r="R685" i="3"/>
  <c r="S685" i="3"/>
  <c r="D685" i="3"/>
  <c r="O685" i="3"/>
  <c r="AR685" i="3"/>
  <c r="V685" i="3"/>
  <c r="AK685" i="3"/>
  <c r="AM685" i="3"/>
  <c r="M685" i="3"/>
  <c r="AF685" i="3"/>
  <c r="AE685" i="3"/>
  <c r="Y26" i="3"/>
  <c r="Z26" i="3" s="1"/>
  <c r="X17" i="3"/>
  <c r="AT45" i="3"/>
  <c r="AU45" i="3"/>
  <c r="AX45" i="3"/>
  <c r="AW45" i="3"/>
  <c r="AX40" i="3"/>
  <c r="AT40" i="3"/>
  <c r="AU40" i="3"/>
  <c r="Y45" i="3"/>
  <c r="Z45" i="3" s="1"/>
  <c r="AT25" i="3"/>
  <c r="AX25" i="3"/>
  <c r="AU25" i="3"/>
  <c r="AX47" i="3"/>
  <c r="AT47" i="3"/>
  <c r="AU47" i="3"/>
  <c r="AX24" i="3"/>
  <c r="AT24" i="3"/>
  <c r="AU24" i="3"/>
  <c r="AT20" i="3"/>
  <c r="AX20" i="3"/>
  <c r="AU20" i="3"/>
  <c r="AW20" i="3"/>
  <c r="AW46" i="3"/>
  <c r="AF684" i="3"/>
  <c r="O684" i="3"/>
  <c r="R684" i="3"/>
  <c r="AQ684" i="3"/>
  <c r="D684" i="3"/>
  <c r="F684" i="3"/>
  <c r="Q684" i="3"/>
  <c r="S684" i="3"/>
  <c r="T684" i="3"/>
  <c r="B684" i="3"/>
  <c r="AR684" i="3"/>
  <c r="P684" i="3"/>
  <c r="G684" i="3"/>
  <c r="H684" i="3" s="1"/>
  <c r="C684" i="3"/>
  <c r="V684" i="3"/>
  <c r="U684" i="3"/>
  <c r="AM684" i="3"/>
  <c r="AK684" i="3"/>
  <c r="AD684" i="3"/>
  <c r="M684" i="3"/>
  <c r="AE684" i="3"/>
  <c r="Y682" i="3"/>
  <c r="Z682" i="3" s="1"/>
  <c r="X36" i="3"/>
  <c r="AW15" i="3"/>
  <c r="X49" i="3"/>
  <c r="X33" i="3"/>
  <c r="Y51" i="3"/>
  <c r="Z51" i="3" s="1"/>
  <c r="AW17" i="3"/>
  <c r="AT683" i="3"/>
  <c r="AU683" i="3"/>
  <c r="AX683" i="3"/>
  <c r="Y36" i="3"/>
  <c r="Z36" i="3" s="1"/>
  <c r="AW14" i="3"/>
  <c r="AU14" i="3"/>
  <c r="AU682" i="3"/>
  <c r="AX682" i="3"/>
  <c r="AT682" i="3"/>
  <c r="X48" i="3"/>
  <c r="Y20" i="3"/>
  <c r="Z20" i="3" s="1"/>
  <c r="X34" i="3"/>
  <c r="Y32" i="3"/>
  <c r="Z32" i="3" s="1"/>
  <c r="AW24" i="3"/>
  <c r="AT31" i="3"/>
  <c r="AU31" i="3"/>
  <c r="AX31" i="3"/>
  <c r="Y46" i="3"/>
  <c r="Z46" i="3" s="1"/>
  <c r="Y10" i="3"/>
  <c r="Z10" i="3" s="1"/>
  <c r="Y30" i="3"/>
  <c r="Z30" i="3" s="1"/>
  <c r="C686" i="3"/>
  <c r="S686" i="3"/>
  <c r="AR686" i="3"/>
  <c r="B686" i="3"/>
  <c r="R686" i="3"/>
  <c r="Q686" i="3"/>
  <c r="D686" i="3"/>
  <c r="G686" i="3"/>
  <c r="H686" i="3" s="1"/>
  <c r="P686" i="3"/>
  <c r="AQ686" i="3"/>
  <c r="O686" i="3"/>
  <c r="T686" i="3"/>
  <c r="F686" i="3"/>
  <c r="V686" i="3"/>
  <c r="U686" i="3"/>
  <c r="AM686" i="3"/>
  <c r="AE686" i="3"/>
  <c r="AK686" i="3"/>
  <c r="M686" i="3"/>
  <c r="AF686" i="3"/>
  <c r="AD686" i="3"/>
  <c r="AT32" i="3"/>
  <c r="AU32" i="3"/>
  <c r="AX32" i="3"/>
  <c r="Y34" i="3"/>
  <c r="Z34" i="3" s="1"/>
  <c r="Y18" i="3"/>
  <c r="Z18" i="3" s="1"/>
  <c r="AW21" i="3"/>
  <c r="AT14" i="3"/>
  <c r="X47" i="3"/>
  <c r="X11" i="3"/>
  <c r="Y42" i="3"/>
  <c r="Z42" i="3" s="1"/>
  <c r="AW13" i="3"/>
  <c r="AT21" i="3"/>
  <c r="Y12" i="3"/>
  <c r="Z12" i="3" s="1"/>
  <c r="AW50" i="3"/>
  <c r="Y39" i="3"/>
  <c r="Z39" i="3" s="1"/>
  <c r="AU21" i="3"/>
  <c r="AT34" i="3"/>
  <c r="AX34" i="3"/>
  <c r="AU34" i="3"/>
  <c r="Y23" i="3"/>
  <c r="Z23" i="3" s="1"/>
  <c r="Y17" i="3"/>
  <c r="Z17" i="3" s="1"/>
  <c r="AT37" i="3"/>
  <c r="AX37" i="3"/>
  <c r="AU37" i="3"/>
  <c r="AT30" i="3"/>
  <c r="X38" i="3"/>
  <c r="AW35" i="3"/>
  <c r="Y25" i="3"/>
  <c r="Z25" i="3" s="1"/>
  <c r="AW44" i="3"/>
  <c r="AU30" i="3"/>
  <c r="Y33" i="3"/>
  <c r="Z33" i="3" s="1"/>
  <c r="X41" i="3"/>
  <c r="Y22" i="3"/>
  <c r="Z22" i="3" s="1"/>
  <c r="AW43" i="3"/>
  <c r="AU50" i="3"/>
  <c r="AU29" i="3"/>
  <c r="AT29" i="3"/>
  <c r="AX29" i="3"/>
  <c r="AT43" i="3"/>
  <c r="AU43" i="3"/>
  <c r="AX43" i="3"/>
  <c r="AW34" i="3"/>
  <c r="X35" i="3"/>
  <c r="X31" i="3"/>
  <c r="AW36" i="3"/>
  <c r="AU10" i="3"/>
  <c r="AT10" i="3"/>
  <c r="AX10" i="3"/>
  <c r="AX49" i="3"/>
  <c r="AT49" i="3"/>
  <c r="AU49" i="3"/>
  <c r="AT22" i="3"/>
  <c r="AU22" i="3"/>
  <c r="AX22" i="3"/>
  <c r="Y16" i="3"/>
  <c r="Z16" i="3" s="1"/>
  <c r="AT42" i="3"/>
  <c r="AX42" i="3"/>
  <c r="AU42" i="3"/>
  <c r="AW18" i="3"/>
  <c r="Y21" i="3"/>
  <c r="Z21" i="3" s="1"/>
  <c r="X43" i="3"/>
  <c r="X683" i="3"/>
  <c r="X29" i="3"/>
  <c r="Y29" i="3"/>
  <c r="Z29" i="3" s="1"/>
  <c r="AH51" i="3"/>
  <c r="AW39" i="3"/>
  <c r="AT39" i="3"/>
  <c r="AU39" i="3"/>
  <c r="AX39" i="3"/>
  <c r="Y19" i="3"/>
  <c r="Z19" i="3" s="1"/>
  <c r="AT33" i="3"/>
  <c r="AU33" i="3"/>
  <c r="AX33" i="3"/>
  <c r="AT12" i="3"/>
  <c r="AX12" i="3"/>
  <c r="AU12" i="3"/>
  <c r="X51" i="3"/>
  <c r="Y24" i="3"/>
  <c r="Z24" i="3" s="1"/>
  <c r="AT13" i="3"/>
  <c r="AX13" i="3"/>
  <c r="AU13" i="3"/>
  <c r="AX35" i="3"/>
  <c r="AU35" i="3"/>
  <c r="AT35" i="3"/>
  <c r="Y31" i="3"/>
  <c r="Z31" i="3" s="1"/>
  <c r="AW37" i="3"/>
  <c r="X23" i="3"/>
  <c r="X20" i="3"/>
  <c r="X27" i="3"/>
  <c r="AW33" i="3"/>
  <c r="AT38" i="3"/>
  <c r="AU38" i="3"/>
  <c r="AX38" i="3"/>
  <c r="C687" i="3"/>
  <c r="V687" i="3"/>
  <c r="P687" i="3"/>
  <c r="Q687" i="3"/>
  <c r="D687" i="3"/>
  <c r="G687" i="3"/>
  <c r="H687" i="3" s="1"/>
  <c r="AR687" i="3"/>
  <c r="O687" i="3"/>
  <c r="R687" i="3"/>
  <c r="S687" i="3"/>
  <c r="F687" i="3"/>
  <c r="AQ687" i="3"/>
  <c r="U687" i="3"/>
  <c r="T687" i="3"/>
  <c r="B687" i="3"/>
  <c r="AM687" i="3"/>
  <c r="AK687" i="3"/>
  <c r="AE687" i="3"/>
  <c r="AD687" i="3"/>
  <c r="M687" i="3"/>
  <c r="AF687" i="3"/>
  <c r="X9" i="3"/>
  <c r="Y40" i="3"/>
  <c r="Z40" i="3" s="1"/>
  <c r="X12" i="3"/>
  <c r="Y35" i="3"/>
  <c r="Z35" i="3" s="1"/>
  <c r="AW683" i="3"/>
  <c r="AW16" i="3"/>
  <c r="Y43" i="3"/>
  <c r="Z43" i="3" s="1"/>
  <c r="AW12" i="3"/>
  <c r="AU15" i="3"/>
  <c r="AX15" i="3"/>
  <c r="AT15" i="3"/>
  <c r="X24" i="3"/>
  <c r="AW9" i="3"/>
  <c r="AI9" i="3"/>
  <c r="AT27" i="3"/>
  <c r="AW27" i="3"/>
  <c r="AT11" i="3"/>
  <c r="AU11" i="3"/>
  <c r="AX11" i="3"/>
  <c r="Y47" i="3"/>
  <c r="Z47" i="3" s="1"/>
  <c r="Y27" i="3"/>
  <c r="Z27" i="3" s="1"/>
  <c r="X46" i="3"/>
  <c r="X25" i="3"/>
  <c r="AW49" i="3"/>
  <c r="AW48" i="3"/>
  <c r="AW29" i="3"/>
  <c r="AQ52" i="3"/>
  <c r="AR52" i="3"/>
  <c r="B52" i="3"/>
  <c r="A53" i="3"/>
  <c r="D52" i="3"/>
  <c r="C52" i="3"/>
  <c r="G52" i="3"/>
  <c r="H52" i="3" s="1"/>
  <c r="F52" i="3"/>
  <c r="BM52" i="3" s="1"/>
  <c r="Q52" i="3"/>
  <c r="S52" i="3"/>
  <c r="O52" i="3"/>
  <c r="U52" i="3"/>
  <c r="AM52" i="3"/>
  <c r="AE52" i="3"/>
  <c r="M52" i="3"/>
  <c r="AD52" i="3"/>
  <c r="AF52" i="3"/>
  <c r="AK52" i="3"/>
  <c r="AW31" i="3"/>
  <c r="AW19" i="3"/>
  <c r="AW28" i="3"/>
  <c r="X28" i="3"/>
  <c r="X30" i="3"/>
  <c r="X682" i="3"/>
  <c r="AX44" i="3"/>
  <c r="AT44" i="3"/>
  <c r="AU44" i="3"/>
  <c r="AX50" i="3"/>
  <c r="AU28" i="3"/>
  <c r="AW25" i="3"/>
  <c r="AN51" i="3"/>
  <c r="AV18" i="3" l="1"/>
  <c r="AY39" i="3"/>
  <c r="AN685" i="3"/>
  <c r="AY30" i="3"/>
  <c r="AY22" i="3"/>
  <c r="AU51" i="3"/>
  <c r="AY16" i="3"/>
  <c r="AO684" i="3"/>
  <c r="AY47" i="3"/>
  <c r="AY29" i="3"/>
  <c r="AV50" i="3"/>
  <c r="Y685" i="3"/>
  <c r="Z685" i="3" s="1"/>
  <c r="AY46" i="3"/>
  <c r="AV48" i="3"/>
  <c r="BA28" i="3"/>
  <c r="BF28" i="3" s="1"/>
  <c r="AY40" i="3"/>
  <c r="AY25" i="3"/>
  <c r="AY23" i="3"/>
  <c r="AY17" i="3"/>
  <c r="AY26" i="3"/>
  <c r="AV28" i="3"/>
  <c r="AY49" i="3"/>
  <c r="AY24" i="3"/>
  <c r="AO687" i="3"/>
  <c r="AV27" i="3"/>
  <c r="AY41" i="3"/>
  <c r="AY42" i="3"/>
  <c r="AY10" i="3"/>
  <c r="AY21" i="3"/>
  <c r="AY32" i="3"/>
  <c r="AY28" i="3"/>
  <c r="AY31" i="3"/>
  <c r="AY9" i="3"/>
  <c r="AH686" i="3"/>
  <c r="AO52" i="3"/>
  <c r="AY682" i="3"/>
  <c r="AY38" i="3"/>
  <c r="AO686" i="3"/>
  <c r="BA18" i="3"/>
  <c r="BF18" i="3" s="1"/>
  <c r="AY14" i="3"/>
  <c r="AY18" i="3"/>
  <c r="AH685" i="3"/>
  <c r="AY33" i="3"/>
  <c r="AY11" i="3"/>
  <c r="AY35" i="3"/>
  <c r="AY50" i="3"/>
  <c r="AY683" i="3"/>
  <c r="AY15" i="3"/>
  <c r="AY36" i="3"/>
  <c r="AG684" i="3"/>
  <c r="BA48" i="3"/>
  <c r="BF48" i="3" s="1"/>
  <c r="BA33" i="3"/>
  <c r="AV33" i="3"/>
  <c r="AY34" i="3"/>
  <c r="BA21" i="3"/>
  <c r="AV21" i="3"/>
  <c r="AH684" i="3"/>
  <c r="AQ53" i="3"/>
  <c r="AR53" i="3"/>
  <c r="A54" i="3"/>
  <c r="B53" i="3"/>
  <c r="D53" i="3"/>
  <c r="C53" i="3"/>
  <c r="G53" i="3"/>
  <c r="H53" i="3" s="1"/>
  <c r="BN53" i="3" s="1"/>
  <c r="F53" i="3"/>
  <c r="S53" i="3"/>
  <c r="Q53" i="3"/>
  <c r="O53" i="3"/>
  <c r="U53" i="3"/>
  <c r="AM53" i="3"/>
  <c r="AD53" i="3"/>
  <c r="AF53" i="3"/>
  <c r="AE53" i="3"/>
  <c r="M53" i="3"/>
  <c r="AK53" i="3"/>
  <c r="V53" i="3"/>
  <c r="P53" i="3"/>
  <c r="R53" i="3"/>
  <c r="T53" i="3"/>
  <c r="AV39" i="3"/>
  <c r="BA39" i="3"/>
  <c r="BA25" i="3"/>
  <c r="AV25" i="3"/>
  <c r="AV29" i="3"/>
  <c r="BA29" i="3"/>
  <c r="BA14" i="3"/>
  <c r="AV14" i="3"/>
  <c r="X684" i="3"/>
  <c r="AY48" i="3"/>
  <c r="X685" i="3"/>
  <c r="AV47" i="3"/>
  <c r="BA47" i="3"/>
  <c r="AN684" i="3"/>
  <c r="AV31" i="3"/>
  <c r="BA31" i="3"/>
  <c r="BA20" i="3"/>
  <c r="AV20" i="3"/>
  <c r="BA24" i="3"/>
  <c r="AV24" i="3"/>
  <c r="BA26" i="3"/>
  <c r="AV26" i="3"/>
  <c r="BA46" i="3"/>
  <c r="AV46" i="3"/>
  <c r="BA37" i="3"/>
  <c r="AV37" i="3"/>
  <c r="AV40" i="3"/>
  <c r="BA40" i="3"/>
  <c r="AY19" i="3"/>
  <c r="BA50" i="3"/>
  <c r="AV23" i="3"/>
  <c r="BA23" i="3"/>
  <c r="AV19" i="3"/>
  <c r="BA19" i="3"/>
  <c r="AG687" i="3"/>
  <c r="AY13" i="3"/>
  <c r="AH687" i="3"/>
  <c r="AY45" i="3"/>
  <c r="BA17" i="3"/>
  <c r="AV17" i="3"/>
  <c r="AV36" i="3"/>
  <c r="BA36" i="3"/>
  <c r="AY27" i="3"/>
  <c r="BA682" i="3"/>
  <c r="AV682" i="3"/>
  <c r="BA9" i="3"/>
  <c r="AV9" i="3"/>
  <c r="AT3" i="3"/>
  <c r="AT4" i="3" s="1"/>
  <c r="AY20" i="3"/>
  <c r="AV11" i="3"/>
  <c r="BA11" i="3"/>
  <c r="AX51" i="3"/>
  <c r="AV45" i="3"/>
  <c r="BA45" i="3"/>
  <c r="AO685" i="3"/>
  <c r="BA32" i="3"/>
  <c r="AV32" i="3"/>
  <c r="X52" i="3"/>
  <c r="Y684" i="3"/>
  <c r="Z684" i="3" s="1"/>
  <c r="AT51" i="3"/>
  <c r="X687" i="3"/>
  <c r="BA15" i="3"/>
  <c r="AV15" i="3"/>
  <c r="AV10" i="3"/>
  <c r="BA10" i="3"/>
  <c r="AV44" i="3"/>
  <c r="BA44" i="3"/>
  <c r="BA38" i="3"/>
  <c r="AV38" i="3"/>
  <c r="AY44" i="3"/>
  <c r="BA42" i="3"/>
  <c r="AV42" i="3"/>
  <c r="AG686" i="3"/>
  <c r="BA16" i="3"/>
  <c r="AV16" i="3"/>
  <c r="BA41" i="3"/>
  <c r="AV41" i="3"/>
  <c r="AV34" i="3"/>
  <c r="BA34" i="3"/>
  <c r="AY37" i="3"/>
  <c r="AN686" i="3"/>
  <c r="AV49" i="3"/>
  <c r="BA49" i="3"/>
  <c r="BA43" i="3"/>
  <c r="AV43" i="3"/>
  <c r="Y687" i="3"/>
  <c r="Z687" i="3" s="1"/>
  <c r="AH52" i="3"/>
  <c r="AG52" i="3"/>
  <c r="AW51" i="3"/>
  <c r="X686" i="3"/>
  <c r="BA12" i="3"/>
  <c r="AV12" i="3"/>
  <c r="AY43" i="3"/>
  <c r="AN52" i="3"/>
  <c r="BN52" i="3"/>
  <c r="AV35" i="3"/>
  <c r="BA35" i="3"/>
  <c r="BA30" i="3"/>
  <c r="AV30" i="3"/>
  <c r="Y686" i="3"/>
  <c r="Z686" i="3" s="1"/>
  <c r="AG685" i="3"/>
  <c r="BA13" i="3"/>
  <c r="AV13" i="3"/>
  <c r="AN687" i="3"/>
  <c r="BA27" i="3"/>
  <c r="AY12" i="3"/>
  <c r="BA22" i="3"/>
  <c r="AV22" i="3"/>
  <c r="AV683" i="3"/>
  <c r="BA683" i="3"/>
  <c r="Y52" i="3"/>
  <c r="Z52" i="3" s="1"/>
  <c r="BM53" i="3" l="1"/>
  <c r="BC30" i="3"/>
  <c r="BD30" i="3" s="1"/>
  <c r="BC18" i="3"/>
  <c r="BD18" i="3" s="1"/>
  <c r="BC39" i="3"/>
  <c r="BD39" i="3" s="1"/>
  <c r="BC22" i="3"/>
  <c r="BD22" i="3" s="1"/>
  <c r="BC47" i="3"/>
  <c r="BD47" i="3" s="1"/>
  <c r="BC25" i="3"/>
  <c r="BD25" i="3" s="1"/>
  <c r="BC50" i="3"/>
  <c r="BD50" i="3" s="1"/>
  <c r="BC29" i="3"/>
  <c r="BD29" i="3" s="1"/>
  <c r="BC49" i="3"/>
  <c r="BD49" i="3" s="1"/>
  <c r="BC24" i="3"/>
  <c r="BD24" i="3" s="1"/>
  <c r="BC48" i="3"/>
  <c r="BD48" i="3" s="1"/>
  <c r="BQ28" i="3"/>
  <c r="BC16" i="3"/>
  <c r="BD16" i="3" s="1"/>
  <c r="AT686" i="3"/>
  <c r="BC27" i="3"/>
  <c r="BD27" i="3" s="1"/>
  <c r="BB28" i="3"/>
  <c r="BC28" i="3"/>
  <c r="BG28" i="3" s="1"/>
  <c r="BH28" i="3" s="1"/>
  <c r="BI28" i="3" s="1"/>
  <c r="BC42" i="3"/>
  <c r="BG42" i="3" s="1"/>
  <c r="BH42" i="3" s="1"/>
  <c r="BI42" i="3" s="1"/>
  <c r="BC17" i="3"/>
  <c r="BD17" i="3" s="1"/>
  <c r="BC23" i="3"/>
  <c r="BG23" i="3" s="1"/>
  <c r="BH23" i="3" s="1"/>
  <c r="BI23" i="3" s="1"/>
  <c r="BC40" i="3"/>
  <c r="BG40" i="3" s="1"/>
  <c r="BH40" i="3" s="1"/>
  <c r="BI40" i="3" s="1"/>
  <c r="BC32" i="3"/>
  <c r="BG32" i="3" s="1"/>
  <c r="BH32" i="3" s="1"/>
  <c r="BI32" i="3" s="1"/>
  <c r="BC46" i="3"/>
  <c r="BG46" i="3" s="1"/>
  <c r="BH46" i="3" s="1"/>
  <c r="BI46" i="3" s="1"/>
  <c r="BC26" i="3"/>
  <c r="BD26" i="3" s="1"/>
  <c r="AG53" i="3"/>
  <c r="BC21" i="3"/>
  <c r="BD21" i="3" s="1"/>
  <c r="BC11" i="3"/>
  <c r="BD11" i="3" s="1"/>
  <c r="AX686" i="3"/>
  <c r="BC9" i="3"/>
  <c r="BD9" i="3" s="1"/>
  <c r="BC31" i="3"/>
  <c r="BG31" i="3" s="1"/>
  <c r="BH31" i="3" s="1"/>
  <c r="BI31" i="3" s="1"/>
  <c r="BC41" i="3"/>
  <c r="BG41" i="3" s="1"/>
  <c r="BH41" i="3" s="1"/>
  <c r="BI41" i="3" s="1"/>
  <c r="BC682" i="3"/>
  <c r="BD682" i="3" s="1"/>
  <c r="AU686" i="3"/>
  <c r="BC15" i="3"/>
  <c r="BD15" i="3" s="1"/>
  <c r="BQ18" i="3"/>
  <c r="BB18" i="3"/>
  <c r="BC12" i="3"/>
  <c r="BD12" i="3" s="1"/>
  <c r="BC14" i="3"/>
  <c r="BG14" i="3" s="1"/>
  <c r="BH14" i="3" s="1"/>
  <c r="BI14" i="3" s="1"/>
  <c r="AU684" i="3"/>
  <c r="BC683" i="3"/>
  <c r="BG683" i="3" s="1"/>
  <c r="BH683" i="3" s="1"/>
  <c r="BI683" i="3" s="1"/>
  <c r="BC36" i="3"/>
  <c r="BG36" i="3" s="1"/>
  <c r="BH36" i="3" s="1"/>
  <c r="BI36" i="3" s="1"/>
  <c r="BC38" i="3"/>
  <c r="BD38" i="3" s="1"/>
  <c r="AW685" i="3"/>
  <c r="AX687" i="3"/>
  <c r="BC35" i="3"/>
  <c r="BG35" i="3" s="1"/>
  <c r="BH35" i="3" s="1"/>
  <c r="BI35" i="3" s="1"/>
  <c r="BC19" i="3"/>
  <c r="BD19" i="3" s="1"/>
  <c r="BC10" i="3"/>
  <c r="BG10" i="3" s="1"/>
  <c r="BH10" i="3" s="1"/>
  <c r="BI10" i="3" s="1"/>
  <c r="BC33" i="3"/>
  <c r="BD33" i="3" s="1"/>
  <c r="BQ48" i="3"/>
  <c r="AN53" i="3"/>
  <c r="BB48" i="3"/>
  <c r="AT52" i="3"/>
  <c r="BC20" i="3"/>
  <c r="BD20" i="3" s="1"/>
  <c r="BQ42" i="3"/>
  <c r="BF42" i="3"/>
  <c r="BB42" i="3"/>
  <c r="AX685" i="3"/>
  <c r="BF36" i="3"/>
  <c r="BB36" i="3"/>
  <c r="BQ36" i="3"/>
  <c r="AT685" i="3"/>
  <c r="AX684" i="3"/>
  <c r="BB13" i="3"/>
  <c r="BQ13" i="3"/>
  <c r="BF13" i="3"/>
  <c r="BF9" i="3"/>
  <c r="BB9" i="3"/>
  <c r="BQ9" i="3"/>
  <c r="BF23" i="3"/>
  <c r="BB23" i="3"/>
  <c r="BQ23" i="3"/>
  <c r="BB21" i="3"/>
  <c r="BF21" i="3"/>
  <c r="BQ21" i="3"/>
  <c r="AH53" i="3"/>
  <c r="AU685" i="3"/>
  <c r="B54" i="3"/>
  <c r="A55" i="3"/>
  <c r="AR54" i="3"/>
  <c r="AQ54" i="3"/>
  <c r="C54" i="3"/>
  <c r="D54" i="3"/>
  <c r="F54" i="3"/>
  <c r="BM54" i="3" s="1"/>
  <c r="G54" i="3"/>
  <c r="H54" i="3" s="1"/>
  <c r="S54" i="3"/>
  <c r="Q54" i="3"/>
  <c r="O54" i="3"/>
  <c r="U54" i="3"/>
  <c r="AD54" i="3"/>
  <c r="AK54" i="3"/>
  <c r="AF54" i="3"/>
  <c r="AM54" i="3"/>
  <c r="M54" i="3"/>
  <c r="AE54" i="3"/>
  <c r="R54" i="3"/>
  <c r="P54" i="3"/>
  <c r="V54" i="3"/>
  <c r="T54" i="3"/>
  <c r="AT684" i="3"/>
  <c r="X53" i="3"/>
  <c r="BB12" i="3"/>
  <c r="BQ12" i="3"/>
  <c r="BF12" i="3"/>
  <c r="AV51" i="3"/>
  <c r="BA51" i="3"/>
  <c r="BB39" i="3"/>
  <c r="BQ39" i="3"/>
  <c r="BF39" i="3"/>
  <c r="BQ33" i="3"/>
  <c r="BB33" i="3"/>
  <c r="BF33" i="3"/>
  <c r="BB47" i="3"/>
  <c r="BQ47" i="3"/>
  <c r="BF47" i="3"/>
  <c r="BB44" i="3"/>
  <c r="BQ44" i="3"/>
  <c r="BF44" i="3"/>
  <c r="BB682" i="3"/>
  <c r="BF682" i="3"/>
  <c r="BB31" i="3"/>
  <c r="BQ31" i="3"/>
  <c r="BF31" i="3"/>
  <c r="BB14" i="3"/>
  <c r="BQ14" i="3"/>
  <c r="BF14" i="3"/>
  <c r="BF20" i="3"/>
  <c r="BQ20" i="3"/>
  <c r="BB20" i="3"/>
  <c r="BB30" i="3"/>
  <c r="BQ30" i="3"/>
  <c r="BF30" i="3"/>
  <c r="AW684" i="3"/>
  <c r="BF50" i="3"/>
  <c r="BB50" i="3"/>
  <c r="BQ50" i="3"/>
  <c r="BF11" i="3"/>
  <c r="BQ11" i="3"/>
  <c r="BB11" i="3"/>
  <c r="BC37" i="3"/>
  <c r="BB38" i="3"/>
  <c r="BQ38" i="3"/>
  <c r="BF38" i="3"/>
  <c r="BC44" i="3"/>
  <c r="AW687" i="3"/>
  <c r="BB29" i="3"/>
  <c r="BQ29" i="3"/>
  <c r="BF29" i="3"/>
  <c r="BJ28" i="3" s="1"/>
  <c r="BK28" i="3" s="1"/>
  <c r="BF43" i="3"/>
  <c r="BB43" i="3"/>
  <c r="BQ43" i="3"/>
  <c r="BF49" i="3"/>
  <c r="BJ48" i="3" s="1"/>
  <c r="BK48" i="3" s="1"/>
  <c r="BQ49" i="3"/>
  <c r="BB49" i="3"/>
  <c r="BQ40" i="3"/>
  <c r="BB40" i="3"/>
  <c r="BF40" i="3"/>
  <c r="BQ37" i="3"/>
  <c r="BB37" i="3"/>
  <c r="BF37" i="3"/>
  <c r="BF15" i="3"/>
  <c r="BB15" i="3"/>
  <c r="BQ15" i="3"/>
  <c r="BB32" i="3"/>
  <c r="BQ32" i="3"/>
  <c r="BF32" i="3"/>
  <c r="BF45" i="3"/>
  <c r="BB45" i="3"/>
  <c r="BQ45" i="3"/>
  <c r="BB34" i="3"/>
  <c r="BQ34" i="3"/>
  <c r="BF34" i="3"/>
  <c r="BF27" i="3"/>
  <c r="BJ27" i="3" s="1"/>
  <c r="BK27" i="3" s="1"/>
  <c r="BB27" i="3"/>
  <c r="BQ27" i="3"/>
  <c r="BB10" i="3"/>
  <c r="BQ10" i="3"/>
  <c r="BF10" i="3"/>
  <c r="BQ19" i="3"/>
  <c r="BB19" i="3"/>
  <c r="BF19" i="3"/>
  <c r="BJ18" i="3" s="1"/>
  <c r="BK18" i="3" s="1"/>
  <c r="AX52" i="3"/>
  <c r="AU52" i="3"/>
  <c r="BQ25" i="3"/>
  <c r="BB25" i="3"/>
  <c r="BF25" i="3"/>
  <c r="BB683" i="3"/>
  <c r="BF683" i="3"/>
  <c r="AU687" i="3"/>
  <c r="BC34" i="3"/>
  <c r="BF46" i="3"/>
  <c r="BB46" i="3"/>
  <c r="BQ46" i="3"/>
  <c r="BF35" i="3"/>
  <c r="BB35" i="3"/>
  <c r="BQ35" i="3"/>
  <c r="BF17" i="3"/>
  <c r="BJ17" i="3" s="1"/>
  <c r="BK17" i="3" s="1"/>
  <c r="BB17" i="3"/>
  <c r="BQ17" i="3"/>
  <c r="AT687" i="3"/>
  <c r="AW52" i="3"/>
  <c r="BC43" i="3"/>
  <c r="BC45" i="3"/>
  <c r="BQ22" i="3"/>
  <c r="BB22" i="3"/>
  <c r="BF22" i="3"/>
  <c r="BF16" i="3"/>
  <c r="BB16" i="3"/>
  <c r="BQ16" i="3"/>
  <c r="Y53" i="3"/>
  <c r="Z53" i="3" s="1"/>
  <c r="BQ24" i="3"/>
  <c r="BB24" i="3"/>
  <c r="BF24" i="3"/>
  <c r="AY51" i="3"/>
  <c r="BF41" i="3"/>
  <c r="BQ41" i="3"/>
  <c r="BB41" i="3"/>
  <c r="BC13" i="3"/>
  <c r="AW686" i="3"/>
  <c r="BF26" i="3"/>
  <c r="BQ26" i="3"/>
  <c r="BB26" i="3"/>
  <c r="AO53" i="3"/>
  <c r="AN54" i="3" l="1"/>
  <c r="BG18" i="3"/>
  <c r="BH18" i="3" s="1"/>
  <c r="BI18" i="3" s="1"/>
  <c r="BG30" i="3"/>
  <c r="BH30" i="3" s="1"/>
  <c r="BI30" i="3" s="1"/>
  <c r="BG22" i="3"/>
  <c r="BH22" i="3" s="1"/>
  <c r="BI22" i="3" s="1"/>
  <c r="BG25" i="3"/>
  <c r="BH25" i="3" s="1"/>
  <c r="BI25" i="3" s="1"/>
  <c r="BG47" i="3"/>
  <c r="BH47" i="3" s="1"/>
  <c r="BI47" i="3" s="1"/>
  <c r="BG39" i="3"/>
  <c r="BH39" i="3" s="1"/>
  <c r="BI39" i="3" s="1"/>
  <c r="BG29" i="3"/>
  <c r="BH29" i="3" s="1"/>
  <c r="BI29" i="3" s="1"/>
  <c r="AV686" i="3"/>
  <c r="BG48" i="3"/>
  <c r="BH48" i="3" s="1"/>
  <c r="BI48" i="3" s="1"/>
  <c r="BG49" i="3"/>
  <c r="BH49" i="3" s="1"/>
  <c r="BI49" i="3" s="1"/>
  <c r="BN54" i="3"/>
  <c r="BG50" i="3"/>
  <c r="BH50" i="3" s="1"/>
  <c r="BI50" i="3" s="1"/>
  <c r="BG27" i="3"/>
  <c r="BH27" i="3" s="1"/>
  <c r="BI27" i="3" s="1"/>
  <c r="BG24" i="3"/>
  <c r="BH24" i="3" s="1"/>
  <c r="BI24" i="3" s="1"/>
  <c r="BD28" i="3"/>
  <c r="BG16" i="3"/>
  <c r="BH16" i="3" s="1"/>
  <c r="BI16" i="3" s="1"/>
  <c r="BD32" i="3"/>
  <c r="BD46" i="3"/>
  <c r="BD42" i="3"/>
  <c r="BG21" i="3"/>
  <c r="BH21" i="3" s="1"/>
  <c r="BI21" i="3" s="1"/>
  <c r="BG17" i="3"/>
  <c r="BH17" i="3" s="1"/>
  <c r="BI17" i="3" s="1"/>
  <c r="BJ42" i="3"/>
  <c r="BK42" i="3" s="1"/>
  <c r="BD31" i="3"/>
  <c r="BG9" i="3"/>
  <c r="BH9" i="3" s="1"/>
  <c r="BI9" i="3" s="1"/>
  <c r="AY686" i="3"/>
  <c r="BG26" i="3"/>
  <c r="BH26" i="3" s="1"/>
  <c r="BI26" i="3" s="1"/>
  <c r="BD23" i="3"/>
  <c r="BG11" i="3"/>
  <c r="BH11" i="3" s="1"/>
  <c r="BI11" i="3" s="1"/>
  <c r="BD41" i="3"/>
  <c r="AT53" i="3"/>
  <c r="BG682" i="3"/>
  <c r="BH682" i="3" s="1"/>
  <c r="BI682" i="3" s="1"/>
  <c r="BD40" i="3"/>
  <c r="BD10" i="3"/>
  <c r="BG38" i="3"/>
  <c r="BH38" i="3" s="1"/>
  <c r="BI38" i="3" s="1"/>
  <c r="BG15" i="3"/>
  <c r="BH15" i="3" s="1"/>
  <c r="BI15" i="3" s="1"/>
  <c r="BD36" i="3"/>
  <c r="BA686" i="3"/>
  <c r="BB686" i="3" s="1"/>
  <c r="BD683" i="3"/>
  <c r="AY684" i="3"/>
  <c r="BD14" i="3"/>
  <c r="BJ49" i="3"/>
  <c r="BK49" i="3" s="1"/>
  <c r="BG12" i="3"/>
  <c r="BH12" i="3" s="1"/>
  <c r="BI12" i="3" s="1"/>
  <c r="BJ39" i="3"/>
  <c r="BK39" i="3" s="1"/>
  <c r="AU53" i="3"/>
  <c r="BG19" i="3"/>
  <c r="BH19" i="3" s="1"/>
  <c r="BI19" i="3" s="1"/>
  <c r="AY687" i="3"/>
  <c r="BD35" i="3"/>
  <c r="BG20" i="3"/>
  <c r="BH20" i="3" s="1"/>
  <c r="BI20" i="3" s="1"/>
  <c r="AY685" i="3"/>
  <c r="BJ31" i="3"/>
  <c r="BK31" i="3" s="1"/>
  <c r="BG33" i="3"/>
  <c r="BH33" i="3" s="1"/>
  <c r="BI33" i="3" s="1"/>
  <c r="BJ21" i="3"/>
  <c r="BK21" i="3" s="1"/>
  <c r="AW53" i="3"/>
  <c r="BJ15" i="3"/>
  <c r="BK15" i="3" s="1"/>
  <c r="BJ46" i="3"/>
  <c r="BK46" i="3" s="1"/>
  <c r="BJ29" i="3"/>
  <c r="BK29" i="3" s="1"/>
  <c r="BJ32" i="3"/>
  <c r="BK32" i="3" s="1"/>
  <c r="BJ38" i="3"/>
  <c r="BK38" i="3" s="1"/>
  <c r="BJ34" i="3"/>
  <c r="BK34" i="3" s="1"/>
  <c r="BA52" i="3"/>
  <c r="BB52" i="3" s="1"/>
  <c r="BJ22" i="3"/>
  <c r="BK22" i="3" s="1"/>
  <c r="BJ11" i="3"/>
  <c r="BK11" i="3" s="1"/>
  <c r="BJ44" i="3"/>
  <c r="BK44" i="3" s="1"/>
  <c r="BJ19" i="3"/>
  <c r="BK19" i="3" s="1"/>
  <c r="BJ16" i="3"/>
  <c r="BK16" i="3" s="1"/>
  <c r="BJ37" i="3"/>
  <c r="BK37" i="3" s="1"/>
  <c r="BJ9" i="3"/>
  <c r="BK9" i="3" s="1"/>
  <c r="BJ13" i="3"/>
  <c r="BK13" i="3" s="1"/>
  <c r="BJ12" i="3"/>
  <c r="BK12" i="3" s="1"/>
  <c r="AV687" i="3"/>
  <c r="BA687" i="3"/>
  <c r="BJ33" i="3"/>
  <c r="BK33" i="3" s="1"/>
  <c r="AQ55" i="3"/>
  <c r="AR55" i="3"/>
  <c r="A56" i="3"/>
  <c r="B55" i="3"/>
  <c r="D55" i="3"/>
  <c r="C55" i="3"/>
  <c r="G55" i="3"/>
  <c r="H55" i="3" s="1"/>
  <c r="F55" i="3"/>
  <c r="BM55" i="3" s="1"/>
  <c r="Q55" i="3"/>
  <c r="S55" i="3"/>
  <c r="O55" i="3"/>
  <c r="U55" i="3"/>
  <c r="AK55" i="3"/>
  <c r="M55" i="3"/>
  <c r="AD55" i="3"/>
  <c r="AM55" i="3"/>
  <c r="AE55" i="3"/>
  <c r="AF55" i="3"/>
  <c r="R55" i="3"/>
  <c r="T55" i="3"/>
  <c r="V55" i="3"/>
  <c r="P55" i="3"/>
  <c r="BF51" i="3"/>
  <c r="BJ50" i="3" s="1"/>
  <c r="BK50" i="3" s="1"/>
  <c r="BB51" i="3"/>
  <c r="BQ51" i="3"/>
  <c r="BJ40" i="3"/>
  <c r="BK40" i="3" s="1"/>
  <c r="AV685" i="3"/>
  <c r="BA685" i="3"/>
  <c r="AO54" i="3"/>
  <c r="BD45" i="3"/>
  <c r="BG45" i="3"/>
  <c r="BH45" i="3" s="1"/>
  <c r="BI45" i="3" s="1"/>
  <c r="AH54" i="3"/>
  <c r="BJ35" i="3"/>
  <c r="BK35" i="3" s="1"/>
  <c r="BG37" i="3"/>
  <c r="BH37" i="3" s="1"/>
  <c r="BI37" i="3" s="1"/>
  <c r="BD37" i="3"/>
  <c r="BJ26" i="3"/>
  <c r="BK26" i="3" s="1"/>
  <c r="BJ25" i="3"/>
  <c r="BK25" i="3" s="1"/>
  <c r="BJ47" i="3"/>
  <c r="BK47" i="3" s="1"/>
  <c r="BJ23" i="3"/>
  <c r="BK23" i="3" s="1"/>
  <c r="BJ45" i="3"/>
  <c r="BK45" i="3" s="1"/>
  <c r="BJ24" i="3"/>
  <c r="BK24" i="3" s="1"/>
  <c r="BJ14" i="3"/>
  <c r="BK14" i="3" s="1"/>
  <c r="BA684" i="3"/>
  <c r="AX53" i="3"/>
  <c r="BJ41" i="3"/>
  <c r="BK41" i="3" s="1"/>
  <c r="BJ10" i="3"/>
  <c r="BK10" i="3" s="1"/>
  <c r="BD43" i="3"/>
  <c r="BG43" i="3"/>
  <c r="BH43" i="3" s="1"/>
  <c r="BI43" i="3" s="1"/>
  <c r="BC51" i="3"/>
  <c r="Y54" i="3"/>
  <c r="Z54" i="3" s="1"/>
  <c r="BJ20" i="3"/>
  <c r="BK20" i="3" s="1"/>
  <c r="AV52" i="3"/>
  <c r="BD13" i="3"/>
  <c r="BG13" i="3"/>
  <c r="BH13" i="3" s="1"/>
  <c r="BI13" i="3" s="1"/>
  <c r="BD44" i="3"/>
  <c r="BG44" i="3"/>
  <c r="BH44" i="3" s="1"/>
  <c r="BI44" i="3" s="1"/>
  <c r="BJ30" i="3"/>
  <c r="BK30" i="3" s="1"/>
  <c r="BJ36" i="3"/>
  <c r="BK36" i="3" s="1"/>
  <c r="AV684" i="3"/>
  <c r="BD34" i="3"/>
  <c r="BG34" i="3"/>
  <c r="BH34" i="3" s="1"/>
  <c r="BI34" i="3" s="1"/>
  <c r="AY52" i="3"/>
  <c r="BJ43" i="3"/>
  <c r="BK43" i="3" s="1"/>
  <c r="X54" i="3"/>
  <c r="AG54" i="3"/>
  <c r="BN55" i="3" l="1"/>
  <c r="BC686" i="3"/>
  <c r="BG686" i="3" s="1"/>
  <c r="BH686" i="3" s="1"/>
  <c r="BI686" i="3" s="1"/>
  <c r="AV53" i="3"/>
  <c r="BF686" i="3"/>
  <c r="AW54" i="3"/>
  <c r="BC684" i="3"/>
  <c r="BG684" i="3" s="1"/>
  <c r="BH684" i="3" s="1"/>
  <c r="BI684" i="3" s="1"/>
  <c r="BQ52" i="3"/>
  <c r="AY53" i="3"/>
  <c r="BC687" i="3"/>
  <c r="BG687" i="3" s="1"/>
  <c r="BH687" i="3" s="1"/>
  <c r="BI687" i="3" s="1"/>
  <c r="BC685" i="3"/>
  <c r="BG685" i="3" s="1"/>
  <c r="BH685" i="3" s="1"/>
  <c r="BI685" i="3" s="1"/>
  <c r="BF52" i="3"/>
  <c r="BJ51" i="3" s="1"/>
  <c r="BK51" i="3" s="1"/>
  <c r="AO55" i="3"/>
  <c r="AG55" i="3"/>
  <c r="BF684" i="3"/>
  <c r="BB684" i="3"/>
  <c r="AN55" i="3"/>
  <c r="BA53" i="3"/>
  <c r="Y55" i="3"/>
  <c r="Z55" i="3" s="1"/>
  <c r="AX54" i="3"/>
  <c r="AH55" i="3"/>
  <c r="X55" i="3"/>
  <c r="AR56" i="3"/>
  <c r="B56" i="3"/>
  <c r="AQ56" i="3"/>
  <c r="A57" i="3"/>
  <c r="D56" i="3"/>
  <c r="C56" i="3"/>
  <c r="G56" i="3"/>
  <c r="H56" i="3" s="1"/>
  <c r="BN56" i="3" s="1"/>
  <c r="F56" i="3"/>
  <c r="BM56" i="3" s="1"/>
  <c r="Q56" i="3"/>
  <c r="S56" i="3"/>
  <c r="O56" i="3"/>
  <c r="U56" i="3"/>
  <c r="AM56" i="3"/>
  <c r="AF56" i="3"/>
  <c r="AK56" i="3"/>
  <c r="AD56" i="3"/>
  <c r="AE56" i="3"/>
  <c r="M56" i="3"/>
  <c r="P56" i="3"/>
  <c r="T56" i="3"/>
  <c r="R56" i="3"/>
  <c r="V56" i="3"/>
  <c r="AT54" i="3"/>
  <c r="AU54" i="3"/>
  <c r="BF685" i="3"/>
  <c r="BB685" i="3"/>
  <c r="BC52" i="3"/>
  <c r="BB687" i="3"/>
  <c r="BF687" i="3"/>
  <c r="BD51" i="3"/>
  <c r="BG51" i="3"/>
  <c r="BH51" i="3" s="1"/>
  <c r="BI51" i="3" s="1"/>
  <c r="BD684" i="3" l="1"/>
  <c r="BD685" i="3"/>
  <c r="BD687" i="3"/>
  <c r="AO56" i="3"/>
  <c r="BD686" i="3"/>
  <c r="AY54" i="3"/>
  <c r="BC53" i="3"/>
  <c r="BD53" i="3" s="1"/>
  <c r="AX55" i="3"/>
  <c r="AH56" i="3"/>
  <c r="AQ57" i="3"/>
  <c r="AR57" i="3"/>
  <c r="A58" i="3"/>
  <c r="B57" i="3"/>
  <c r="D57" i="3"/>
  <c r="C57" i="3"/>
  <c r="G57" i="3"/>
  <c r="H57" i="3" s="1"/>
  <c r="F57" i="3"/>
  <c r="Q57" i="3"/>
  <c r="S57" i="3"/>
  <c r="O57" i="3"/>
  <c r="U57" i="3"/>
  <c r="AK57" i="3"/>
  <c r="AD57" i="3"/>
  <c r="AM57" i="3"/>
  <c r="AF57" i="3"/>
  <c r="AE57" i="3"/>
  <c r="M57" i="3"/>
  <c r="T57" i="3"/>
  <c r="R57" i="3"/>
  <c r="P57" i="3"/>
  <c r="V57" i="3"/>
  <c r="BB53" i="3"/>
  <c r="BQ53" i="3"/>
  <c r="BF53" i="3"/>
  <c r="BJ52" i="3" s="1"/>
  <c r="BA54" i="3"/>
  <c r="AV54" i="3"/>
  <c r="AW55" i="3"/>
  <c r="AT55" i="3"/>
  <c r="AN56" i="3"/>
  <c r="AU55" i="3"/>
  <c r="X56" i="3"/>
  <c r="BD52" i="3"/>
  <c r="BG52" i="3"/>
  <c r="BH52" i="3" s="1"/>
  <c r="BI52" i="3" s="1"/>
  <c r="Y56" i="3"/>
  <c r="Z56" i="3" s="1"/>
  <c r="AG56" i="3"/>
  <c r="BM57" i="3" l="1"/>
  <c r="BC54" i="3"/>
  <c r="BD54" i="3" s="1"/>
  <c r="BG53" i="3"/>
  <c r="BH53" i="3" s="1"/>
  <c r="BI53" i="3" s="1"/>
  <c r="AY55" i="3"/>
  <c r="BN57" i="3"/>
  <c r="AN57" i="3"/>
  <c r="AW56" i="3"/>
  <c r="AG57" i="3"/>
  <c r="AV55" i="3"/>
  <c r="BC55" i="3" s="1"/>
  <c r="AX56" i="3"/>
  <c r="AY56" i="3" s="1"/>
  <c r="BB54" i="3"/>
  <c r="BF54" i="3"/>
  <c r="BQ54" i="3"/>
  <c r="AH57" i="3"/>
  <c r="BK52" i="3"/>
  <c r="Y57" i="3"/>
  <c r="Z57" i="3" s="1"/>
  <c r="AU56" i="3"/>
  <c r="AQ58" i="3"/>
  <c r="B58" i="3"/>
  <c r="AR58" i="3"/>
  <c r="A59" i="3"/>
  <c r="C58" i="3"/>
  <c r="D58" i="3"/>
  <c r="F58" i="3"/>
  <c r="BM58" i="3" s="1"/>
  <c r="G58" i="3"/>
  <c r="H58" i="3" s="1"/>
  <c r="BN58" i="3" s="1"/>
  <c r="Q58" i="3"/>
  <c r="S58" i="3"/>
  <c r="O58" i="3"/>
  <c r="U58" i="3"/>
  <c r="AM58" i="3"/>
  <c r="AK58" i="3"/>
  <c r="AF58" i="3"/>
  <c r="AD58" i="3"/>
  <c r="AE58" i="3"/>
  <c r="M58" i="3"/>
  <c r="P58" i="3"/>
  <c r="T58" i="3"/>
  <c r="V58" i="3"/>
  <c r="R58" i="3"/>
  <c r="AT56" i="3"/>
  <c r="X57" i="3"/>
  <c r="AO57" i="3"/>
  <c r="BA55" i="3"/>
  <c r="AT57" i="3" l="1"/>
  <c r="BG54" i="3"/>
  <c r="BH54" i="3" s="1"/>
  <c r="BI54" i="3" s="1"/>
  <c r="AW57" i="3"/>
  <c r="AO58" i="3"/>
  <c r="AG58" i="3"/>
  <c r="AU57" i="3"/>
  <c r="BD55" i="3"/>
  <c r="BG55" i="3"/>
  <c r="BH55" i="3" s="1"/>
  <c r="BI55" i="3" s="1"/>
  <c r="AN58" i="3"/>
  <c r="X58" i="3"/>
  <c r="AQ59" i="3"/>
  <c r="AR59" i="3"/>
  <c r="A60" i="3"/>
  <c r="B59" i="3"/>
  <c r="D59" i="3"/>
  <c r="C59" i="3"/>
  <c r="F59" i="3"/>
  <c r="G59" i="3"/>
  <c r="H59" i="3" s="1"/>
  <c r="BN59" i="3" s="1"/>
  <c r="Q59" i="3"/>
  <c r="S59" i="3"/>
  <c r="O59" i="3"/>
  <c r="U59" i="3"/>
  <c r="AD59" i="3"/>
  <c r="AK59" i="3"/>
  <c r="AE59" i="3"/>
  <c r="AM59" i="3"/>
  <c r="AF59" i="3"/>
  <c r="M59" i="3"/>
  <c r="T59" i="3"/>
  <c r="P59" i="3"/>
  <c r="R59" i="3"/>
  <c r="V59" i="3"/>
  <c r="BF55" i="3"/>
  <c r="BJ54" i="3" s="1"/>
  <c r="BK54" i="3" s="1"/>
  <c r="BQ55" i="3"/>
  <c r="BB55" i="3"/>
  <c r="BA56" i="3"/>
  <c r="AV56" i="3"/>
  <c r="BC56" i="3" s="1"/>
  <c r="AH58" i="3"/>
  <c r="Y58" i="3"/>
  <c r="Z58" i="3" s="1"/>
  <c r="AX57" i="3"/>
  <c r="BJ53" i="3"/>
  <c r="AV57" i="3" l="1"/>
  <c r="AN59" i="3"/>
  <c r="AY57" i="3"/>
  <c r="BM59" i="3"/>
  <c r="BA57" i="3"/>
  <c r="BF57" i="3" s="1"/>
  <c r="AX58" i="3"/>
  <c r="BF56" i="3"/>
  <c r="BJ55" i="3" s="1"/>
  <c r="BK55" i="3" s="1"/>
  <c r="BB56" i="3"/>
  <c r="BQ56" i="3"/>
  <c r="X59" i="3"/>
  <c r="BK53" i="3"/>
  <c r="BB57" i="3"/>
  <c r="BQ57" i="3"/>
  <c r="AH59" i="3"/>
  <c r="Y59" i="3"/>
  <c r="Z59" i="3" s="1"/>
  <c r="BD56" i="3"/>
  <c r="BG56" i="3"/>
  <c r="BH56" i="3" s="1"/>
  <c r="BI56" i="3" s="1"/>
  <c r="AO59" i="3"/>
  <c r="AG59" i="3"/>
  <c r="B60" i="3"/>
  <c r="A61" i="3"/>
  <c r="AR60" i="3"/>
  <c r="AQ60" i="3"/>
  <c r="C60" i="3"/>
  <c r="D60" i="3"/>
  <c r="G60" i="3"/>
  <c r="H60" i="3" s="1"/>
  <c r="F60" i="3"/>
  <c r="BM60" i="3" s="1"/>
  <c r="Q60" i="3"/>
  <c r="S60" i="3"/>
  <c r="O60" i="3"/>
  <c r="U60" i="3"/>
  <c r="AK60" i="3"/>
  <c r="AD60" i="3"/>
  <c r="AM60" i="3"/>
  <c r="AE60" i="3"/>
  <c r="AF60" i="3"/>
  <c r="M60" i="3"/>
  <c r="P60" i="3"/>
  <c r="V60" i="3"/>
  <c r="R60" i="3"/>
  <c r="T60" i="3"/>
  <c r="AU58" i="3"/>
  <c r="AT58" i="3"/>
  <c r="AW58" i="3"/>
  <c r="AY58" i="3" s="1"/>
  <c r="BJ56" i="3" l="1"/>
  <c r="BK56" i="3" s="1"/>
  <c r="BN60" i="3"/>
  <c r="BC57" i="3"/>
  <c r="BD57" i="3" s="1"/>
  <c r="BG57" i="3"/>
  <c r="BH57" i="3" s="1"/>
  <c r="BI57" i="3" s="1"/>
  <c r="AW59" i="3"/>
  <c r="AN60" i="3"/>
  <c r="AG60" i="3"/>
  <c r="AU59" i="3"/>
  <c r="AT59" i="3"/>
  <c r="AX59" i="3"/>
  <c r="A62" i="3"/>
  <c r="D61" i="3"/>
  <c r="AR61" i="3"/>
  <c r="AQ61" i="3"/>
  <c r="B61" i="3"/>
  <c r="C61" i="3"/>
  <c r="F61" i="3"/>
  <c r="BM61" i="3" s="1"/>
  <c r="G61" i="3"/>
  <c r="H61" i="3" s="1"/>
  <c r="BN61" i="3" s="1"/>
  <c r="Q61" i="3"/>
  <c r="S61" i="3"/>
  <c r="O61" i="3"/>
  <c r="U61" i="3"/>
  <c r="AE61" i="3"/>
  <c r="AM61" i="3"/>
  <c r="AF61" i="3"/>
  <c r="AD61" i="3"/>
  <c r="M61" i="3"/>
  <c r="AK61" i="3"/>
  <c r="R61" i="3"/>
  <c r="P61" i="3"/>
  <c r="V61" i="3"/>
  <c r="T61" i="3"/>
  <c r="X60" i="3"/>
  <c r="AH60" i="3"/>
  <c r="BA58" i="3"/>
  <c r="AV58" i="3"/>
  <c r="BC58" i="3" s="1"/>
  <c r="Y60" i="3"/>
  <c r="Z60" i="3" s="1"/>
  <c r="AO60" i="3"/>
  <c r="AY59" i="3" l="1"/>
  <c r="AO61" i="3"/>
  <c r="AH61" i="3"/>
  <c r="AX60" i="3"/>
  <c r="Y61" i="3"/>
  <c r="Z61" i="3" s="1"/>
  <c r="AW60" i="3"/>
  <c r="AV59" i="3"/>
  <c r="BC59" i="3" s="1"/>
  <c r="BA59" i="3"/>
  <c r="AU60" i="3"/>
  <c r="AG61" i="3"/>
  <c r="AT60" i="3"/>
  <c r="X61" i="3"/>
  <c r="AQ62" i="3"/>
  <c r="B62" i="3"/>
  <c r="A63" i="3"/>
  <c r="AR62" i="3"/>
  <c r="D62" i="3"/>
  <c r="C62" i="3"/>
  <c r="G62" i="3"/>
  <c r="H62" i="3" s="1"/>
  <c r="BN62" i="3" s="1"/>
  <c r="F62" i="3"/>
  <c r="BM62" i="3" s="1"/>
  <c r="Q62" i="3"/>
  <c r="S62" i="3"/>
  <c r="O62" i="3"/>
  <c r="U62" i="3"/>
  <c r="AM62" i="3"/>
  <c r="AE62" i="3"/>
  <c r="AD62" i="3"/>
  <c r="M62" i="3"/>
  <c r="AF62" i="3"/>
  <c r="AK62" i="3"/>
  <c r="P62" i="3"/>
  <c r="V62" i="3"/>
  <c r="T62" i="3"/>
  <c r="R62" i="3"/>
  <c r="BD58" i="3"/>
  <c r="BG58" i="3"/>
  <c r="BH58" i="3" s="1"/>
  <c r="BI58" i="3" s="1"/>
  <c r="AN61" i="3"/>
  <c r="BB58" i="3"/>
  <c r="BQ58" i="3"/>
  <c r="BF58" i="3"/>
  <c r="BJ57" i="3" s="1"/>
  <c r="BK57" i="3" s="1"/>
  <c r="AY60" i="3" l="1"/>
  <c r="AW61" i="3"/>
  <c r="AO62" i="3"/>
  <c r="AX61" i="3"/>
  <c r="Y62" i="3"/>
  <c r="Z62" i="3" s="1"/>
  <c r="AN62" i="3"/>
  <c r="AH62" i="3"/>
  <c r="X62" i="3"/>
  <c r="AR63" i="3"/>
  <c r="B63" i="3"/>
  <c r="A64" i="3"/>
  <c r="AQ63" i="3"/>
  <c r="D63" i="3"/>
  <c r="C63" i="3"/>
  <c r="F63" i="3"/>
  <c r="BM63" i="3" s="1"/>
  <c r="G63" i="3"/>
  <c r="H63" i="3" s="1"/>
  <c r="BN63" i="3" s="1"/>
  <c r="Q63" i="3"/>
  <c r="S63" i="3"/>
  <c r="O63" i="3"/>
  <c r="U63" i="3"/>
  <c r="AM63" i="3"/>
  <c r="M63" i="3"/>
  <c r="AK63" i="3"/>
  <c r="AE63" i="3"/>
  <c r="AF63" i="3"/>
  <c r="AD63" i="3"/>
  <c r="T63" i="3"/>
  <c r="P63" i="3"/>
  <c r="V63" i="3"/>
  <c r="R63" i="3"/>
  <c r="AT61" i="3"/>
  <c r="AG62" i="3"/>
  <c r="AV60" i="3"/>
  <c r="BC60" i="3" s="1"/>
  <c r="BA60" i="3"/>
  <c r="BQ59" i="3"/>
  <c r="BB59" i="3"/>
  <c r="BF59" i="3"/>
  <c r="BJ58" i="3" s="1"/>
  <c r="BK58" i="3" s="1"/>
  <c r="BD59" i="3"/>
  <c r="BG59" i="3"/>
  <c r="BH59" i="3" s="1"/>
  <c r="BI59" i="3" s="1"/>
  <c r="AU61" i="3"/>
  <c r="AO63" i="3" l="1"/>
  <c r="AY61" i="3"/>
  <c r="AW62" i="3"/>
  <c r="Y63" i="3"/>
  <c r="Z63" i="3" s="1"/>
  <c r="X63" i="3"/>
  <c r="AH63" i="3"/>
  <c r="BQ60" i="3"/>
  <c r="BB60" i="3"/>
  <c r="BF60" i="3"/>
  <c r="BJ59" i="3" s="1"/>
  <c r="BK59" i="3" s="1"/>
  <c r="BD60" i="3"/>
  <c r="BG60" i="3"/>
  <c r="BH60" i="3" s="1"/>
  <c r="BI60" i="3" s="1"/>
  <c r="AQ64" i="3"/>
  <c r="B64" i="3"/>
  <c r="A65" i="3"/>
  <c r="AR64" i="3"/>
  <c r="C64" i="3"/>
  <c r="D64" i="3"/>
  <c r="F64" i="3"/>
  <c r="G64" i="3"/>
  <c r="H64" i="3" s="1"/>
  <c r="Q64" i="3"/>
  <c r="S64" i="3"/>
  <c r="O64" i="3"/>
  <c r="U64" i="3"/>
  <c r="AM64" i="3"/>
  <c r="AF64" i="3"/>
  <c r="M64" i="3"/>
  <c r="AK64" i="3"/>
  <c r="AE64" i="3"/>
  <c r="AD64" i="3"/>
  <c r="R64" i="3"/>
  <c r="V64" i="3"/>
  <c r="T64" i="3"/>
  <c r="P64" i="3"/>
  <c r="BA61" i="3"/>
  <c r="AV61" i="3"/>
  <c r="AG63" i="3"/>
  <c r="AT62" i="3"/>
  <c r="AN63" i="3"/>
  <c r="AX62" i="3"/>
  <c r="AY62" i="3" s="1"/>
  <c r="AU62" i="3"/>
  <c r="BC61" i="3" l="1"/>
  <c r="BG61" i="3" s="1"/>
  <c r="BH61" i="3" s="1"/>
  <c r="BI61" i="3" s="1"/>
  <c r="BN64" i="3"/>
  <c r="AO64" i="3"/>
  <c r="BM64" i="3"/>
  <c r="AG64" i="3"/>
  <c r="AW63" i="3"/>
  <c r="BB61" i="3"/>
  <c r="BQ61" i="3"/>
  <c r="BF61" i="3"/>
  <c r="BJ60" i="3" s="1"/>
  <c r="BK60" i="3" s="1"/>
  <c r="AH64" i="3"/>
  <c r="AT64" i="3" s="1"/>
  <c r="AX63" i="3"/>
  <c r="AN64" i="3"/>
  <c r="AT63" i="3"/>
  <c r="X64" i="3"/>
  <c r="BA62" i="3"/>
  <c r="AV62" i="3"/>
  <c r="BC62" i="3" s="1"/>
  <c r="Y64" i="3"/>
  <c r="Z64" i="3" s="1"/>
  <c r="B65" i="3"/>
  <c r="AQ65" i="3"/>
  <c r="AR65" i="3"/>
  <c r="A66" i="3"/>
  <c r="C65" i="3"/>
  <c r="D65" i="3"/>
  <c r="F65" i="3"/>
  <c r="G65" i="3"/>
  <c r="H65" i="3" s="1"/>
  <c r="Q65" i="3"/>
  <c r="S65" i="3"/>
  <c r="O65" i="3"/>
  <c r="U65" i="3"/>
  <c r="AD65" i="3"/>
  <c r="AF65" i="3"/>
  <c r="AK65" i="3"/>
  <c r="AM65" i="3"/>
  <c r="M65" i="3"/>
  <c r="AE65" i="3"/>
  <c r="R65" i="3"/>
  <c r="P65" i="3"/>
  <c r="T65" i="3"/>
  <c r="V65" i="3"/>
  <c r="AU63" i="3"/>
  <c r="BD61" i="3" l="1"/>
  <c r="BN65" i="3"/>
  <c r="BM65" i="3"/>
  <c r="AN65" i="3"/>
  <c r="AY63" i="3"/>
  <c r="AW64" i="3"/>
  <c r="AH65" i="3"/>
  <c r="BD62" i="3"/>
  <c r="BG62" i="3"/>
  <c r="BH62" i="3" s="1"/>
  <c r="BI62" i="3" s="1"/>
  <c r="AV63" i="3"/>
  <c r="BA63" i="3"/>
  <c r="AQ66" i="3"/>
  <c r="A67" i="3"/>
  <c r="AR66" i="3"/>
  <c r="B66" i="3"/>
  <c r="D66" i="3"/>
  <c r="C66" i="3"/>
  <c r="F66" i="3"/>
  <c r="BM66" i="3" s="1"/>
  <c r="G66" i="3"/>
  <c r="H66" i="3" s="1"/>
  <c r="BN66" i="3" s="1"/>
  <c r="Q66" i="3"/>
  <c r="S66" i="3"/>
  <c r="O66" i="3"/>
  <c r="U66" i="3"/>
  <c r="AK66" i="3"/>
  <c r="AD66" i="3"/>
  <c r="AF66" i="3"/>
  <c r="AM66" i="3"/>
  <c r="AE66" i="3"/>
  <c r="M66" i="3"/>
  <c r="T66" i="3"/>
  <c r="V66" i="3"/>
  <c r="R66" i="3"/>
  <c r="P66" i="3"/>
  <c r="Y65" i="3"/>
  <c r="Z65" i="3" s="1"/>
  <c r="AO65" i="3"/>
  <c r="X65" i="3"/>
  <c r="AX64" i="3"/>
  <c r="BB62" i="3"/>
  <c r="BQ62" i="3"/>
  <c r="BF62" i="3"/>
  <c r="BJ61" i="3" s="1"/>
  <c r="BK61" i="3" s="1"/>
  <c r="AU64" i="3"/>
  <c r="AV64" i="3" s="1"/>
  <c r="AG65" i="3"/>
  <c r="AN66" i="3" l="1"/>
  <c r="AG66" i="3"/>
  <c r="AY64" i="3"/>
  <c r="BC64" i="3" s="1"/>
  <c r="BC63" i="3"/>
  <c r="BD63" i="3" s="1"/>
  <c r="Y66" i="3"/>
  <c r="Z66" i="3" s="1"/>
  <c r="AO66" i="3"/>
  <c r="AQ67" i="3"/>
  <c r="B67" i="3"/>
  <c r="AR67" i="3"/>
  <c r="A68" i="3"/>
  <c r="D67" i="3"/>
  <c r="C67" i="3"/>
  <c r="F67" i="3"/>
  <c r="BM67" i="3" s="1"/>
  <c r="G67" i="3"/>
  <c r="H67" i="3" s="1"/>
  <c r="BN67" i="3" s="1"/>
  <c r="Q67" i="3"/>
  <c r="S67" i="3"/>
  <c r="O67" i="3"/>
  <c r="U67" i="3"/>
  <c r="M67" i="3"/>
  <c r="AK67" i="3"/>
  <c r="AM67" i="3"/>
  <c r="AE67" i="3"/>
  <c r="AD67" i="3"/>
  <c r="AF67" i="3"/>
  <c r="R67" i="3"/>
  <c r="P67" i="3"/>
  <c r="V67" i="3"/>
  <c r="T67" i="3"/>
  <c r="AH66" i="3"/>
  <c r="AW65" i="3"/>
  <c r="BQ63" i="3"/>
  <c r="BB63" i="3"/>
  <c r="BF63" i="3"/>
  <c r="BJ62" i="3" s="1"/>
  <c r="BK62" i="3" s="1"/>
  <c r="X66" i="3"/>
  <c r="BA64" i="3"/>
  <c r="AT65" i="3"/>
  <c r="AU65" i="3"/>
  <c r="AX65" i="3"/>
  <c r="AY65" i="3" l="1"/>
  <c r="AX66" i="3"/>
  <c r="AN67" i="3"/>
  <c r="BG63" i="3"/>
  <c r="BH63" i="3" s="1"/>
  <c r="BI63" i="3" s="1"/>
  <c r="AH67" i="3"/>
  <c r="Y67" i="3"/>
  <c r="Z67" i="3" s="1"/>
  <c r="AT66" i="3"/>
  <c r="AQ68" i="3"/>
  <c r="A69" i="3"/>
  <c r="B68" i="3"/>
  <c r="AR68" i="3"/>
  <c r="D68" i="3"/>
  <c r="C68" i="3"/>
  <c r="F68" i="3"/>
  <c r="BM68" i="3" s="1"/>
  <c r="G68" i="3"/>
  <c r="H68" i="3" s="1"/>
  <c r="BN68" i="3" s="1"/>
  <c r="S68" i="3"/>
  <c r="Q68" i="3"/>
  <c r="O68" i="3"/>
  <c r="U68" i="3"/>
  <c r="AM68" i="3"/>
  <c r="AK68" i="3"/>
  <c r="M68" i="3"/>
  <c r="AE68" i="3"/>
  <c r="AF68" i="3"/>
  <c r="AD68" i="3"/>
  <c r="P68" i="3"/>
  <c r="R68" i="3"/>
  <c r="V68" i="3"/>
  <c r="T68" i="3"/>
  <c r="AG67" i="3"/>
  <c r="AO67" i="3"/>
  <c r="X67" i="3"/>
  <c r="AU66" i="3"/>
  <c r="BA65" i="3"/>
  <c r="AV65" i="3"/>
  <c r="BG64" i="3"/>
  <c r="BH64" i="3" s="1"/>
  <c r="BI64" i="3" s="1"/>
  <c r="BD64" i="3"/>
  <c r="BF64" i="3"/>
  <c r="BJ63" i="3" s="1"/>
  <c r="BK63" i="3" s="1"/>
  <c r="BB64" i="3"/>
  <c r="BQ64" i="3"/>
  <c r="AW66" i="3"/>
  <c r="AY66" i="3" s="1"/>
  <c r="BC65" i="3" l="1"/>
  <c r="BG65" i="3" s="1"/>
  <c r="BH65" i="3" s="1"/>
  <c r="BI65" i="3" s="1"/>
  <c r="AT67" i="3"/>
  <c r="AH68" i="3"/>
  <c r="AO68" i="3"/>
  <c r="AN68" i="3"/>
  <c r="BF65" i="3"/>
  <c r="BB65" i="3"/>
  <c r="BQ65" i="3"/>
  <c r="C69" i="3"/>
  <c r="AQ69" i="3"/>
  <c r="AR69" i="3"/>
  <c r="A70" i="3"/>
  <c r="B69" i="3"/>
  <c r="D69" i="3"/>
  <c r="G69" i="3"/>
  <c r="H69" i="3" s="1"/>
  <c r="BN69" i="3" s="1"/>
  <c r="F69" i="3"/>
  <c r="BM69" i="3" s="1"/>
  <c r="Q69" i="3"/>
  <c r="S69" i="3"/>
  <c r="O69" i="3"/>
  <c r="U69" i="3"/>
  <c r="AE69" i="3"/>
  <c r="AD69" i="3"/>
  <c r="AM69" i="3"/>
  <c r="AK69" i="3"/>
  <c r="M69" i="3"/>
  <c r="AF69" i="3"/>
  <c r="V69" i="3"/>
  <c r="T69" i="3"/>
  <c r="P69" i="3"/>
  <c r="R69" i="3"/>
  <c r="Y68" i="3"/>
  <c r="Z68" i="3" s="1"/>
  <c r="AW67" i="3"/>
  <c r="AU67" i="3"/>
  <c r="AX67" i="3"/>
  <c r="AG68" i="3"/>
  <c r="X68" i="3"/>
  <c r="AV66" i="3"/>
  <c r="BC66" i="3" s="1"/>
  <c r="BA66" i="3"/>
  <c r="BD65" i="3" l="1"/>
  <c r="AH69" i="3"/>
  <c r="AY67" i="3"/>
  <c r="AW68" i="3"/>
  <c r="BA67" i="3"/>
  <c r="BB67" i="3" s="1"/>
  <c r="AO69" i="3"/>
  <c r="AT68" i="3"/>
  <c r="AU68" i="3"/>
  <c r="AV68" i="3" s="1"/>
  <c r="AX68" i="3"/>
  <c r="AY68" i="3" s="1"/>
  <c r="BF67" i="3"/>
  <c r="AN69" i="3"/>
  <c r="AQ70" i="3"/>
  <c r="B70" i="3"/>
  <c r="A71" i="3"/>
  <c r="AR70" i="3"/>
  <c r="D70" i="3"/>
  <c r="C70" i="3"/>
  <c r="G70" i="3"/>
  <c r="H70" i="3" s="1"/>
  <c r="BN70" i="3" s="1"/>
  <c r="F70" i="3"/>
  <c r="BM70" i="3" s="1"/>
  <c r="S70" i="3"/>
  <c r="Q70" i="3"/>
  <c r="O70" i="3"/>
  <c r="U70" i="3"/>
  <c r="AM70" i="3"/>
  <c r="M70" i="3"/>
  <c r="AF70" i="3"/>
  <c r="AE70" i="3"/>
  <c r="AD70" i="3"/>
  <c r="AK70" i="3"/>
  <c r="V70" i="3"/>
  <c r="R70" i="3"/>
  <c r="T70" i="3"/>
  <c r="P70" i="3"/>
  <c r="BF66" i="3"/>
  <c r="BJ65" i="3" s="1"/>
  <c r="BK65" i="3" s="1"/>
  <c r="BB66" i="3"/>
  <c r="BQ66" i="3"/>
  <c r="AG69" i="3"/>
  <c r="BD66" i="3"/>
  <c r="BG66" i="3"/>
  <c r="BH66" i="3" s="1"/>
  <c r="BI66" i="3" s="1"/>
  <c r="Y69" i="3"/>
  <c r="Z69" i="3" s="1"/>
  <c r="AV67" i="3"/>
  <c r="BC67" i="3" s="1"/>
  <c r="X69" i="3"/>
  <c r="BJ64" i="3"/>
  <c r="BK64" i="3" s="1"/>
  <c r="BQ67" i="3" l="1"/>
  <c r="AO70" i="3"/>
  <c r="AT69" i="3"/>
  <c r="AX69" i="3"/>
  <c r="AU69" i="3"/>
  <c r="AV69" i="3" s="1"/>
  <c r="BA68" i="3"/>
  <c r="BF68" i="3" s="1"/>
  <c r="BJ67" i="3" s="1"/>
  <c r="BK67" i="3" s="1"/>
  <c r="AG70" i="3"/>
  <c r="BC68" i="3"/>
  <c r="BD68" i="3" s="1"/>
  <c r="Y70" i="3"/>
  <c r="Z70" i="3" s="1"/>
  <c r="X70" i="3"/>
  <c r="AH70" i="3"/>
  <c r="AQ71" i="3"/>
  <c r="A72" i="3"/>
  <c r="B71" i="3"/>
  <c r="AR71" i="3"/>
  <c r="C71" i="3"/>
  <c r="D71" i="3"/>
  <c r="F71" i="3"/>
  <c r="BM71" i="3" s="1"/>
  <c r="G71" i="3"/>
  <c r="H71" i="3" s="1"/>
  <c r="BN71" i="3" s="1"/>
  <c r="Q71" i="3"/>
  <c r="S71" i="3"/>
  <c r="O71" i="3"/>
  <c r="U71" i="3"/>
  <c r="AD71" i="3"/>
  <c r="AM71" i="3"/>
  <c r="AE71" i="3"/>
  <c r="AK71" i="3"/>
  <c r="M71" i="3"/>
  <c r="AF71" i="3"/>
  <c r="V71" i="3"/>
  <c r="R71" i="3"/>
  <c r="P71" i="3"/>
  <c r="T71" i="3"/>
  <c r="AN70" i="3"/>
  <c r="AW69" i="3"/>
  <c r="BD67" i="3"/>
  <c r="BG67" i="3"/>
  <c r="BH67" i="3" s="1"/>
  <c r="BI67" i="3" s="1"/>
  <c r="BJ66" i="3"/>
  <c r="BK66" i="3" s="1"/>
  <c r="BG68" i="3" l="1"/>
  <c r="BH68" i="3" s="1"/>
  <c r="BI68" i="3" s="1"/>
  <c r="AY69" i="3"/>
  <c r="BC69" i="3" s="1"/>
  <c r="AX70" i="3"/>
  <c r="BB68" i="3"/>
  <c r="BQ68" i="3"/>
  <c r="AO71" i="3"/>
  <c r="AU70" i="3"/>
  <c r="AN71" i="3"/>
  <c r="AG71" i="3"/>
  <c r="AH71" i="3"/>
  <c r="AQ72" i="3"/>
  <c r="B72" i="3"/>
  <c r="A73" i="3"/>
  <c r="AR72" i="3"/>
  <c r="C72" i="3"/>
  <c r="D72" i="3"/>
  <c r="F72" i="3"/>
  <c r="BM72" i="3" s="1"/>
  <c r="G72" i="3"/>
  <c r="H72" i="3" s="1"/>
  <c r="BN72" i="3" s="1"/>
  <c r="Q72" i="3"/>
  <c r="S72" i="3"/>
  <c r="O72" i="3"/>
  <c r="U72" i="3"/>
  <c r="AM72" i="3"/>
  <c r="M72" i="3"/>
  <c r="AD72" i="3"/>
  <c r="AK72" i="3"/>
  <c r="AE72" i="3"/>
  <c r="AF72" i="3"/>
  <c r="P72" i="3"/>
  <c r="V72" i="3"/>
  <c r="T72" i="3"/>
  <c r="R72" i="3"/>
  <c r="BA69" i="3"/>
  <c r="AT70" i="3"/>
  <c r="AW70" i="3"/>
  <c r="Y71" i="3"/>
  <c r="Z71" i="3" s="1"/>
  <c r="X71" i="3"/>
  <c r="AY70" i="3" l="1"/>
  <c r="AO72" i="3"/>
  <c r="AG72" i="3"/>
  <c r="AV70" i="3"/>
  <c r="BA70" i="3"/>
  <c r="AN72" i="3"/>
  <c r="A74" i="3"/>
  <c r="B73" i="3"/>
  <c r="AQ73" i="3"/>
  <c r="AR73" i="3"/>
  <c r="C73" i="3"/>
  <c r="D73" i="3"/>
  <c r="F73" i="3"/>
  <c r="BM73" i="3" s="1"/>
  <c r="G73" i="3"/>
  <c r="H73" i="3" s="1"/>
  <c r="BN73" i="3" s="1"/>
  <c r="Q73" i="3"/>
  <c r="S73" i="3"/>
  <c r="O73" i="3"/>
  <c r="U73" i="3"/>
  <c r="AK73" i="3"/>
  <c r="AE73" i="3"/>
  <c r="AM73" i="3"/>
  <c r="AD73" i="3"/>
  <c r="M73" i="3"/>
  <c r="AF73" i="3"/>
  <c r="T73" i="3"/>
  <c r="P73" i="3"/>
  <c r="V73" i="3"/>
  <c r="R73" i="3"/>
  <c r="AH72" i="3"/>
  <c r="Y72" i="3"/>
  <c r="Z72" i="3" s="1"/>
  <c r="AW71" i="3"/>
  <c r="AX71" i="3"/>
  <c r="AT71" i="3"/>
  <c r="AU71" i="3"/>
  <c r="BF69" i="3"/>
  <c r="BJ68" i="3" s="1"/>
  <c r="BK68" i="3" s="1"/>
  <c r="BQ69" i="3"/>
  <c r="BB69" i="3"/>
  <c r="X72" i="3"/>
  <c r="BD69" i="3"/>
  <c r="BG69" i="3"/>
  <c r="BH69" i="3" s="1"/>
  <c r="BI69" i="3" s="1"/>
  <c r="BC70" i="3" l="1"/>
  <c r="AN73" i="3"/>
  <c r="AX72" i="3"/>
  <c r="AH73" i="3"/>
  <c r="AU72" i="3"/>
  <c r="Y73" i="3"/>
  <c r="Z73" i="3" s="1"/>
  <c r="AY71" i="3"/>
  <c r="AO73" i="3"/>
  <c r="AG73" i="3"/>
  <c r="X73" i="3"/>
  <c r="AT72" i="3"/>
  <c r="A75" i="3"/>
  <c r="AR74" i="3"/>
  <c r="AQ74" i="3"/>
  <c r="B74" i="3"/>
  <c r="C74" i="3"/>
  <c r="D74" i="3"/>
  <c r="F74" i="3"/>
  <c r="BM74" i="3" s="1"/>
  <c r="G74" i="3"/>
  <c r="H74" i="3" s="1"/>
  <c r="BN74" i="3" s="1"/>
  <c r="S74" i="3"/>
  <c r="Q74" i="3"/>
  <c r="O74" i="3"/>
  <c r="U74" i="3"/>
  <c r="AD74" i="3"/>
  <c r="AK74" i="3"/>
  <c r="AM74" i="3"/>
  <c r="M74" i="3"/>
  <c r="AE74" i="3"/>
  <c r="AF74" i="3"/>
  <c r="P74" i="3"/>
  <c r="R74" i="3"/>
  <c r="T74" i="3"/>
  <c r="V74" i="3"/>
  <c r="BB70" i="3"/>
  <c r="BQ70" i="3"/>
  <c r="BF70" i="3"/>
  <c r="BJ69" i="3" s="1"/>
  <c r="BK69" i="3" s="1"/>
  <c r="AW72" i="3"/>
  <c r="BA71" i="3"/>
  <c r="AV71" i="3"/>
  <c r="BD70" i="3"/>
  <c r="BG70" i="3"/>
  <c r="BH70" i="3" s="1"/>
  <c r="BI70" i="3" s="1"/>
  <c r="AY72" i="3" l="1"/>
  <c r="AT73" i="3"/>
  <c r="AN74" i="3"/>
  <c r="Y74" i="3"/>
  <c r="Z74" i="3" s="1"/>
  <c r="BC71" i="3"/>
  <c r="BD71" i="3" s="1"/>
  <c r="AW73" i="3"/>
  <c r="AU73" i="3"/>
  <c r="AG74" i="3"/>
  <c r="X74" i="3"/>
  <c r="AR75" i="3"/>
  <c r="A76" i="3"/>
  <c r="AQ75" i="3"/>
  <c r="B75" i="3"/>
  <c r="C75" i="3"/>
  <c r="D75" i="3"/>
  <c r="F75" i="3"/>
  <c r="BM75" i="3" s="1"/>
  <c r="G75" i="3"/>
  <c r="H75" i="3" s="1"/>
  <c r="BN75" i="3" s="1"/>
  <c r="Q75" i="3"/>
  <c r="S75" i="3"/>
  <c r="O75" i="3"/>
  <c r="U75" i="3"/>
  <c r="AD75" i="3"/>
  <c r="AK75" i="3"/>
  <c r="AE75" i="3"/>
  <c r="AF75" i="3"/>
  <c r="M75" i="3"/>
  <c r="AM75" i="3"/>
  <c r="P75" i="3"/>
  <c r="V75" i="3"/>
  <c r="R75" i="3"/>
  <c r="T75" i="3"/>
  <c r="AO74" i="3"/>
  <c r="AH74" i="3"/>
  <c r="BA72" i="3"/>
  <c r="AV72" i="3"/>
  <c r="BB71" i="3"/>
  <c r="BF71" i="3"/>
  <c r="BJ70" i="3" s="1"/>
  <c r="BK70" i="3" s="1"/>
  <c r="BQ71" i="3"/>
  <c r="AX73" i="3"/>
  <c r="BC72" i="3" l="1"/>
  <c r="BG72" i="3" s="1"/>
  <c r="BH72" i="3" s="1"/>
  <c r="BI72" i="3" s="1"/>
  <c r="AV73" i="3"/>
  <c r="BA73" i="3"/>
  <c r="BF73" i="3" s="1"/>
  <c r="BG71" i="3"/>
  <c r="BH71" i="3" s="1"/>
  <c r="BI71" i="3" s="1"/>
  <c r="AY73" i="3"/>
  <c r="BC73" i="3" s="1"/>
  <c r="BG73" i="3" s="1"/>
  <c r="BH73" i="3" s="1"/>
  <c r="BI73" i="3" s="1"/>
  <c r="AN75" i="3"/>
  <c r="AX74" i="3"/>
  <c r="AU74" i="3"/>
  <c r="BQ73" i="3"/>
  <c r="BB73" i="3"/>
  <c r="BF72" i="3"/>
  <c r="BB72" i="3"/>
  <c r="BQ72" i="3"/>
  <c r="AH75" i="3"/>
  <c r="AT74" i="3"/>
  <c r="B76" i="3"/>
  <c r="AQ76" i="3"/>
  <c r="A77" i="3"/>
  <c r="AR76" i="3"/>
  <c r="C76" i="3"/>
  <c r="D76" i="3"/>
  <c r="G76" i="3"/>
  <c r="H76" i="3" s="1"/>
  <c r="BN76" i="3" s="1"/>
  <c r="F76" i="3"/>
  <c r="BM76" i="3" s="1"/>
  <c r="Q76" i="3"/>
  <c r="S76" i="3"/>
  <c r="O76" i="3"/>
  <c r="U76" i="3"/>
  <c r="AM76" i="3"/>
  <c r="AD76" i="3"/>
  <c r="AF76" i="3"/>
  <c r="AE76" i="3"/>
  <c r="M76" i="3"/>
  <c r="AK76" i="3"/>
  <c r="P76" i="3"/>
  <c r="V76" i="3"/>
  <c r="T76" i="3"/>
  <c r="R76" i="3"/>
  <c r="AW74" i="3"/>
  <c r="AO75" i="3"/>
  <c r="X75" i="3"/>
  <c r="BD72" i="3"/>
  <c r="Y75" i="3"/>
  <c r="Z75" i="3" s="1"/>
  <c r="AG75" i="3"/>
  <c r="AY74" i="3" l="1"/>
  <c r="AO76" i="3"/>
  <c r="BD73" i="3"/>
  <c r="AW75" i="3"/>
  <c r="Y76" i="3"/>
  <c r="Z76" i="3" s="1"/>
  <c r="AN76" i="3"/>
  <c r="AU75" i="3"/>
  <c r="AG76" i="3"/>
  <c r="A78" i="3"/>
  <c r="AR77" i="3"/>
  <c r="B77" i="3"/>
  <c r="AQ77" i="3"/>
  <c r="D77" i="3"/>
  <c r="C77" i="3"/>
  <c r="G77" i="3"/>
  <c r="H77" i="3" s="1"/>
  <c r="BN77" i="3" s="1"/>
  <c r="F77" i="3"/>
  <c r="BM77" i="3" s="1"/>
  <c r="Q77" i="3"/>
  <c r="S77" i="3"/>
  <c r="O77" i="3"/>
  <c r="U77" i="3"/>
  <c r="AE77" i="3"/>
  <c r="AM77" i="3"/>
  <c r="AD77" i="3"/>
  <c r="AK77" i="3"/>
  <c r="M77" i="3"/>
  <c r="AF77" i="3"/>
  <c r="P77" i="3"/>
  <c r="T77" i="3"/>
  <c r="R77" i="3"/>
  <c r="V77" i="3"/>
  <c r="BJ72" i="3"/>
  <c r="BK72" i="3" s="1"/>
  <c r="BJ71" i="3"/>
  <c r="BK71" i="3" s="1"/>
  <c r="AX75" i="3"/>
  <c r="X76" i="3"/>
  <c r="BA74" i="3"/>
  <c r="AV74" i="3"/>
  <c r="AH76" i="3"/>
  <c r="AT75" i="3"/>
  <c r="BC74" i="3" l="1"/>
  <c r="BG74" i="3" s="1"/>
  <c r="BH74" i="3" s="1"/>
  <c r="BI74" i="3" s="1"/>
  <c r="AY75" i="3"/>
  <c r="AO77" i="3"/>
  <c r="Y77" i="3"/>
  <c r="Z77" i="3" s="1"/>
  <c r="AH77" i="3"/>
  <c r="AW76" i="3"/>
  <c r="AX76" i="3"/>
  <c r="AN77" i="3"/>
  <c r="BA75" i="3"/>
  <c r="AV75" i="3"/>
  <c r="BC75" i="3" s="1"/>
  <c r="AU76" i="3"/>
  <c r="AG77" i="3"/>
  <c r="AU77" i="3" s="1"/>
  <c r="BB74" i="3"/>
  <c r="BF74" i="3"/>
  <c r="BJ73" i="3" s="1"/>
  <c r="BK73" i="3" s="1"/>
  <c r="BQ74" i="3"/>
  <c r="X77" i="3"/>
  <c r="B78" i="3"/>
  <c r="AQ78" i="3"/>
  <c r="AR78" i="3"/>
  <c r="A79" i="3"/>
  <c r="D78" i="3"/>
  <c r="C78" i="3"/>
  <c r="F78" i="3"/>
  <c r="G78" i="3"/>
  <c r="H78" i="3" s="1"/>
  <c r="BN78" i="3" s="1"/>
  <c r="S78" i="3"/>
  <c r="Q78" i="3"/>
  <c r="O78" i="3"/>
  <c r="U78" i="3"/>
  <c r="AD78" i="3"/>
  <c r="AE78" i="3"/>
  <c r="AK78" i="3"/>
  <c r="AM78" i="3"/>
  <c r="M78" i="3"/>
  <c r="AF78" i="3"/>
  <c r="T78" i="3"/>
  <c r="R78" i="3"/>
  <c r="P78" i="3"/>
  <c r="V78" i="3"/>
  <c r="AT76" i="3"/>
  <c r="BD74" i="3" l="1"/>
  <c r="BM78" i="3"/>
  <c r="AY76" i="3"/>
  <c r="AN78" i="3"/>
  <c r="AW77" i="3"/>
  <c r="AH78" i="3"/>
  <c r="AO78" i="3"/>
  <c r="AT77" i="3"/>
  <c r="BA76" i="3"/>
  <c r="AV76" i="3"/>
  <c r="BC76" i="3" s="1"/>
  <c r="X78" i="3"/>
  <c r="BD75" i="3"/>
  <c r="BG75" i="3"/>
  <c r="BH75" i="3" s="1"/>
  <c r="BI75" i="3" s="1"/>
  <c r="AG78" i="3"/>
  <c r="Y78" i="3"/>
  <c r="Z78" i="3" s="1"/>
  <c r="BF75" i="3"/>
  <c r="BJ74" i="3" s="1"/>
  <c r="BK74" i="3" s="1"/>
  <c r="BB75" i="3"/>
  <c r="BQ75" i="3"/>
  <c r="A80" i="3"/>
  <c r="B79" i="3"/>
  <c r="AR79" i="3"/>
  <c r="AQ79" i="3"/>
  <c r="C79" i="3"/>
  <c r="D79" i="3"/>
  <c r="G79" i="3"/>
  <c r="H79" i="3" s="1"/>
  <c r="BN79" i="3" s="1"/>
  <c r="F79" i="3"/>
  <c r="BM79" i="3" s="1"/>
  <c r="Q79" i="3"/>
  <c r="S79" i="3"/>
  <c r="O79" i="3"/>
  <c r="U79" i="3"/>
  <c r="AE79" i="3"/>
  <c r="AD79" i="3"/>
  <c r="AM79" i="3"/>
  <c r="AK79" i="3"/>
  <c r="M79" i="3"/>
  <c r="AF79" i="3"/>
  <c r="R79" i="3"/>
  <c r="P79" i="3"/>
  <c r="V79" i="3"/>
  <c r="T79" i="3"/>
  <c r="AX77" i="3"/>
  <c r="AY77" i="3" s="1"/>
  <c r="AW78" i="3" l="1"/>
  <c r="AO79" i="3"/>
  <c r="AH79" i="3"/>
  <c r="AN79" i="3"/>
  <c r="BA77" i="3"/>
  <c r="AV77" i="3"/>
  <c r="BC77" i="3" s="1"/>
  <c r="AT78" i="3"/>
  <c r="BQ76" i="3"/>
  <c r="BF76" i="3"/>
  <c r="BJ75" i="3" s="1"/>
  <c r="BK75" i="3" s="1"/>
  <c r="BB76" i="3"/>
  <c r="AU78" i="3"/>
  <c r="X79" i="3"/>
  <c r="BD76" i="3"/>
  <c r="BG76" i="3"/>
  <c r="BH76" i="3" s="1"/>
  <c r="BI76" i="3" s="1"/>
  <c r="AG79" i="3"/>
  <c r="Y79" i="3"/>
  <c r="Z79" i="3" s="1"/>
  <c r="A81" i="3"/>
  <c r="B80" i="3"/>
  <c r="AR80" i="3"/>
  <c r="AQ80" i="3"/>
  <c r="C80" i="3"/>
  <c r="D80" i="3"/>
  <c r="F80" i="3"/>
  <c r="BM80" i="3" s="1"/>
  <c r="G80" i="3"/>
  <c r="H80" i="3" s="1"/>
  <c r="BN80" i="3" s="1"/>
  <c r="Q80" i="3"/>
  <c r="S80" i="3"/>
  <c r="O80" i="3"/>
  <c r="U80" i="3"/>
  <c r="AD80" i="3"/>
  <c r="AM80" i="3"/>
  <c r="AE80" i="3"/>
  <c r="AK80" i="3"/>
  <c r="M80" i="3"/>
  <c r="AF80" i="3"/>
  <c r="P80" i="3"/>
  <c r="T80" i="3"/>
  <c r="V80" i="3"/>
  <c r="R80" i="3"/>
  <c r="AX78" i="3"/>
  <c r="AW79" i="3" l="1"/>
  <c r="AY78" i="3"/>
  <c r="AO80" i="3"/>
  <c r="AG80" i="3"/>
  <c r="X80" i="3"/>
  <c r="AT79" i="3"/>
  <c r="Y80" i="3"/>
  <c r="Z80" i="3" s="1"/>
  <c r="AH80" i="3"/>
  <c r="AU80" i="3" s="1"/>
  <c r="AN80" i="3"/>
  <c r="BD77" i="3"/>
  <c r="BG77" i="3"/>
  <c r="BH77" i="3" s="1"/>
  <c r="BI77" i="3" s="1"/>
  <c r="AT80" i="3"/>
  <c r="AV78" i="3"/>
  <c r="BA78" i="3"/>
  <c r="BB77" i="3"/>
  <c r="BQ77" i="3"/>
  <c r="BF77" i="3"/>
  <c r="BJ76" i="3" s="1"/>
  <c r="BK76" i="3" s="1"/>
  <c r="AQ81" i="3"/>
  <c r="A82" i="3"/>
  <c r="AR81" i="3"/>
  <c r="B81" i="3"/>
  <c r="D81" i="3"/>
  <c r="C81" i="3"/>
  <c r="F81" i="3"/>
  <c r="BM81" i="3" s="1"/>
  <c r="G81" i="3"/>
  <c r="H81" i="3" s="1"/>
  <c r="BN81" i="3" s="1"/>
  <c r="Q81" i="3"/>
  <c r="S81" i="3"/>
  <c r="O81" i="3"/>
  <c r="U81" i="3"/>
  <c r="AK81" i="3"/>
  <c r="M81" i="3"/>
  <c r="AM81" i="3"/>
  <c r="AD81" i="3"/>
  <c r="AF81" i="3"/>
  <c r="AE81" i="3"/>
  <c r="P81" i="3"/>
  <c r="T81" i="3"/>
  <c r="R81" i="3"/>
  <c r="V81" i="3"/>
  <c r="AU79" i="3"/>
  <c r="AX79" i="3"/>
  <c r="AY79" i="3" s="1"/>
  <c r="BC78" i="3" l="1"/>
  <c r="BD78" i="3" s="1"/>
  <c r="AN81" i="3"/>
  <c r="AV80" i="3"/>
  <c r="AH81" i="3"/>
  <c r="Y81" i="3"/>
  <c r="Z81" i="3" s="1"/>
  <c r="BA79" i="3"/>
  <c r="AV79" i="3"/>
  <c r="BC79" i="3" s="1"/>
  <c r="X81" i="3"/>
  <c r="AR82" i="3"/>
  <c r="A83" i="3"/>
  <c r="B82" i="3"/>
  <c r="AQ82" i="3"/>
  <c r="C82" i="3"/>
  <c r="D82" i="3"/>
  <c r="F82" i="3"/>
  <c r="BM82" i="3" s="1"/>
  <c r="G82" i="3"/>
  <c r="H82" i="3" s="1"/>
  <c r="BN82" i="3" s="1"/>
  <c r="Q82" i="3"/>
  <c r="S82" i="3"/>
  <c r="O82" i="3"/>
  <c r="U82" i="3"/>
  <c r="AD82" i="3"/>
  <c r="AE82" i="3"/>
  <c r="AF82" i="3"/>
  <c r="AM82" i="3"/>
  <c r="M82" i="3"/>
  <c r="AK82" i="3"/>
  <c r="AO82" i="3" s="1"/>
  <c r="P82" i="3"/>
  <c r="T82" i="3"/>
  <c r="V82" i="3"/>
  <c r="R82" i="3"/>
  <c r="AO81" i="3"/>
  <c r="BF78" i="3"/>
  <c r="BJ77" i="3" s="1"/>
  <c r="BK77" i="3" s="1"/>
  <c r="BQ78" i="3"/>
  <c r="BB78" i="3"/>
  <c r="AX80" i="3"/>
  <c r="AG81" i="3"/>
  <c r="AW80" i="3"/>
  <c r="BG78" i="3" l="1"/>
  <c r="BH78" i="3" s="1"/>
  <c r="BI78" i="3" s="1"/>
  <c r="AY80" i="3"/>
  <c r="AG82" i="3"/>
  <c r="AT81" i="3"/>
  <c r="AH82" i="3"/>
  <c r="X82" i="3"/>
  <c r="BC80" i="3"/>
  <c r="Y82" i="3"/>
  <c r="Z82" i="3" s="1"/>
  <c r="AN82" i="3"/>
  <c r="AW82" i="3" s="1"/>
  <c r="AU82" i="3"/>
  <c r="AR83" i="3"/>
  <c r="A84" i="3"/>
  <c r="AQ83" i="3"/>
  <c r="B83" i="3"/>
  <c r="C83" i="3"/>
  <c r="D83" i="3"/>
  <c r="F83" i="3"/>
  <c r="BM83" i="3" s="1"/>
  <c r="G83" i="3"/>
  <c r="H83" i="3" s="1"/>
  <c r="BN83" i="3" s="1"/>
  <c r="S83" i="3"/>
  <c r="Q83" i="3"/>
  <c r="O83" i="3"/>
  <c r="U83" i="3"/>
  <c r="AK83" i="3"/>
  <c r="AD83" i="3"/>
  <c r="AE83" i="3"/>
  <c r="M83" i="3"/>
  <c r="AM83" i="3"/>
  <c r="AF83" i="3"/>
  <c r="T83" i="3"/>
  <c r="P83" i="3"/>
  <c r="R83" i="3"/>
  <c r="V83" i="3"/>
  <c r="BB79" i="3"/>
  <c r="BQ79" i="3"/>
  <c r="BF79" i="3"/>
  <c r="BJ78" i="3" s="1"/>
  <c r="BK78" i="3" s="1"/>
  <c r="AW81" i="3"/>
  <c r="AX81" i="3"/>
  <c r="BA80" i="3"/>
  <c r="BD79" i="3"/>
  <c r="BG79" i="3"/>
  <c r="BH79" i="3" s="1"/>
  <c r="BI79" i="3" s="1"/>
  <c r="AU81" i="3"/>
  <c r="BA81" i="3" s="1"/>
  <c r="AN83" i="3" l="1"/>
  <c r="AT82" i="3"/>
  <c r="AY81" i="3"/>
  <c r="X83" i="3"/>
  <c r="BB81" i="3"/>
  <c r="BF81" i="3"/>
  <c r="BQ81" i="3"/>
  <c r="AH83" i="3"/>
  <c r="Y83" i="3"/>
  <c r="Z83" i="3" s="1"/>
  <c r="BD80" i="3"/>
  <c r="BG80" i="3"/>
  <c r="BH80" i="3" s="1"/>
  <c r="BI80" i="3" s="1"/>
  <c r="AG83" i="3"/>
  <c r="AO83" i="3"/>
  <c r="BQ80" i="3"/>
  <c r="BF80" i="3"/>
  <c r="BJ79" i="3" s="1"/>
  <c r="BK79" i="3" s="1"/>
  <c r="BB80" i="3"/>
  <c r="AV82" i="3"/>
  <c r="AV81" i="3"/>
  <c r="B84" i="3"/>
  <c r="A85" i="3"/>
  <c r="AR84" i="3"/>
  <c r="AQ84" i="3"/>
  <c r="D84" i="3"/>
  <c r="C84" i="3"/>
  <c r="G84" i="3"/>
  <c r="H84" i="3" s="1"/>
  <c r="BN84" i="3" s="1"/>
  <c r="F84" i="3"/>
  <c r="BM84" i="3" s="1"/>
  <c r="Q84" i="3"/>
  <c r="S84" i="3"/>
  <c r="O84" i="3"/>
  <c r="U84" i="3"/>
  <c r="AE84" i="3"/>
  <c r="AM84" i="3"/>
  <c r="AF84" i="3"/>
  <c r="AD84" i="3"/>
  <c r="AK84" i="3"/>
  <c r="M84" i="3"/>
  <c r="P84" i="3"/>
  <c r="V84" i="3"/>
  <c r="T84" i="3"/>
  <c r="R84" i="3"/>
  <c r="AX82" i="3"/>
  <c r="AY82" i="3" s="1"/>
  <c r="BA82" i="3" l="1"/>
  <c r="BB82" i="3" s="1"/>
  <c r="BC81" i="3"/>
  <c r="AG84" i="3"/>
  <c r="AO84" i="3"/>
  <c r="AX83" i="3"/>
  <c r="X84" i="3"/>
  <c r="BD81" i="3"/>
  <c r="BG81" i="3"/>
  <c r="BH81" i="3" s="1"/>
  <c r="BI81" i="3" s="1"/>
  <c r="AW83" i="3"/>
  <c r="AT83" i="3"/>
  <c r="BC82" i="3"/>
  <c r="AH84" i="3"/>
  <c r="A86" i="3"/>
  <c r="C85" i="3"/>
  <c r="AR85" i="3"/>
  <c r="B85" i="3"/>
  <c r="AQ85" i="3"/>
  <c r="D85" i="3"/>
  <c r="G85" i="3"/>
  <c r="H85" i="3" s="1"/>
  <c r="BN85" i="3" s="1"/>
  <c r="F85" i="3"/>
  <c r="BM85" i="3" s="1"/>
  <c r="S85" i="3"/>
  <c r="Q85" i="3"/>
  <c r="O85" i="3"/>
  <c r="U85" i="3"/>
  <c r="AK85" i="3"/>
  <c r="AD85" i="3"/>
  <c r="AE85" i="3"/>
  <c r="AM85" i="3"/>
  <c r="AF85" i="3"/>
  <c r="M85" i="3"/>
  <c r="V85" i="3"/>
  <c r="T85" i="3"/>
  <c r="P85" i="3"/>
  <c r="R85" i="3"/>
  <c r="AU83" i="3"/>
  <c r="BJ80" i="3"/>
  <c r="BK80" i="3" s="1"/>
  <c r="Y84" i="3"/>
  <c r="Z84" i="3" s="1"/>
  <c r="AN84" i="3"/>
  <c r="BF82" i="3" l="1"/>
  <c r="BJ81" i="3" s="1"/>
  <c r="BK81" i="3" s="1"/>
  <c r="BQ82" i="3"/>
  <c r="AX84" i="3"/>
  <c r="Y85" i="3"/>
  <c r="Z85" i="3" s="1"/>
  <c r="AO85" i="3"/>
  <c r="AG85" i="3"/>
  <c r="BA83" i="3"/>
  <c r="AV83" i="3"/>
  <c r="AH85" i="3"/>
  <c r="AU85" i="3" s="1"/>
  <c r="X85" i="3"/>
  <c r="B86" i="3"/>
  <c r="AQ86" i="3"/>
  <c r="A87" i="3"/>
  <c r="AR86" i="3"/>
  <c r="C86" i="3"/>
  <c r="D86" i="3"/>
  <c r="G86" i="3"/>
  <c r="H86" i="3" s="1"/>
  <c r="BN86" i="3" s="1"/>
  <c r="F86" i="3"/>
  <c r="BM86" i="3" s="1"/>
  <c r="Q86" i="3"/>
  <c r="S86" i="3"/>
  <c r="O86" i="3"/>
  <c r="U86" i="3"/>
  <c r="M86" i="3"/>
  <c r="AK86" i="3"/>
  <c r="AM86" i="3"/>
  <c r="AE86" i="3"/>
  <c r="AF86" i="3"/>
  <c r="AD86" i="3"/>
  <c r="R86" i="3"/>
  <c r="T86" i="3"/>
  <c r="V86" i="3"/>
  <c r="P86" i="3"/>
  <c r="AY83" i="3"/>
  <c r="BD82" i="3"/>
  <c r="BG82" i="3"/>
  <c r="BH82" i="3" s="1"/>
  <c r="BI82" i="3" s="1"/>
  <c r="AW84" i="3"/>
  <c r="AY84" i="3" s="1"/>
  <c r="AN85" i="3"/>
  <c r="AU84" i="3"/>
  <c r="AT84" i="3"/>
  <c r="AN86" i="3" l="1"/>
  <c r="AX85" i="3"/>
  <c r="AT85" i="3"/>
  <c r="Y86" i="3"/>
  <c r="Z86" i="3" s="1"/>
  <c r="X86" i="3"/>
  <c r="AG86" i="3"/>
  <c r="AO86" i="3"/>
  <c r="AV85" i="3"/>
  <c r="AH86" i="3"/>
  <c r="BC83" i="3"/>
  <c r="B87" i="3"/>
  <c r="AQ87" i="3"/>
  <c r="AR87" i="3"/>
  <c r="A88" i="3"/>
  <c r="D87" i="3"/>
  <c r="C87" i="3"/>
  <c r="G87" i="3"/>
  <c r="H87" i="3" s="1"/>
  <c r="BN87" i="3" s="1"/>
  <c r="F87" i="3"/>
  <c r="BM87" i="3" s="1"/>
  <c r="Q87" i="3"/>
  <c r="S87" i="3"/>
  <c r="O87" i="3"/>
  <c r="U87" i="3"/>
  <c r="AK87" i="3"/>
  <c r="AD87" i="3"/>
  <c r="AM87" i="3"/>
  <c r="AE87" i="3"/>
  <c r="AF87" i="3"/>
  <c r="M87" i="3"/>
  <c r="P87" i="3"/>
  <c r="T87" i="3"/>
  <c r="V87" i="3"/>
  <c r="R87" i="3"/>
  <c r="BQ83" i="3"/>
  <c r="BB83" i="3"/>
  <c r="BF83" i="3"/>
  <c r="BJ82" i="3" s="1"/>
  <c r="BK82" i="3" s="1"/>
  <c r="BA84" i="3"/>
  <c r="AV84" i="3"/>
  <c r="BC84" i="3" s="1"/>
  <c r="AW85" i="3"/>
  <c r="BA85" i="3" s="1"/>
  <c r="AN87" i="3" l="1"/>
  <c r="AT86" i="3"/>
  <c r="Y87" i="3"/>
  <c r="Z87" i="3" s="1"/>
  <c r="AG87" i="3"/>
  <c r="BF85" i="3"/>
  <c r="BB85" i="3"/>
  <c r="BQ85" i="3"/>
  <c r="X87" i="3"/>
  <c r="AH87" i="3"/>
  <c r="AU87" i="3" s="1"/>
  <c r="AW86" i="3"/>
  <c r="AX86" i="3"/>
  <c r="A89" i="3"/>
  <c r="AR88" i="3"/>
  <c r="B88" i="3"/>
  <c r="AQ88" i="3"/>
  <c r="C88" i="3"/>
  <c r="D88" i="3"/>
  <c r="G88" i="3"/>
  <c r="H88" i="3" s="1"/>
  <c r="F88" i="3"/>
  <c r="BM88" i="3" s="1"/>
  <c r="Q88" i="3"/>
  <c r="S88" i="3"/>
  <c r="O88" i="3"/>
  <c r="U88" i="3"/>
  <c r="AK88" i="3"/>
  <c r="AM88" i="3"/>
  <c r="M88" i="3"/>
  <c r="AE88" i="3"/>
  <c r="AF88" i="3"/>
  <c r="AD88" i="3"/>
  <c r="P88" i="3"/>
  <c r="V88" i="3"/>
  <c r="R88" i="3"/>
  <c r="T88" i="3"/>
  <c r="AO87" i="3"/>
  <c r="BD83" i="3"/>
  <c r="BG83" i="3"/>
  <c r="BH83" i="3" s="1"/>
  <c r="BI83" i="3" s="1"/>
  <c r="AY85" i="3"/>
  <c r="BC85" i="3" s="1"/>
  <c r="BD84" i="3"/>
  <c r="BG84" i="3"/>
  <c r="BH84" i="3" s="1"/>
  <c r="BI84" i="3" s="1"/>
  <c r="BQ84" i="3"/>
  <c r="BB84" i="3"/>
  <c r="BF84" i="3"/>
  <c r="BJ83" i="3" s="1"/>
  <c r="BK83" i="3" s="1"/>
  <c r="AU86" i="3"/>
  <c r="AV86" i="3" s="1"/>
  <c r="AT87" i="3" l="1"/>
  <c r="AV87" i="3" s="1"/>
  <c r="AO88" i="3"/>
  <c r="Y88" i="3"/>
  <c r="Z88" i="3" s="1"/>
  <c r="BD85" i="3"/>
  <c r="BG85" i="3"/>
  <c r="BH85" i="3" s="1"/>
  <c r="BI85" i="3" s="1"/>
  <c r="AR89" i="3"/>
  <c r="B89" i="3"/>
  <c r="AQ89" i="3"/>
  <c r="A90" i="3"/>
  <c r="D89" i="3"/>
  <c r="C89" i="3"/>
  <c r="F89" i="3"/>
  <c r="BM89" i="3" s="1"/>
  <c r="G89" i="3"/>
  <c r="H89" i="3" s="1"/>
  <c r="BN89" i="3" s="1"/>
  <c r="Q89" i="3"/>
  <c r="S89" i="3"/>
  <c r="O89" i="3"/>
  <c r="U89" i="3"/>
  <c r="AM89" i="3"/>
  <c r="AK89" i="3"/>
  <c r="AE89" i="3"/>
  <c r="AD89" i="3"/>
  <c r="M89" i="3"/>
  <c r="AF89" i="3"/>
  <c r="R89" i="3"/>
  <c r="P89" i="3"/>
  <c r="V89" i="3"/>
  <c r="T89" i="3"/>
  <c r="AG88" i="3"/>
  <c r="X88" i="3"/>
  <c r="BA86" i="3"/>
  <c r="AN88" i="3"/>
  <c r="AH88" i="3"/>
  <c r="BN88" i="3"/>
  <c r="AY86" i="3"/>
  <c r="BC86" i="3" s="1"/>
  <c r="AX87" i="3"/>
  <c r="AW87" i="3"/>
  <c r="BJ84" i="3"/>
  <c r="BK84" i="3" s="1"/>
  <c r="BA87" i="3" l="1"/>
  <c r="BQ87" i="3" s="1"/>
  <c r="Y89" i="3"/>
  <c r="Z89" i="3" s="1"/>
  <c r="AN89" i="3"/>
  <c r="AW88" i="3"/>
  <c r="BD86" i="3"/>
  <c r="BG86" i="3"/>
  <c r="BH86" i="3" s="1"/>
  <c r="BI86" i="3" s="1"/>
  <c r="AG89" i="3"/>
  <c r="X89" i="3"/>
  <c r="BQ86" i="3"/>
  <c r="BB86" i="3"/>
  <c r="BF86" i="3"/>
  <c r="BJ85" i="3" s="1"/>
  <c r="BK85" i="3" s="1"/>
  <c r="AU88" i="3"/>
  <c r="AH89" i="3"/>
  <c r="AO89" i="3"/>
  <c r="AQ90" i="3"/>
  <c r="AR90" i="3"/>
  <c r="B90" i="3"/>
  <c r="A91" i="3"/>
  <c r="C90" i="3"/>
  <c r="D90" i="3"/>
  <c r="G90" i="3"/>
  <c r="H90" i="3" s="1"/>
  <c r="BN90" i="3" s="1"/>
  <c r="F90" i="3"/>
  <c r="BM90" i="3" s="1"/>
  <c r="Q90" i="3"/>
  <c r="S90" i="3"/>
  <c r="O90" i="3"/>
  <c r="U90" i="3"/>
  <c r="M90" i="3"/>
  <c r="AK90" i="3"/>
  <c r="AD90" i="3"/>
  <c r="AM90" i="3"/>
  <c r="AE90" i="3"/>
  <c r="AF90" i="3"/>
  <c r="P90" i="3"/>
  <c r="T90" i="3"/>
  <c r="R90" i="3"/>
  <c r="V90" i="3"/>
  <c r="AY87" i="3"/>
  <c r="BC87" i="3" s="1"/>
  <c r="AX88" i="3"/>
  <c r="AY88" i="3" s="1"/>
  <c r="AT88" i="3"/>
  <c r="BB87" i="3" l="1"/>
  <c r="BF87" i="3"/>
  <c r="BJ86" i="3" s="1"/>
  <c r="BK86" i="3" s="1"/>
  <c r="AX89" i="3"/>
  <c r="AH90" i="3"/>
  <c r="AO90" i="3"/>
  <c r="BD87" i="3"/>
  <c r="BG87" i="3"/>
  <c r="BH87" i="3" s="1"/>
  <c r="BI87" i="3" s="1"/>
  <c r="Y90" i="3"/>
  <c r="Z90" i="3" s="1"/>
  <c r="AT89" i="3"/>
  <c r="AW89" i="3"/>
  <c r="X90" i="3"/>
  <c r="AQ91" i="3"/>
  <c r="AR91" i="3"/>
  <c r="A92" i="3"/>
  <c r="B91" i="3"/>
  <c r="C91" i="3"/>
  <c r="D91" i="3"/>
  <c r="F91" i="3"/>
  <c r="BM91" i="3" s="1"/>
  <c r="G91" i="3"/>
  <c r="H91" i="3" s="1"/>
  <c r="BN91" i="3" s="1"/>
  <c r="Q91" i="3"/>
  <c r="S91" i="3"/>
  <c r="O91" i="3"/>
  <c r="U91" i="3"/>
  <c r="AD91" i="3"/>
  <c r="AM91" i="3"/>
  <c r="M91" i="3"/>
  <c r="AE91" i="3"/>
  <c r="AK91" i="3"/>
  <c r="AF91" i="3"/>
  <c r="P91" i="3"/>
  <c r="V91" i="3"/>
  <c r="R91" i="3"/>
  <c r="T91" i="3"/>
  <c r="BA88" i="3"/>
  <c r="AV88" i="3"/>
  <c r="BC88" i="3" s="1"/>
  <c r="AU89" i="3"/>
  <c r="AG90" i="3"/>
  <c r="AN90" i="3"/>
  <c r="AU90" i="3" l="1"/>
  <c r="AY89" i="3"/>
  <c r="AN91" i="3"/>
  <c r="AX90" i="3"/>
  <c r="Y91" i="3"/>
  <c r="Z91" i="3" s="1"/>
  <c r="AH91" i="3"/>
  <c r="AG91" i="3"/>
  <c r="A93" i="3"/>
  <c r="AR92" i="3"/>
  <c r="B92" i="3"/>
  <c r="AQ92" i="3"/>
  <c r="D92" i="3"/>
  <c r="C92" i="3"/>
  <c r="F92" i="3"/>
  <c r="BM92" i="3" s="1"/>
  <c r="G92" i="3"/>
  <c r="H92" i="3" s="1"/>
  <c r="BN92" i="3" s="1"/>
  <c r="S92" i="3"/>
  <c r="Q92" i="3"/>
  <c r="O92" i="3"/>
  <c r="U92" i="3"/>
  <c r="AM92" i="3"/>
  <c r="AK92" i="3"/>
  <c r="AE92" i="3"/>
  <c r="M92" i="3"/>
  <c r="AF92" i="3"/>
  <c r="AD92" i="3"/>
  <c r="R92" i="3"/>
  <c r="T92" i="3"/>
  <c r="V92" i="3"/>
  <c r="P92" i="3"/>
  <c r="BD88" i="3"/>
  <c r="BG88" i="3"/>
  <c r="BH88" i="3" s="1"/>
  <c r="BI88" i="3" s="1"/>
  <c r="X91" i="3"/>
  <c r="BF88" i="3"/>
  <c r="BJ87" i="3" s="1"/>
  <c r="BK87" i="3" s="1"/>
  <c r="BB88" i="3"/>
  <c r="BQ88" i="3"/>
  <c r="AO91" i="3"/>
  <c r="AW90" i="3"/>
  <c r="BA89" i="3"/>
  <c r="AV89" i="3"/>
  <c r="AT90" i="3"/>
  <c r="AO92" i="3" l="1"/>
  <c r="AU91" i="3"/>
  <c r="BC89" i="3"/>
  <c r="BG89" i="3" s="1"/>
  <c r="BH89" i="3" s="1"/>
  <c r="BI89" i="3" s="1"/>
  <c r="AY90" i="3"/>
  <c r="AH92" i="3"/>
  <c r="AT91" i="3"/>
  <c r="AV91" i="3" s="1"/>
  <c r="AN92" i="3"/>
  <c r="BA90" i="3"/>
  <c r="AV90" i="3"/>
  <c r="BC90" i="3" s="1"/>
  <c r="AG92" i="3"/>
  <c r="X92" i="3"/>
  <c r="AR93" i="3"/>
  <c r="A94" i="3"/>
  <c r="C93" i="3"/>
  <c r="AQ93" i="3"/>
  <c r="B93" i="3"/>
  <c r="D93" i="3"/>
  <c r="G93" i="3"/>
  <c r="H93" i="3" s="1"/>
  <c r="F93" i="3"/>
  <c r="BM93" i="3" s="1"/>
  <c r="S93" i="3"/>
  <c r="Q93" i="3"/>
  <c r="O93" i="3"/>
  <c r="U93" i="3"/>
  <c r="AE93" i="3"/>
  <c r="AK93" i="3"/>
  <c r="M93" i="3"/>
  <c r="AM93" i="3"/>
  <c r="AD93" i="3"/>
  <c r="AF93" i="3"/>
  <c r="T93" i="3"/>
  <c r="P93" i="3"/>
  <c r="R93" i="3"/>
  <c r="V93" i="3"/>
  <c r="Y92" i="3"/>
  <c r="Z92" i="3" s="1"/>
  <c r="AW91" i="3"/>
  <c r="BB89" i="3"/>
  <c r="BF89" i="3"/>
  <c r="BJ88" i="3" s="1"/>
  <c r="BK88" i="3" s="1"/>
  <c r="BQ89" i="3"/>
  <c r="AX91" i="3"/>
  <c r="AW92" i="3" l="1"/>
  <c r="BD89" i="3"/>
  <c r="Y93" i="3"/>
  <c r="Z93" i="3" s="1"/>
  <c r="AN93" i="3"/>
  <c r="AT92" i="3"/>
  <c r="BA91" i="3"/>
  <c r="BQ91" i="3" s="1"/>
  <c r="X93" i="3"/>
  <c r="AY91" i="3"/>
  <c r="BC91" i="3" s="1"/>
  <c r="AH93" i="3"/>
  <c r="BN93" i="3"/>
  <c r="AO93" i="3"/>
  <c r="BD90" i="3"/>
  <c r="BG90" i="3"/>
  <c r="BH90" i="3" s="1"/>
  <c r="BI90" i="3" s="1"/>
  <c r="AG93" i="3"/>
  <c r="B94" i="3"/>
  <c r="AR94" i="3"/>
  <c r="AQ94" i="3"/>
  <c r="A95" i="3"/>
  <c r="C94" i="3"/>
  <c r="D94" i="3"/>
  <c r="F94" i="3"/>
  <c r="BM94" i="3" s="1"/>
  <c r="G94" i="3"/>
  <c r="H94" i="3" s="1"/>
  <c r="BN94" i="3" s="1"/>
  <c r="Q94" i="3"/>
  <c r="S94" i="3"/>
  <c r="O94" i="3"/>
  <c r="U94" i="3"/>
  <c r="AM94" i="3"/>
  <c r="AD94" i="3"/>
  <c r="AK94" i="3"/>
  <c r="AE94" i="3"/>
  <c r="AF94" i="3"/>
  <c r="M94" i="3"/>
  <c r="P94" i="3"/>
  <c r="T94" i="3"/>
  <c r="R94" i="3"/>
  <c r="V94" i="3"/>
  <c r="BB90" i="3"/>
  <c r="BF90" i="3"/>
  <c r="BJ89" i="3" s="1"/>
  <c r="BK89" i="3" s="1"/>
  <c r="BQ90" i="3"/>
  <c r="AU92" i="3"/>
  <c r="AX92" i="3"/>
  <c r="AY92" i="3" l="1"/>
  <c r="AW93" i="3"/>
  <c r="BF91" i="3"/>
  <c r="BJ90" i="3" s="1"/>
  <c r="BK90" i="3" s="1"/>
  <c r="BB91" i="3"/>
  <c r="AH94" i="3"/>
  <c r="BA92" i="3"/>
  <c r="BB92" i="3" s="1"/>
  <c r="AO94" i="3"/>
  <c r="BQ92" i="3"/>
  <c r="BD91" i="3"/>
  <c r="BG91" i="3"/>
  <c r="BH91" i="3" s="1"/>
  <c r="BI91" i="3" s="1"/>
  <c r="AX93" i="3"/>
  <c r="AY93" i="3" s="1"/>
  <c r="AN94" i="3"/>
  <c r="AX94" i="3" s="1"/>
  <c r="A96" i="3"/>
  <c r="B95" i="3"/>
  <c r="AQ95" i="3"/>
  <c r="AR95" i="3"/>
  <c r="D95" i="3"/>
  <c r="C95" i="3"/>
  <c r="G95" i="3"/>
  <c r="H95" i="3" s="1"/>
  <c r="BN95" i="3" s="1"/>
  <c r="F95" i="3"/>
  <c r="BM95" i="3" s="1"/>
  <c r="S95" i="3"/>
  <c r="Q95" i="3"/>
  <c r="O95" i="3"/>
  <c r="U95" i="3"/>
  <c r="AK95" i="3"/>
  <c r="AM95" i="3"/>
  <c r="AD95" i="3"/>
  <c r="AE95" i="3"/>
  <c r="AF95" i="3"/>
  <c r="M95" i="3"/>
  <c r="V95" i="3"/>
  <c r="P95" i="3"/>
  <c r="T95" i="3"/>
  <c r="R95" i="3"/>
  <c r="AV92" i="3"/>
  <c r="X94" i="3"/>
  <c r="Y94" i="3"/>
  <c r="Z94" i="3" s="1"/>
  <c r="AU93" i="3"/>
  <c r="AT93" i="3"/>
  <c r="AG94" i="3"/>
  <c r="BF92" i="3" l="1"/>
  <c r="AN95" i="3"/>
  <c r="BC92" i="3"/>
  <c r="BG92" i="3" s="1"/>
  <c r="BH92" i="3" s="1"/>
  <c r="BI92" i="3" s="1"/>
  <c r="BJ91" i="3"/>
  <c r="BK91" i="3" s="1"/>
  <c r="AW94" i="3"/>
  <c r="AY94" i="3" s="1"/>
  <c r="AH95" i="3"/>
  <c r="AO95" i="3"/>
  <c r="Y95" i="3"/>
  <c r="Z95" i="3" s="1"/>
  <c r="AG95" i="3"/>
  <c r="AT94" i="3"/>
  <c r="X95" i="3"/>
  <c r="AR96" i="3"/>
  <c r="AQ96" i="3"/>
  <c r="B96" i="3"/>
  <c r="A97" i="3"/>
  <c r="C96" i="3"/>
  <c r="D96" i="3"/>
  <c r="G96" i="3"/>
  <c r="H96" i="3" s="1"/>
  <c r="BN96" i="3" s="1"/>
  <c r="F96" i="3"/>
  <c r="BM96" i="3" s="1"/>
  <c r="Q96" i="3"/>
  <c r="S96" i="3"/>
  <c r="O96" i="3"/>
  <c r="U96" i="3"/>
  <c r="AK96" i="3"/>
  <c r="AE96" i="3"/>
  <c r="AD96" i="3"/>
  <c r="M96" i="3"/>
  <c r="AM96" i="3"/>
  <c r="AF96" i="3"/>
  <c r="T96" i="3"/>
  <c r="V96" i="3"/>
  <c r="P96" i="3"/>
  <c r="R96" i="3"/>
  <c r="BA93" i="3"/>
  <c r="AV93" i="3"/>
  <c r="BC93" i="3" s="1"/>
  <c r="AU94" i="3"/>
  <c r="BD92" i="3" l="1"/>
  <c r="AN96" i="3"/>
  <c r="AW95" i="3"/>
  <c r="AU95" i="3"/>
  <c r="BF93" i="3"/>
  <c r="BJ92" i="3" s="1"/>
  <c r="BK92" i="3" s="1"/>
  <c r="BB93" i="3"/>
  <c r="BQ93" i="3"/>
  <c r="AQ97" i="3"/>
  <c r="AR97" i="3"/>
  <c r="B97" i="3"/>
  <c r="A98" i="3"/>
  <c r="D97" i="3"/>
  <c r="C97" i="3"/>
  <c r="G97" i="3"/>
  <c r="H97" i="3" s="1"/>
  <c r="BN97" i="3" s="1"/>
  <c r="F97" i="3"/>
  <c r="BM97" i="3" s="1"/>
  <c r="S97" i="3"/>
  <c r="Q97" i="3"/>
  <c r="O97" i="3"/>
  <c r="U97" i="3"/>
  <c r="M97" i="3"/>
  <c r="AK97" i="3"/>
  <c r="AD97" i="3"/>
  <c r="AF97" i="3"/>
  <c r="AE97" i="3"/>
  <c r="AM97" i="3"/>
  <c r="V97" i="3"/>
  <c r="T97" i="3"/>
  <c r="R97" i="3"/>
  <c r="P97" i="3"/>
  <c r="X96" i="3"/>
  <c r="BD93" i="3"/>
  <c r="BG93" i="3"/>
  <c r="BH93" i="3" s="1"/>
  <c r="BI93" i="3" s="1"/>
  <c r="AO96" i="3"/>
  <c r="AH96" i="3"/>
  <c r="BA94" i="3"/>
  <c r="AV94" i="3"/>
  <c r="BC94" i="3" s="1"/>
  <c r="AT95" i="3"/>
  <c r="AX95" i="3"/>
  <c r="AG96" i="3"/>
  <c r="Y96" i="3"/>
  <c r="Z96" i="3" s="1"/>
  <c r="AN97" i="3" l="1"/>
  <c r="AU96" i="3"/>
  <c r="AY95" i="3"/>
  <c r="AT96" i="3"/>
  <c r="AG97" i="3"/>
  <c r="AH97" i="3"/>
  <c r="AO97" i="3"/>
  <c r="Y97" i="3"/>
  <c r="Z97" i="3" s="1"/>
  <c r="AU97" i="3"/>
  <c r="AW96" i="3"/>
  <c r="BD94" i="3"/>
  <c r="BG94" i="3"/>
  <c r="BH94" i="3" s="1"/>
  <c r="BI94" i="3" s="1"/>
  <c r="X97" i="3"/>
  <c r="B98" i="3"/>
  <c r="AQ98" i="3"/>
  <c r="AR98" i="3"/>
  <c r="A99" i="3"/>
  <c r="C98" i="3"/>
  <c r="D98" i="3"/>
  <c r="G98" i="3"/>
  <c r="H98" i="3" s="1"/>
  <c r="BN98" i="3" s="1"/>
  <c r="F98" i="3"/>
  <c r="BM98" i="3" s="1"/>
  <c r="Q98" i="3"/>
  <c r="S98" i="3"/>
  <c r="O98" i="3"/>
  <c r="U98" i="3"/>
  <c r="M98" i="3"/>
  <c r="AK98" i="3"/>
  <c r="AD98" i="3"/>
  <c r="AM98" i="3"/>
  <c r="AF98" i="3"/>
  <c r="AE98" i="3"/>
  <c r="R98" i="3"/>
  <c r="V98" i="3"/>
  <c r="T98" i="3"/>
  <c r="P98" i="3"/>
  <c r="BB94" i="3"/>
  <c r="BQ94" i="3"/>
  <c r="BF94" i="3"/>
  <c r="BJ93" i="3" s="1"/>
  <c r="BK93" i="3" s="1"/>
  <c r="AV95" i="3"/>
  <c r="BC95" i="3" s="1"/>
  <c r="BA95" i="3"/>
  <c r="AX96" i="3"/>
  <c r="AV96" i="3" l="1"/>
  <c r="AN98" i="3"/>
  <c r="AG98" i="3"/>
  <c r="AY96" i="3"/>
  <c r="AX97" i="3"/>
  <c r="B99" i="3"/>
  <c r="AR99" i="3"/>
  <c r="A100" i="3"/>
  <c r="AQ99" i="3"/>
  <c r="C99" i="3"/>
  <c r="D99" i="3"/>
  <c r="F99" i="3"/>
  <c r="BM99" i="3" s="1"/>
  <c r="G99" i="3"/>
  <c r="H99" i="3" s="1"/>
  <c r="BN99" i="3" s="1"/>
  <c r="Q99" i="3"/>
  <c r="S99" i="3"/>
  <c r="O99" i="3"/>
  <c r="U99" i="3"/>
  <c r="AM99" i="3"/>
  <c r="AK99" i="3"/>
  <c r="AD99" i="3"/>
  <c r="M99" i="3"/>
  <c r="AE99" i="3"/>
  <c r="AF99" i="3"/>
  <c r="P99" i="3"/>
  <c r="R99" i="3"/>
  <c r="V99" i="3"/>
  <c r="T99" i="3"/>
  <c r="BQ95" i="3"/>
  <c r="BF95" i="3"/>
  <c r="BJ94" i="3" s="1"/>
  <c r="BK94" i="3" s="1"/>
  <c r="BB95" i="3"/>
  <c r="AO98" i="3"/>
  <c r="X98" i="3"/>
  <c r="AT97" i="3"/>
  <c r="BA96" i="3"/>
  <c r="BD95" i="3"/>
  <c r="BG95" i="3"/>
  <c r="BH95" i="3" s="1"/>
  <c r="BI95" i="3" s="1"/>
  <c r="BC96" i="3"/>
  <c r="AH98" i="3"/>
  <c r="AU98" i="3" s="1"/>
  <c r="Y98" i="3"/>
  <c r="Z98" i="3" s="1"/>
  <c r="AW97" i="3"/>
  <c r="AY97" i="3" s="1"/>
  <c r="AT98" i="3" l="1"/>
  <c r="AO99" i="3"/>
  <c r="AG99" i="3"/>
  <c r="AV98" i="3"/>
  <c r="X99" i="3"/>
  <c r="AN99" i="3"/>
  <c r="Y99" i="3"/>
  <c r="Z99" i="3" s="1"/>
  <c r="BD96" i="3"/>
  <c r="BG96" i="3"/>
  <c r="BH96" i="3" s="1"/>
  <c r="BI96" i="3" s="1"/>
  <c r="A101" i="3"/>
  <c r="AR100" i="3"/>
  <c r="B100" i="3"/>
  <c r="AQ100" i="3"/>
  <c r="C100" i="3"/>
  <c r="D100" i="3"/>
  <c r="F100" i="3"/>
  <c r="BM100" i="3" s="1"/>
  <c r="G100" i="3"/>
  <c r="H100" i="3" s="1"/>
  <c r="BN100" i="3" s="1"/>
  <c r="Q100" i="3"/>
  <c r="S100" i="3"/>
  <c r="O100" i="3"/>
  <c r="U100" i="3"/>
  <c r="M100" i="3"/>
  <c r="AM100" i="3"/>
  <c r="AF100" i="3"/>
  <c r="AE100" i="3"/>
  <c r="AK100" i="3"/>
  <c r="AD100" i="3"/>
  <c r="V100" i="3"/>
  <c r="P100" i="3"/>
  <c r="R100" i="3"/>
  <c r="T100" i="3"/>
  <c r="AX98" i="3"/>
  <c r="AH99" i="3"/>
  <c r="BF96" i="3"/>
  <c r="BJ95" i="3" s="1"/>
  <c r="BK95" i="3" s="1"/>
  <c r="BQ96" i="3"/>
  <c r="BB96" i="3"/>
  <c r="BA97" i="3"/>
  <c r="AV97" i="3"/>
  <c r="BC97" i="3" s="1"/>
  <c r="AW98" i="3"/>
  <c r="AO100" i="3" l="1"/>
  <c r="AT99" i="3"/>
  <c r="AG100" i="3"/>
  <c r="BA98" i="3"/>
  <c r="BB98" i="3" s="1"/>
  <c r="AU99" i="3"/>
  <c r="AV99" i="3" s="1"/>
  <c r="BD97" i="3"/>
  <c r="BG97" i="3"/>
  <c r="BH97" i="3" s="1"/>
  <c r="BI97" i="3" s="1"/>
  <c r="AH100" i="3"/>
  <c r="B101" i="3"/>
  <c r="AR101" i="3"/>
  <c r="A102" i="3"/>
  <c r="C101" i="3"/>
  <c r="AQ101" i="3"/>
  <c r="D101" i="3"/>
  <c r="G101" i="3"/>
  <c r="H101" i="3" s="1"/>
  <c r="BN101" i="3" s="1"/>
  <c r="F101" i="3"/>
  <c r="BM101" i="3" s="1"/>
  <c r="Q101" i="3"/>
  <c r="S101" i="3"/>
  <c r="O101" i="3"/>
  <c r="U101" i="3"/>
  <c r="AD101" i="3"/>
  <c r="AK101" i="3"/>
  <c r="AM101" i="3"/>
  <c r="AF101" i="3"/>
  <c r="M101" i="3"/>
  <c r="AE101" i="3"/>
  <c r="T101" i="3"/>
  <c r="P101" i="3"/>
  <c r="R101" i="3"/>
  <c r="V101" i="3"/>
  <c r="Y100" i="3"/>
  <c r="Z100" i="3" s="1"/>
  <c r="AN100" i="3"/>
  <c r="AW99" i="3"/>
  <c r="X100" i="3"/>
  <c r="BB97" i="3"/>
  <c r="BQ97" i="3"/>
  <c r="BF97" i="3"/>
  <c r="AX99" i="3"/>
  <c r="AY98" i="3"/>
  <c r="BC98" i="3" s="1"/>
  <c r="AX100" i="3" l="1"/>
  <c r="BQ98" i="3"/>
  <c r="BF98" i="3"/>
  <c r="BJ97" i="3" s="1"/>
  <c r="BK97" i="3" s="1"/>
  <c r="AY99" i="3"/>
  <c r="AG101" i="3"/>
  <c r="AO101" i="3"/>
  <c r="BA99" i="3"/>
  <c r="BF99" i="3" s="1"/>
  <c r="BJ98" i="3" s="1"/>
  <c r="AH101" i="3"/>
  <c r="BD98" i="3"/>
  <c r="BG98" i="3"/>
  <c r="BH98" i="3" s="1"/>
  <c r="BI98" i="3" s="1"/>
  <c r="AQ102" i="3"/>
  <c r="A103" i="3"/>
  <c r="B102" i="3"/>
  <c r="AR102" i="3"/>
  <c r="C102" i="3"/>
  <c r="D102" i="3"/>
  <c r="F102" i="3"/>
  <c r="BM102" i="3" s="1"/>
  <c r="G102" i="3"/>
  <c r="H102" i="3" s="1"/>
  <c r="BN102" i="3" s="1"/>
  <c r="Q102" i="3"/>
  <c r="S102" i="3"/>
  <c r="O102" i="3"/>
  <c r="U102" i="3"/>
  <c r="M102" i="3"/>
  <c r="AM102" i="3"/>
  <c r="AF102" i="3"/>
  <c r="AE102" i="3"/>
  <c r="AD102" i="3"/>
  <c r="AK102" i="3"/>
  <c r="V102" i="3"/>
  <c r="R102" i="3"/>
  <c r="T102" i="3"/>
  <c r="P102" i="3"/>
  <c r="BJ96" i="3"/>
  <c r="BK96" i="3" s="1"/>
  <c r="AU100" i="3"/>
  <c r="AT100" i="3"/>
  <c r="AN101" i="3"/>
  <c r="X101" i="3"/>
  <c r="AW100" i="3"/>
  <c r="AY100" i="3" s="1"/>
  <c r="Y101" i="3"/>
  <c r="Z101" i="3" s="1"/>
  <c r="BC99" i="3"/>
  <c r="AO102" i="3" l="1"/>
  <c r="AX101" i="3"/>
  <c r="BK98" i="3"/>
  <c r="BQ99" i="3"/>
  <c r="AH102" i="3"/>
  <c r="BB99" i="3"/>
  <c r="AW101" i="3"/>
  <c r="AY101" i="3" s="1"/>
  <c r="AU101" i="3"/>
  <c r="AN102" i="3"/>
  <c r="A104" i="3"/>
  <c r="B103" i="3"/>
  <c r="AQ103" i="3"/>
  <c r="AR103" i="3"/>
  <c r="D103" i="3"/>
  <c r="C103" i="3"/>
  <c r="F103" i="3"/>
  <c r="BM103" i="3" s="1"/>
  <c r="G103" i="3"/>
  <c r="H103" i="3" s="1"/>
  <c r="BN103" i="3" s="1"/>
  <c r="Q103" i="3"/>
  <c r="S103" i="3"/>
  <c r="O103" i="3"/>
  <c r="U103" i="3"/>
  <c r="AM103" i="3"/>
  <c r="M103" i="3"/>
  <c r="AE103" i="3"/>
  <c r="AD103" i="3"/>
  <c r="AK103" i="3"/>
  <c r="AF103" i="3"/>
  <c r="V103" i="3"/>
  <c r="P103" i="3"/>
  <c r="T103" i="3"/>
  <c r="R103" i="3"/>
  <c r="AG102" i="3"/>
  <c r="X102" i="3"/>
  <c r="BD99" i="3"/>
  <c r="BG99" i="3"/>
  <c r="BH99" i="3" s="1"/>
  <c r="BI99" i="3" s="1"/>
  <c r="Y102" i="3"/>
  <c r="Z102" i="3" s="1"/>
  <c r="AT101" i="3"/>
  <c r="AV100" i="3"/>
  <c r="BC100" i="3" s="1"/>
  <c r="BA100" i="3"/>
  <c r="AO103" i="3" l="1"/>
  <c r="AW102" i="3"/>
  <c r="AU102" i="3"/>
  <c r="AX102" i="3"/>
  <c r="AN103" i="3"/>
  <c r="AG103" i="3"/>
  <c r="BD100" i="3"/>
  <c r="BG100" i="3"/>
  <c r="BH100" i="3" s="1"/>
  <c r="BI100" i="3" s="1"/>
  <c r="AQ104" i="3"/>
  <c r="A105" i="3"/>
  <c r="AR104" i="3"/>
  <c r="B104" i="3"/>
  <c r="D104" i="3"/>
  <c r="C104" i="3"/>
  <c r="G104" i="3"/>
  <c r="H104" i="3" s="1"/>
  <c r="BN104" i="3" s="1"/>
  <c r="F104" i="3"/>
  <c r="BM104" i="3" s="1"/>
  <c r="Q104" i="3"/>
  <c r="S104" i="3"/>
  <c r="O104" i="3"/>
  <c r="U104" i="3"/>
  <c r="AK104" i="3"/>
  <c r="AM104" i="3"/>
  <c r="AF104" i="3"/>
  <c r="AE104" i="3"/>
  <c r="M104" i="3"/>
  <c r="AD104" i="3"/>
  <c r="V104" i="3"/>
  <c r="R104" i="3"/>
  <c r="P104" i="3"/>
  <c r="T104" i="3"/>
  <c r="Y103" i="3"/>
  <c r="Z103" i="3" s="1"/>
  <c r="AH103" i="3"/>
  <c r="X103" i="3"/>
  <c r="BQ100" i="3"/>
  <c r="BB100" i="3"/>
  <c r="BF100" i="3"/>
  <c r="BJ99" i="3" s="1"/>
  <c r="BK99" i="3" s="1"/>
  <c r="AT102" i="3"/>
  <c r="BA101" i="3"/>
  <c r="AV101" i="3"/>
  <c r="BC101" i="3" s="1"/>
  <c r="AY102" i="3" l="1"/>
  <c r="AN104" i="3"/>
  <c r="AX103" i="3"/>
  <c r="AH104" i="3"/>
  <c r="X104" i="3"/>
  <c r="AQ105" i="3"/>
  <c r="A106" i="3"/>
  <c r="AR105" i="3"/>
  <c r="B105" i="3"/>
  <c r="C105" i="3"/>
  <c r="D105" i="3"/>
  <c r="G105" i="3"/>
  <c r="H105" i="3" s="1"/>
  <c r="BN105" i="3" s="1"/>
  <c r="F105" i="3"/>
  <c r="BM105" i="3" s="1"/>
  <c r="Q105" i="3"/>
  <c r="S105" i="3"/>
  <c r="O105" i="3"/>
  <c r="U105" i="3"/>
  <c r="AD105" i="3"/>
  <c r="AM105" i="3"/>
  <c r="AE105" i="3"/>
  <c r="AK105" i="3"/>
  <c r="AF105" i="3"/>
  <c r="M105" i="3"/>
  <c r="V105" i="3"/>
  <c r="T105" i="3"/>
  <c r="P105" i="3"/>
  <c r="R105" i="3"/>
  <c r="BF101" i="3"/>
  <c r="BJ100" i="3" s="1"/>
  <c r="BK100" i="3" s="1"/>
  <c r="BB101" i="3"/>
  <c r="BQ101" i="3"/>
  <c r="BD101" i="3"/>
  <c r="BG101" i="3"/>
  <c r="BH101" i="3" s="1"/>
  <c r="BI101" i="3" s="1"/>
  <c r="AT103" i="3"/>
  <c r="Y104" i="3"/>
  <c r="Z104" i="3" s="1"/>
  <c r="AG104" i="3"/>
  <c r="AV102" i="3"/>
  <c r="BC102" i="3" s="1"/>
  <c r="BA102" i="3"/>
  <c r="AW103" i="3"/>
  <c r="AO104" i="3"/>
  <c r="AU103" i="3"/>
  <c r="AY103" i="3" l="1"/>
  <c r="AO105" i="3"/>
  <c r="AW104" i="3"/>
  <c r="AT104" i="3"/>
  <c r="Y105" i="3"/>
  <c r="Z105" i="3" s="1"/>
  <c r="AX104" i="3"/>
  <c r="AY104" i="3" s="1"/>
  <c r="AN105" i="3"/>
  <c r="B106" i="3"/>
  <c r="AR106" i="3"/>
  <c r="A107" i="3"/>
  <c r="AQ106" i="3"/>
  <c r="D106" i="3"/>
  <c r="C106" i="3"/>
  <c r="G106" i="3"/>
  <c r="H106" i="3" s="1"/>
  <c r="BN106" i="3" s="1"/>
  <c r="F106" i="3"/>
  <c r="BM106" i="3" s="1"/>
  <c r="Q106" i="3"/>
  <c r="S106" i="3"/>
  <c r="O106" i="3"/>
  <c r="U106" i="3"/>
  <c r="AM106" i="3"/>
  <c r="AE106" i="3"/>
  <c r="M106" i="3"/>
  <c r="AF106" i="3"/>
  <c r="AD106" i="3"/>
  <c r="AK106" i="3"/>
  <c r="R106" i="3"/>
  <c r="P106" i="3"/>
  <c r="V106" i="3"/>
  <c r="T106" i="3"/>
  <c r="AH105" i="3"/>
  <c r="BA103" i="3"/>
  <c r="AV103" i="3"/>
  <c r="AG105" i="3"/>
  <c r="X105" i="3"/>
  <c r="BB102" i="3"/>
  <c r="BQ102" i="3"/>
  <c r="BF102" i="3"/>
  <c r="BJ101" i="3" s="1"/>
  <c r="BK101" i="3" s="1"/>
  <c r="BD102" i="3"/>
  <c r="BG102" i="3"/>
  <c r="BH102" i="3" s="1"/>
  <c r="BI102" i="3" s="1"/>
  <c r="AU104" i="3"/>
  <c r="BC103" i="3" l="1"/>
  <c r="AO106" i="3"/>
  <c r="AH106" i="3"/>
  <c r="Y106" i="3"/>
  <c r="Z106" i="3" s="1"/>
  <c r="AX105" i="3"/>
  <c r="AN106" i="3"/>
  <c r="AG106" i="3"/>
  <c r="BQ103" i="3"/>
  <c r="BF103" i="3"/>
  <c r="BJ102" i="3" s="1"/>
  <c r="BK102" i="3" s="1"/>
  <c r="BB103" i="3"/>
  <c r="BG103" i="3"/>
  <c r="BH103" i="3" s="1"/>
  <c r="BI103" i="3" s="1"/>
  <c r="BD103" i="3"/>
  <c r="AU105" i="3"/>
  <c r="AT106" i="3"/>
  <c r="AX106" i="3"/>
  <c r="X106" i="3"/>
  <c r="A108" i="3"/>
  <c r="AQ107" i="3"/>
  <c r="B107" i="3"/>
  <c r="AR107" i="3"/>
  <c r="C107" i="3"/>
  <c r="D107" i="3"/>
  <c r="F107" i="3"/>
  <c r="BM107" i="3" s="1"/>
  <c r="G107" i="3"/>
  <c r="H107" i="3" s="1"/>
  <c r="BN107" i="3" s="1"/>
  <c r="Q107" i="3"/>
  <c r="S107" i="3"/>
  <c r="O107" i="3"/>
  <c r="U107" i="3"/>
  <c r="AE107" i="3"/>
  <c r="AD107" i="3"/>
  <c r="AM107" i="3"/>
  <c r="AK107" i="3"/>
  <c r="M107" i="3"/>
  <c r="AF107" i="3"/>
  <c r="P107" i="3"/>
  <c r="V107" i="3"/>
  <c r="R107" i="3"/>
  <c r="T107" i="3"/>
  <c r="AT105" i="3"/>
  <c r="AW105" i="3"/>
  <c r="AV104" i="3"/>
  <c r="BC104" i="3" s="1"/>
  <c r="BA104" i="3"/>
  <c r="AW106" i="3" l="1"/>
  <c r="AY106" i="3" s="1"/>
  <c r="AY105" i="3"/>
  <c r="AO107" i="3"/>
  <c r="AU106" i="3"/>
  <c r="AV106" i="3" s="1"/>
  <c r="AH107" i="3"/>
  <c r="AN107" i="3"/>
  <c r="BD104" i="3"/>
  <c r="BG104" i="3"/>
  <c r="BH104" i="3" s="1"/>
  <c r="BI104" i="3" s="1"/>
  <c r="BA105" i="3"/>
  <c r="AV105" i="3"/>
  <c r="BC105" i="3" s="1"/>
  <c r="X107" i="3"/>
  <c r="A109" i="3"/>
  <c r="AR108" i="3"/>
  <c r="B108" i="3"/>
  <c r="AQ108" i="3"/>
  <c r="D108" i="3"/>
  <c r="C108" i="3"/>
  <c r="G108" i="3"/>
  <c r="H108" i="3" s="1"/>
  <c r="BN108" i="3" s="1"/>
  <c r="F108" i="3"/>
  <c r="BM108" i="3" s="1"/>
  <c r="Q108" i="3"/>
  <c r="S108" i="3"/>
  <c r="O108" i="3"/>
  <c r="U108" i="3"/>
  <c r="AD108" i="3"/>
  <c r="AE108" i="3"/>
  <c r="AF108" i="3"/>
  <c r="AM108" i="3"/>
  <c r="M108" i="3"/>
  <c r="AK108" i="3"/>
  <c r="P108" i="3"/>
  <c r="R108" i="3"/>
  <c r="V108" i="3"/>
  <c r="T108" i="3"/>
  <c r="BB104" i="3"/>
  <c r="BQ104" i="3"/>
  <c r="BF104" i="3"/>
  <c r="BJ103" i="3" s="1"/>
  <c r="BK103" i="3" s="1"/>
  <c r="AG107" i="3"/>
  <c r="Y107" i="3"/>
  <c r="Z107" i="3" s="1"/>
  <c r="AU107" i="3" l="1"/>
  <c r="BC106" i="3"/>
  <c r="BD106" i="3" s="1"/>
  <c r="AO108" i="3"/>
  <c r="AW107" i="3"/>
  <c r="BA106" i="3"/>
  <c r="AG108" i="3"/>
  <c r="AT107" i="3"/>
  <c r="AX107" i="3"/>
  <c r="Y108" i="3"/>
  <c r="Z108" i="3" s="1"/>
  <c r="AN108" i="3"/>
  <c r="X108" i="3"/>
  <c r="BF105" i="3"/>
  <c r="BJ104" i="3" s="1"/>
  <c r="BK104" i="3" s="1"/>
  <c r="BB105" i="3"/>
  <c r="BQ105" i="3"/>
  <c r="BQ106" i="3"/>
  <c r="BB106" i="3"/>
  <c r="BF106" i="3"/>
  <c r="AH108" i="3"/>
  <c r="AQ109" i="3"/>
  <c r="B109" i="3"/>
  <c r="AR109" i="3"/>
  <c r="A110" i="3"/>
  <c r="D109" i="3"/>
  <c r="C109" i="3"/>
  <c r="F109" i="3"/>
  <c r="G109" i="3"/>
  <c r="H109" i="3" s="1"/>
  <c r="BN109" i="3" s="1"/>
  <c r="Q109" i="3"/>
  <c r="S109" i="3"/>
  <c r="O109" i="3"/>
  <c r="U109" i="3"/>
  <c r="AD109" i="3"/>
  <c r="AM109" i="3"/>
  <c r="AE109" i="3"/>
  <c r="AK109" i="3"/>
  <c r="AF109" i="3"/>
  <c r="M109" i="3"/>
  <c r="P109" i="3"/>
  <c r="V109" i="3"/>
  <c r="R109" i="3"/>
  <c r="T109" i="3"/>
  <c r="BD105" i="3"/>
  <c r="BG105" i="3"/>
  <c r="BH105" i="3" s="1"/>
  <c r="BI105" i="3" s="1"/>
  <c r="AV107" i="3"/>
  <c r="BA107" i="3" l="1"/>
  <c r="BQ107" i="3" s="1"/>
  <c r="AY107" i="3"/>
  <c r="BG106" i="3"/>
  <c r="BH106" i="3" s="1"/>
  <c r="BI106" i="3" s="1"/>
  <c r="AX108" i="3"/>
  <c r="BJ105" i="3"/>
  <c r="BK105" i="3" s="1"/>
  <c r="AN109" i="3"/>
  <c r="AH109" i="3"/>
  <c r="B110" i="3"/>
  <c r="AR110" i="3"/>
  <c r="A111" i="3"/>
  <c r="AQ110" i="3"/>
  <c r="D110" i="3"/>
  <c r="C110" i="3"/>
  <c r="G110" i="3"/>
  <c r="H110" i="3" s="1"/>
  <c r="F110" i="3"/>
  <c r="BM110" i="3" s="1"/>
  <c r="Q110" i="3"/>
  <c r="S110" i="3"/>
  <c r="O110" i="3"/>
  <c r="U110" i="3"/>
  <c r="AK110" i="3"/>
  <c r="AM110" i="3"/>
  <c r="M110" i="3"/>
  <c r="AF110" i="3"/>
  <c r="AE110" i="3"/>
  <c r="AD110" i="3"/>
  <c r="T110" i="3"/>
  <c r="P110" i="3"/>
  <c r="R110" i="3"/>
  <c r="V110" i="3"/>
  <c r="BM109" i="3"/>
  <c r="AG109" i="3"/>
  <c r="X109" i="3"/>
  <c r="AU108" i="3"/>
  <c r="AW108" i="3"/>
  <c r="BC107" i="3"/>
  <c r="Y109" i="3"/>
  <c r="Z109" i="3" s="1"/>
  <c r="AT108" i="3"/>
  <c r="AO109" i="3"/>
  <c r="BF107" i="3" l="1"/>
  <c r="BJ106" i="3" s="1"/>
  <c r="BK106" i="3" s="1"/>
  <c r="BB107" i="3"/>
  <c r="AY108" i="3"/>
  <c r="AW109" i="3"/>
  <c r="AN110" i="3"/>
  <c r="Y110" i="3"/>
  <c r="Z110" i="3" s="1"/>
  <c r="AG110" i="3"/>
  <c r="AO110" i="3"/>
  <c r="AH110" i="3"/>
  <c r="BA108" i="3"/>
  <c r="AV108" i="3"/>
  <c r="BC108" i="3" s="1"/>
  <c r="AU109" i="3"/>
  <c r="X110" i="3"/>
  <c r="A112" i="3"/>
  <c r="B111" i="3"/>
  <c r="AQ111" i="3"/>
  <c r="AR111" i="3"/>
  <c r="C111" i="3"/>
  <c r="D111" i="3"/>
  <c r="F111" i="3"/>
  <c r="BM111" i="3" s="1"/>
  <c r="G111" i="3"/>
  <c r="H111" i="3" s="1"/>
  <c r="BN111" i="3" s="1"/>
  <c r="Q111" i="3"/>
  <c r="S111" i="3"/>
  <c r="O111" i="3"/>
  <c r="U111" i="3"/>
  <c r="M111" i="3"/>
  <c r="AK111" i="3"/>
  <c r="AM111" i="3"/>
  <c r="AE111" i="3"/>
  <c r="AF111" i="3"/>
  <c r="AD111" i="3"/>
  <c r="R111" i="3"/>
  <c r="T111" i="3"/>
  <c r="P111" i="3"/>
  <c r="V111" i="3"/>
  <c r="BG107" i="3"/>
  <c r="BH107" i="3" s="1"/>
  <c r="BI107" i="3" s="1"/>
  <c r="BD107" i="3"/>
  <c r="BN110" i="3"/>
  <c r="AT109" i="3"/>
  <c r="AX109" i="3"/>
  <c r="AX110" i="3" l="1"/>
  <c r="AY109" i="3"/>
  <c r="AU110" i="3"/>
  <c r="AN111" i="3"/>
  <c r="AT110" i="3"/>
  <c r="AH111" i="3"/>
  <c r="AO111" i="3"/>
  <c r="Y111" i="3"/>
  <c r="Z111" i="3" s="1"/>
  <c r="BD108" i="3"/>
  <c r="BG108" i="3"/>
  <c r="BH108" i="3" s="1"/>
  <c r="BI108" i="3" s="1"/>
  <c r="X111" i="3"/>
  <c r="B112" i="3"/>
  <c r="AQ112" i="3"/>
  <c r="A113" i="3"/>
  <c r="AR112" i="3"/>
  <c r="D112" i="3"/>
  <c r="C112" i="3"/>
  <c r="G112" i="3"/>
  <c r="H112" i="3" s="1"/>
  <c r="BN112" i="3" s="1"/>
  <c r="F112" i="3"/>
  <c r="BM112" i="3" s="1"/>
  <c r="Q112" i="3"/>
  <c r="S112" i="3"/>
  <c r="O112" i="3"/>
  <c r="U112" i="3"/>
  <c r="AD112" i="3"/>
  <c r="AK112" i="3"/>
  <c r="AM112" i="3"/>
  <c r="AF112" i="3"/>
  <c r="M112" i="3"/>
  <c r="AE112" i="3"/>
  <c r="V112" i="3"/>
  <c r="P112" i="3"/>
  <c r="R112" i="3"/>
  <c r="T112" i="3"/>
  <c r="AG111" i="3"/>
  <c r="BB108" i="3"/>
  <c r="BQ108" i="3"/>
  <c r="BF108" i="3"/>
  <c r="BJ107" i="3" s="1"/>
  <c r="BK107" i="3" s="1"/>
  <c r="AV109" i="3"/>
  <c r="BA109" i="3"/>
  <c r="AW110" i="3"/>
  <c r="BC109" i="3" l="1"/>
  <c r="BD109" i="3" s="1"/>
  <c r="AY110" i="3"/>
  <c r="AV110" i="3"/>
  <c r="AG112" i="3"/>
  <c r="BA110" i="3"/>
  <c r="AN112" i="3"/>
  <c r="AW111" i="3"/>
  <c r="BQ110" i="3"/>
  <c r="BF110" i="3"/>
  <c r="BB110" i="3"/>
  <c r="AO112" i="3"/>
  <c r="AH112" i="3"/>
  <c r="B113" i="3"/>
  <c r="A114" i="3"/>
  <c r="AQ113" i="3"/>
  <c r="AR113" i="3"/>
  <c r="D113" i="3"/>
  <c r="C113" i="3"/>
  <c r="G113" i="3"/>
  <c r="H113" i="3" s="1"/>
  <c r="BN113" i="3" s="1"/>
  <c r="F113" i="3"/>
  <c r="BM113" i="3" s="1"/>
  <c r="S113" i="3"/>
  <c r="Q113" i="3"/>
  <c r="O113" i="3"/>
  <c r="U113" i="3"/>
  <c r="AD113" i="3"/>
  <c r="AM113" i="3"/>
  <c r="AK113" i="3"/>
  <c r="M113" i="3"/>
  <c r="AF113" i="3"/>
  <c r="AE113" i="3"/>
  <c r="T113" i="3"/>
  <c r="P113" i="3"/>
  <c r="V113" i="3"/>
  <c r="R113" i="3"/>
  <c r="AT111" i="3"/>
  <c r="Y112" i="3"/>
  <c r="Z112" i="3" s="1"/>
  <c r="X112" i="3"/>
  <c r="BQ109" i="3"/>
  <c r="BB109" i="3"/>
  <c r="BF109" i="3"/>
  <c r="BJ108" i="3" s="1"/>
  <c r="BK108" i="3" s="1"/>
  <c r="AU111" i="3"/>
  <c r="AX111" i="3"/>
  <c r="AY111" i="3" s="1"/>
  <c r="BC110" i="3" l="1"/>
  <c r="BD110" i="3"/>
  <c r="BG110" i="3"/>
  <c r="BH110" i="3" s="1"/>
  <c r="BI110" i="3" s="1"/>
  <c r="BG109" i="3"/>
  <c r="BH109" i="3" s="1"/>
  <c r="BI109" i="3" s="1"/>
  <c r="AG113" i="3"/>
  <c r="AO113" i="3"/>
  <c r="AX112" i="3"/>
  <c r="AH113" i="3"/>
  <c r="A115" i="3"/>
  <c r="B114" i="3"/>
  <c r="AQ114" i="3"/>
  <c r="AR114" i="3"/>
  <c r="D114" i="3"/>
  <c r="C114" i="3"/>
  <c r="G114" i="3"/>
  <c r="H114" i="3" s="1"/>
  <c r="BN114" i="3" s="1"/>
  <c r="F114" i="3"/>
  <c r="BM114" i="3" s="1"/>
  <c r="Q114" i="3"/>
  <c r="S114" i="3"/>
  <c r="O114" i="3"/>
  <c r="U114" i="3"/>
  <c r="AE114" i="3"/>
  <c r="AD114" i="3"/>
  <c r="AF114" i="3"/>
  <c r="AK114" i="3"/>
  <c r="AM114" i="3"/>
  <c r="M114" i="3"/>
  <c r="V114" i="3"/>
  <c r="P114" i="3"/>
  <c r="R114" i="3"/>
  <c r="T114" i="3"/>
  <c r="AN113" i="3"/>
  <c r="Y113" i="3"/>
  <c r="Z113" i="3" s="1"/>
  <c r="X113" i="3"/>
  <c r="AU112" i="3"/>
  <c r="BJ109" i="3"/>
  <c r="BK109" i="3" s="1"/>
  <c r="AW112" i="3"/>
  <c r="AV111" i="3"/>
  <c r="BC111" i="3" s="1"/>
  <c r="BA111" i="3"/>
  <c r="AT112" i="3"/>
  <c r="AU113" i="3" l="1"/>
  <c r="AT113" i="3"/>
  <c r="AW113" i="3"/>
  <c r="AY112" i="3"/>
  <c r="AN114" i="3"/>
  <c r="Y114" i="3"/>
  <c r="Z114" i="3" s="1"/>
  <c r="AV112" i="3"/>
  <c r="BA112" i="3"/>
  <c r="BQ111" i="3"/>
  <c r="BB111" i="3"/>
  <c r="BF111" i="3"/>
  <c r="BJ110" i="3" s="1"/>
  <c r="BK110" i="3" s="1"/>
  <c r="AG114" i="3"/>
  <c r="BD111" i="3"/>
  <c r="BG111" i="3"/>
  <c r="BH111" i="3" s="1"/>
  <c r="BI111" i="3" s="1"/>
  <c r="AH114" i="3"/>
  <c r="AU114" i="3" s="1"/>
  <c r="AO114" i="3"/>
  <c r="X114" i="3"/>
  <c r="A116" i="3"/>
  <c r="B115" i="3"/>
  <c r="AQ115" i="3"/>
  <c r="AR115" i="3"/>
  <c r="D115" i="3"/>
  <c r="C115" i="3"/>
  <c r="G115" i="3"/>
  <c r="H115" i="3" s="1"/>
  <c r="BN115" i="3" s="1"/>
  <c r="F115" i="3"/>
  <c r="Q115" i="3"/>
  <c r="S115" i="3"/>
  <c r="O115" i="3"/>
  <c r="U115" i="3"/>
  <c r="AM115" i="3"/>
  <c r="M115" i="3"/>
  <c r="AF115" i="3"/>
  <c r="AE115" i="3"/>
  <c r="AK115" i="3"/>
  <c r="AD115" i="3"/>
  <c r="R115" i="3"/>
  <c r="V115" i="3"/>
  <c r="T115" i="3"/>
  <c r="P115" i="3"/>
  <c r="AX113" i="3"/>
  <c r="AV113" i="3" l="1"/>
  <c r="BA113" i="3"/>
  <c r="BF113" i="3" s="1"/>
  <c r="BC112" i="3"/>
  <c r="AG115" i="3"/>
  <c r="AN115" i="3"/>
  <c r="BM115" i="3"/>
  <c r="AY113" i="3"/>
  <c r="X115" i="3"/>
  <c r="B116" i="3"/>
  <c r="AQ116" i="3"/>
  <c r="A117" i="3"/>
  <c r="AR116" i="3"/>
  <c r="D116" i="3"/>
  <c r="C116" i="3"/>
  <c r="G116" i="3"/>
  <c r="H116" i="3" s="1"/>
  <c r="BN116" i="3" s="1"/>
  <c r="F116" i="3"/>
  <c r="BM116" i="3" s="1"/>
  <c r="Q116" i="3"/>
  <c r="S116" i="3"/>
  <c r="O116" i="3"/>
  <c r="U116" i="3"/>
  <c r="AK116" i="3"/>
  <c r="AM116" i="3"/>
  <c r="AF116" i="3"/>
  <c r="AD116" i="3"/>
  <c r="M116" i="3"/>
  <c r="AE116" i="3"/>
  <c r="T116" i="3"/>
  <c r="P116" i="3"/>
  <c r="V116" i="3"/>
  <c r="R116" i="3"/>
  <c r="AX114" i="3"/>
  <c r="BF112" i="3"/>
  <c r="BJ111" i="3" s="1"/>
  <c r="BK111" i="3" s="1"/>
  <c r="BQ112" i="3"/>
  <c r="BB112" i="3"/>
  <c r="Y115" i="3"/>
  <c r="Z115" i="3" s="1"/>
  <c r="BD112" i="3"/>
  <c r="BG112" i="3"/>
  <c r="BH112" i="3" s="1"/>
  <c r="BI112" i="3" s="1"/>
  <c r="AT114" i="3"/>
  <c r="AW114" i="3"/>
  <c r="AH115" i="3"/>
  <c r="AO115" i="3"/>
  <c r="BC113" i="3" l="1"/>
  <c r="BD113" i="3" s="1"/>
  <c r="BB113" i="3"/>
  <c r="BQ113" i="3"/>
  <c r="AU115" i="3"/>
  <c r="AG116" i="3"/>
  <c r="AN116" i="3"/>
  <c r="Y116" i="3"/>
  <c r="Z116" i="3" s="1"/>
  <c r="AQ117" i="3"/>
  <c r="B117" i="3"/>
  <c r="A118" i="3"/>
  <c r="AR117" i="3"/>
  <c r="C117" i="3"/>
  <c r="D117" i="3"/>
  <c r="F117" i="3"/>
  <c r="BM117" i="3" s="1"/>
  <c r="G117" i="3"/>
  <c r="H117" i="3" s="1"/>
  <c r="BN117" i="3" s="1"/>
  <c r="Q117" i="3"/>
  <c r="S117" i="3"/>
  <c r="O117" i="3"/>
  <c r="U117" i="3"/>
  <c r="AD117" i="3"/>
  <c r="AM117" i="3"/>
  <c r="AK117" i="3"/>
  <c r="AE117" i="3"/>
  <c r="AF117" i="3"/>
  <c r="M117" i="3"/>
  <c r="P117" i="3"/>
  <c r="T117" i="3"/>
  <c r="V117" i="3"/>
  <c r="R117" i="3"/>
  <c r="AY114" i="3"/>
  <c r="AW115" i="3"/>
  <c r="AX115" i="3"/>
  <c r="AH116" i="3"/>
  <c r="AT115" i="3"/>
  <c r="X116" i="3"/>
  <c r="AO116" i="3"/>
  <c r="BA114" i="3"/>
  <c r="AV114" i="3"/>
  <c r="BJ112" i="3"/>
  <c r="BK112" i="3" s="1"/>
  <c r="BG113" i="3" l="1"/>
  <c r="BH113" i="3" s="1"/>
  <c r="BI113" i="3" s="1"/>
  <c r="AX116" i="3"/>
  <c r="AO117" i="3"/>
  <c r="AY115" i="3"/>
  <c r="AG117" i="3"/>
  <c r="AN117" i="3"/>
  <c r="AV115" i="3"/>
  <c r="BC115" i="3" s="1"/>
  <c r="BA115" i="3"/>
  <c r="BQ114" i="3"/>
  <c r="BF114" i="3"/>
  <c r="BJ113" i="3" s="1"/>
  <c r="BK113" i="3" s="1"/>
  <c r="BB114" i="3"/>
  <c r="AT116" i="3"/>
  <c r="AU116" i="3"/>
  <c r="AH117" i="3"/>
  <c r="B118" i="3"/>
  <c r="AQ118" i="3"/>
  <c r="AR118" i="3"/>
  <c r="A119" i="3"/>
  <c r="D118" i="3"/>
  <c r="C118" i="3"/>
  <c r="G118" i="3"/>
  <c r="H118" i="3" s="1"/>
  <c r="BN118" i="3" s="1"/>
  <c r="F118" i="3"/>
  <c r="BM118" i="3" s="1"/>
  <c r="Q118" i="3"/>
  <c r="S118" i="3"/>
  <c r="O118" i="3"/>
  <c r="U118" i="3"/>
  <c r="AK118" i="3"/>
  <c r="AD118" i="3"/>
  <c r="M118" i="3"/>
  <c r="AE118" i="3"/>
  <c r="AM118" i="3"/>
  <c r="AF118" i="3"/>
  <c r="V118" i="3"/>
  <c r="P118" i="3"/>
  <c r="T118" i="3"/>
  <c r="R118" i="3"/>
  <c r="X117" i="3"/>
  <c r="Y117" i="3"/>
  <c r="Z117" i="3" s="1"/>
  <c r="BC114" i="3"/>
  <c r="AW116" i="3"/>
  <c r="AY116" i="3" l="1"/>
  <c r="AX117" i="3"/>
  <c r="AN118" i="3"/>
  <c r="AO118" i="3"/>
  <c r="X118" i="3"/>
  <c r="AG118" i="3"/>
  <c r="AH118" i="3"/>
  <c r="Y118" i="3"/>
  <c r="Z118" i="3" s="1"/>
  <c r="AW117" i="3"/>
  <c r="A120" i="3"/>
  <c r="B119" i="3"/>
  <c r="AQ119" i="3"/>
  <c r="AR119" i="3"/>
  <c r="C119" i="3"/>
  <c r="D119" i="3"/>
  <c r="F119" i="3"/>
  <c r="BM119" i="3" s="1"/>
  <c r="G119" i="3"/>
  <c r="H119" i="3" s="1"/>
  <c r="BN119" i="3" s="1"/>
  <c r="Q119" i="3"/>
  <c r="S119" i="3"/>
  <c r="O119" i="3"/>
  <c r="U119" i="3"/>
  <c r="AD119" i="3"/>
  <c r="M119" i="3"/>
  <c r="AK119" i="3"/>
  <c r="AE119" i="3"/>
  <c r="AM119" i="3"/>
  <c r="AF119" i="3"/>
  <c r="R119" i="3"/>
  <c r="V119" i="3"/>
  <c r="T119" i="3"/>
  <c r="P119" i="3"/>
  <c r="AT117" i="3"/>
  <c r="BQ115" i="3"/>
  <c r="BF115" i="3"/>
  <c r="BJ114" i="3" s="1"/>
  <c r="BB115" i="3"/>
  <c r="BA116" i="3"/>
  <c r="AV116" i="3"/>
  <c r="BC116" i="3" s="1"/>
  <c r="AU117" i="3"/>
  <c r="BD114" i="3"/>
  <c r="BG114" i="3"/>
  <c r="BH114" i="3" s="1"/>
  <c r="BI114" i="3" s="1"/>
  <c r="BD115" i="3"/>
  <c r="BG115" i="3"/>
  <c r="BH115" i="3" s="1"/>
  <c r="BI115" i="3" s="1"/>
  <c r="AX118" i="3" l="1"/>
  <c r="AN119" i="3"/>
  <c r="AY117" i="3"/>
  <c r="BK114" i="3"/>
  <c r="AG119" i="3"/>
  <c r="AV117" i="3"/>
  <c r="BA117" i="3"/>
  <c r="AO119" i="3"/>
  <c r="A121" i="3"/>
  <c r="AR120" i="3"/>
  <c r="AQ120" i="3"/>
  <c r="B120" i="3"/>
  <c r="C120" i="3"/>
  <c r="D120" i="3"/>
  <c r="F120" i="3"/>
  <c r="BM120" i="3" s="1"/>
  <c r="G120" i="3"/>
  <c r="H120" i="3" s="1"/>
  <c r="BN120" i="3" s="1"/>
  <c r="Q120" i="3"/>
  <c r="S120" i="3"/>
  <c r="O120" i="3"/>
  <c r="U120" i="3"/>
  <c r="AM120" i="3"/>
  <c r="M120" i="3"/>
  <c r="AE120" i="3"/>
  <c r="AK120" i="3"/>
  <c r="AF120" i="3"/>
  <c r="AD120" i="3"/>
  <c r="P120" i="3"/>
  <c r="R120" i="3"/>
  <c r="V120" i="3"/>
  <c r="T120" i="3"/>
  <c r="Y119" i="3"/>
  <c r="Z119" i="3" s="1"/>
  <c r="AH119" i="3"/>
  <c r="AW118" i="3"/>
  <c r="AY118" i="3" s="1"/>
  <c r="BD116" i="3"/>
  <c r="BG116" i="3"/>
  <c r="BH116" i="3" s="1"/>
  <c r="BI116" i="3" s="1"/>
  <c r="AU118" i="3"/>
  <c r="X119" i="3"/>
  <c r="BQ116" i="3"/>
  <c r="BF116" i="3"/>
  <c r="BJ115" i="3" s="1"/>
  <c r="BK115" i="3" s="1"/>
  <c r="BB116" i="3"/>
  <c r="AT118" i="3"/>
  <c r="AO120" i="3" l="1"/>
  <c r="BC117" i="3"/>
  <c r="BD117" i="3" s="1"/>
  <c r="AX119" i="3"/>
  <c r="AH120" i="3"/>
  <c r="AG120" i="3"/>
  <c r="X120" i="3"/>
  <c r="Y120" i="3"/>
  <c r="Z120" i="3" s="1"/>
  <c r="AV118" i="3"/>
  <c r="BC118" i="3" s="1"/>
  <c r="BA118" i="3"/>
  <c r="AU119" i="3"/>
  <c r="AT120" i="3"/>
  <c r="BF117" i="3"/>
  <c r="BJ116" i="3" s="1"/>
  <c r="BK116" i="3" s="1"/>
  <c r="BQ117" i="3"/>
  <c r="BB117" i="3"/>
  <c r="AN120" i="3"/>
  <c r="AX120" i="3" s="1"/>
  <c r="AT119" i="3"/>
  <c r="AU120" i="3"/>
  <c r="AQ121" i="3"/>
  <c r="AR121" i="3"/>
  <c r="B121" i="3"/>
  <c r="A122" i="3"/>
  <c r="D121" i="3"/>
  <c r="C121" i="3"/>
  <c r="G121" i="3"/>
  <c r="H121" i="3" s="1"/>
  <c r="BN121" i="3" s="1"/>
  <c r="F121" i="3"/>
  <c r="BM121" i="3" s="1"/>
  <c r="Q121" i="3"/>
  <c r="S121" i="3"/>
  <c r="O121" i="3"/>
  <c r="U121" i="3"/>
  <c r="AM121" i="3"/>
  <c r="AK121" i="3"/>
  <c r="AD121" i="3"/>
  <c r="AE121" i="3"/>
  <c r="M121" i="3"/>
  <c r="AF121" i="3"/>
  <c r="V121" i="3"/>
  <c r="P121" i="3"/>
  <c r="T121" i="3"/>
  <c r="R121" i="3"/>
  <c r="AW119" i="3"/>
  <c r="AY119" i="3" s="1"/>
  <c r="BG117" i="3" l="1"/>
  <c r="BH117" i="3" s="1"/>
  <c r="BI117" i="3" s="1"/>
  <c r="AO121" i="3"/>
  <c r="AG121" i="3"/>
  <c r="X121" i="3"/>
  <c r="AQ122" i="3"/>
  <c r="A123" i="3"/>
  <c r="AR122" i="3"/>
  <c r="B122" i="3"/>
  <c r="D122" i="3"/>
  <c r="C122" i="3"/>
  <c r="G122" i="3"/>
  <c r="H122" i="3" s="1"/>
  <c r="BN122" i="3" s="1"/>
  <c r="F122" i="3"/>
  <c r="BM122" i="3" s="1"/>
  <c r="Q122" i="3"/>
  <c r="S122" i="3"/>
  <c r="O122" i="3"/>
  <c r="U122" i="3"/>
  <c r="AE122" i="3"/>
  <c r="AM122" i="3"/>
  <c r="AK122" i="3"/>
  <c r="AD122" i="3"/>
  <c r="AF122" i="3"/>
  <c r="M122" i="3"/>
  <c r="T122" i="3"/>
  <c r="R122" i="3"/>
  <c r="V122" i="3"/>
  <c r="P122" i="3"/>
  <c r="BD118" i="3"/>
  <c r="BG118" i="3"/>
  <c r="BH118" i="3" s="1"/>
  <c r="BI118" i="3" s="1"/>
  <c r="Y121" i="3"/>
  <c r="Z121" i="3" s="1"/>
  <c r="AN121" i="3"/>
  <c r="BA119" i="3"/>
  <c r="AV119" i="3"/>
  <c r="BC119" i="3" s="1"/>
  <c r="BQ118" i="3"/>
  <c r="BF118" i="3"/>
  <c r="BJ117" i="3" s="1"/>
  <c r="BK117" i="3" s="1"/>
  <c r="BB118" i="3"/>
  <c r="AW120" i="3"/>
  <c r="AY120" i="3" s="1"/>
  <c r="AH121" i="3"/>
  <c r="AT121" i="3" s="1"/>
  <c r="AV120" i="3"/>
  <c r="AU121" i="3" l="1"/>
  <c r="AO122" i="3"/>
  <c r="BA120" i="3"/>
  <c r="BB120" i="3" s="1"/>
  <c r="BC120" i="3"/>
  <c r="AN122" i="3"/>
  <c r="Y122" i="3"/>
  <c r="Z122" i="3" s="1"/>
  <c r="BB119" i="3"/>
  <c r="BQ119" i="3"/>
  <c r="BF119" i="3"/>
  <c r="BJ118" i="3" s="1"/>
  <c r="BK118" i="3" s="1"/>
  <c r="AV121" i="3"/>
  <c r="AG122" i="3"/>
  <c r="AH122" i="3"/>
  <c r="X122" i="3"/>
  <c r="A124" i="3"/>
  <c r="B123" i="3"/>
  <c r="AQ123" i="3"/>
  <c r="AR123" i="3"/>
  <c r="D123" i="3"/>
  <c r="C123" i="3"/>
  <c r="F123" i="3"/>
  <c r="G123" i="3"/>
  <c r="H123" i="3" s="1"/>
  <c r="BN123" i="3" s="1"/>
  <c r="Q123" i="3"/>
  <c r="S123" i="3"/>
  <c r="O123" i="3"/>
  <c r="U123" i="3"/>
  <c r="AK123" i="3"/>
  <c r="AM123" i="3"/>
  <c r="AD123" i="3"/>
  <c r="M123" i="3"/>
  <c r="AE123" i="3"/>
  <c r="AF123" i="3"/>
  <c r="R123" i="3"/>
  <c r="T123" i="3"/>
  <c r="P123" i="3"/>
  <c r="V123" i="3"/>
  <c r="BD119" i="3"/>
  <c r="BG119" i="3"/>
  <c r="BH119" i="3" s="1"/>
  <c r="BI119" i="3" s="1"/>
  <c r="BG120" i="3"/>
  <c r="BH120" i="3" s="1"/>
  <c r="BI120" i="3" s="1"/>
  <c r="BD120" i="3"/>
  <c r="AX121" i="3"/>
  <c r="AW121" i="3"/>
  <c r="BA121" i="3" l="1"/>
  <c r="AX122" i="3"/>
  <c r="BQ120" i="3"/>
  <c r="BF120" i="3"/>
  <c r="BJ119" i="3" s="1"/>
  <c r="BK119" i="3" s="1"/>
  <c r="AN123" i="3"/>
  <c r="AG123" i="3"/>
  <c r="BF121" i="3"/>
  <c r="BQ121" i="3"/>
  <c r="BB121" i="3"/>
  <c r="X123" i="3"/>
  <c r="BM123" i="3"/>
  <c r="A125" i="3"/>
  <c r="AR124" i="3"/>
  <c r="B124" i="3"/>
  <c r="AQ124" i="3"/>
  <c r="C124" i="3"/>
  <c r="D124" i="3"/>
  <c r="G124" i="3"/>
  <c r="H124" i="3" s="1"/>
  <c r="BN124" i="3" s="1"/>
  <c r="F124" i="3"/>
  <c r="BM124" i="3" s="1"/>
  <c r="S124" i="3"/>
  <c r="Q124" i="3"/>
  <c r="O124" i="3"/>
  <c r="U124" i="3"/>
  <c r="AD124" i="3"/>
  <c r="AE124" i="3"/>
  <c r="AF124" i="3"/>
  <c r="AK124" i="3"/>
  <c r="AM124" i="3"/>
  <c r="M124" i="3"/>
  <c r="T124" i="3"/>
  <c r="V124" i="3"/>
  <c r="R124" i="3"/>
  <c r="P124" i="3"/>
  <c r="AY121" i="3"/>
  <c r="BC121" i="3" s="1"/>
  <c r="AH123" i="3"/>
  <c r="AW122" i="3"/>
  <c r="AO123" i="3"/>
  <c r="AT122" i="3"/>
  <c r="AU122" i="3"/>
  <c r="Y123" i="3"/>
  <c r="Z123" i="3" s="1"/>
  <c r="BJ120" i="3" l="1"/>
  <c r="BK120" i="3" s="1"/>
  <c r="AY122" i="3"/>
  <c r="AX123" i="3"/>
  <c r="AU123" i="3"/>
  <c r="AN124" i="3"/>
  <c r="AH124" i="3"/>
  <c r="BD121" i="3"/>
  <c r="BG121" i="3"/>
  <c r="BH121" i="3" s="1"/>
  <c r="BI121" i="3" s="1"/>
  <c r="AO124" i="3"/>
  <c r="X124" i="3"/>
  <c r="B125" i="3"/>
  <c r="A126" i="3"/>
  <c r="AQ125" i="3"/>
  <c r="AR125" i="3"/>
  <c r="D125" i="3"/>
  <c r="C125" i="3"/>
  <c r="F125" i="3"/>
  <c r="BM125" i="3" s="1"/>
  <c r="G125" i="3"/>
  <c r="H125" i="3" s="1"/>
  <c r="BN125" i="3" s="1"/>
  <c r="S125" i="3"/>
  <c r="Q125" i="3"/>
  <c r="O125" i="3"/>
  <c r="U125" i="3"/>
  <c r="AD125" i="3"/>
  <c r="AM125" i="3"/>
  <c r="M125" i="3"/>
  <c r="AF125" i="3"/>
  <c r="AE125" i="3"/>
  <c r="AK125" i="3"/>
  <c r="V125" i="3"/>
  <c r="T125" i="3"/>
  <c r="R125" i="3"/>
  <c r="P125" i="3"/>
  <c r="AW123" i="3"/>
  <c r="AT123" i="3"/>
  <c r="Y124" i="3"/>
  <c r="Z124" i="3" s="1"/>
  <c r="AG124" i="3"/>
  <c r="AV122" i="3"/>
  <c r="BA122" i="3"/>
  <c r="AO125" i="3" l="1"/>
  <c r="BC122" i="3"/>
  <c r="BD122" i="3" s="1"/>
  <c r="AY123" i="3"/>
  <c r="AG125" i="3"/>
  <c r="AW124" i="3"/>
  <c r="AT124" i="3"/>
  <c r="Y125" i="3"/>
  <c r="Z125" i="3" s="1"/>
  <c r="AH125" i="3"/>
  <c r="B126" i="3"/>
  <c r="AQ126" i="3"/>
  <c r="AR126" i="3"/>
  <c r="A127" i="3"/>
  <c r="D126" i="3"/>
  <c r="C126" i="3"/>
  <c r="F126" i="3"/>
  <c r="BM126" i="3" s="1"/>
  <c r="G126" i="3"/>
  <c r="H126" i="3" s="1"/>
  <c r="BN126" i="3" s="1"/>
  <c r="Q126" i="3"/>
  <c r="S126" i="3"/>
  <c r="O126" i="3"/>
  <c r="U126" i="3"/>
  <c r="AM126" i="3"/>
  <c r="AK126" i="3"/>
  <c r="M126" i="3"/>
  <c r="AE126" i="3"/>
  <c r="AF126" i="3"/>
  <c r="AD126" i="3"/>
  <c r="V126" i="3"/>
  <c r="R126" i="3"/>
  <c r="P126" i="3"/>
  <c r="T126" i="3"/>
  <c r="BF122" i="3"/>
  <c r="BJ121" i="3" s="1"/>
  <c r="BK121" i="3" s="1"/>
  <c r="BB122" i="3"/>
  <c r="BQ122" i="3"/>
  <c r="AU124" i="3"/>
  <c r="AX124" i="3"/>
  <c r="X125" i="3"/>
  <c r="AN125" i="3"/>
  <c r="AV123" i="3"/>
  <c r="BC123" i="3" s="1"/>
  <c r="BA123" i="3"/>
  <c r="AW125" i="3" l="1"/>
  <c r="BG122" i="3"/>
  <c r="BH122" i="3" s="1"/>
  <c r="BI122" i="3" s="1"/>
  <c r="AY124" i="3"/>
  <c r="AH126" i="3"/>
  <c r="AT125" i="3"/>
  <c r="AU125" i="3"/>
  <c r="BA124" i="3"/>
  <c r="BQ124" i="3" s="1"/>
  <c r="AN126" i="3"/>
  <c r="Y126" i="3"/>
  <c r="Z126" i="3" s="1"/>
  <c r="AO126" i="3"/>
  <c r="BD123" i="3"/>
  <c r="BG123" i="3"/>
  <c r="BH123" i="3" s="1"/>
  <c r="BI123" i="3" s="1"/>
  <c r="AR127" i="3"/>
  <c r="A128" i="3"/>
  <c r="B127" i="3"/>
  <c r="AQ127" i="3"/>
  <c r="D127" i="3"/>
  <c r="C127" i="3"/>
  <c r="G127" i="3"/>
  <c r="H127" i="3" s="1"/>
  <c r="BN127" i="3" s="1"/>
  <c r="F127" i="3"/>
  <c r="BM127" i="3" s="1"/>
  <c r="Q127" i="3"/>
  <c r="S127" i="3"/>
  <c r="O127" i="3"/>
  <c r="U127" i="3"/>
  <c r="AD127" i="3"/>
  <c r="M127" i="3"/>
  <c r="AK127" i="3"/>
  <c r="AE127" i="3"/>
  <c r="AM127" i="3"/>
  <c r="AN127" i="3" s="1"/>
  <c r="AF127" i="3"/>
  <c r="R127" i="3"/>
  <c r="P127" i="3"/>
  <c r="V127" i="3"/>
  <c r="T127" i="3"/>
  <c r="AG126" i="3"/>
  <c r="X126" i="3"/>
  <c r="BQ123" i="3"/>
  <c r="BB123" i="3"/>
  <c r="BF123" i="3"/>
  <c r="BJ122" i="3" s="1"/>
  <c r="BK122" i="3" s="1"/>
  <c r="AX125" i="3"/>
  <c r="AV124" i="3"/>
  <c r="BC124" i="3" s="1"/>
  <c r="AY125" i="3" l="1"/>
  <c r="BF124" i="3"/>
  <c r="BB124" i="3"/>
  <c r="AV125" i="3"/>
  <c r="AT126" i="3"/>
  <c r="AX126" i="3"/>
  <c r="AW126" i="3"/>
  <c r="AO127" i="3"/>
  <c r="AG127" i="3"/>
  <c r="A129" i="3"/>
  <c r="AQ128" i="3"/>
  <c r="AR128" i="3"/>
  <c r="B128" i="3"/>
  <c r="C128" i="3"/>
  <c r="D128" i="3"/>
  <c r="G128" i="3"/>
  <c r="H128" i="3" s="1"/>
  <c r="BN128" i="3" s="1"/>
  <c r="F128" i="3"/>
  <c r="BM128" i="3" s="1"/>
  <c r="Q128" i="3"/>
  <c r="S128" i="3"/>
  <c r="O128" i="3"/>
  <c r="U128" i="3"/>
  <c r="AM128" i="3"/>
  <c r="AD128" i="3"/>
  <c r="M128" i="3"/>
  <c r="AK128" i="3"/>
  <c r="AE128" i="3"/>
  <c r="AF128" i="3"/>
  <c r="T128" i="3"/>
  <c r="V128" i="3"/>
  <c r="P128" i="3"/>
  <c r="R128" i="3"/>
  <c r="AU126" i="3"/>
  <c r="Y127" i="3"/>
  <c r="Z127" i="3" s="1"/>
  <c r="AH127" i="3"/>
  <c r="X127" i="3"/>
  <c r="BD124" i="3"/>
  <c r="BG124" i="3"/>
  <c r="BH124" i="3" s="1"/>
  <c r="BI124" i="3" s="1"/>
  <c r="BJ123" i="3"/>
  <c r="BK123" i="3" s="1"/>
  <c r="BA125" i="3"/>
  <c r="BC125" i="3" l="1"/>
  <c r="AO128" i="3"/>
  <c r="AX127" i="3"/>
  <c r="AV126" i="3"/>
  <c r="AY126" i="3"/>
  <c r="Y128" i="3"/>
  <c r="Z128" i="3" s="1"/>
  <c r="BF125" i="3"/>
  <c r="BJ124" i="3" s="1"/>
  <c r="BK124" i="3" s="1"/>
  <c r="BQ125" i="3"/>
  <c r="BB125" i="3"/>
  <c r="AG128" i="3"/>
  <c r="X128" i="3"/>
  <c r="AW127" i="3"/>
  <c r="AN128" i="3"/>
  <c r="BA126" i="3"/>
  <c r="AU127" i="3"/>
  <c r="AH128" i="3"/>
  <c r="AQ129" i="3"/>
  <c r="AR129" i="3"/>
  <c r="B129" i="3"/>
  <c r="A130" i="3"/>
  <c r="D129" i="3"/>
  <c r="C129" i="3"/>
  <c r="G129" i="3"/>
  <c r="H129" i="3" s="1"/>
  <c r="BN129" i="3" s="1"/>
  <c r="F129" i="3"/>
  <c r="BM129" i="3" s="1"/>
  <c r="Q129" i="3"/>
  <c r="S129" i="3"/>
  <c r="O129" i="3"/>
  <c r="U129" i="3"/>
  <c r="AM129" i="3"/>
  <c r="AD129" i="3"/>
  <c r="AF129" i="3"/>
  <c r="M129" i="3"/>
  <c r="AE129" i="3"/>
  <c r="AK129" i="3"/>
  <c r="P129" i="3"/>
  <c r="T129" i="3"/>
  <c r="R129" i="3"/>
  <c r="V129" i="3"/>
  <c r="AT127" i="3"/>
  <c r="BD125" i="3"/>
  <c r="BG125" i="3"/>
  <c r="BH125" i="3" s="1"/>
  <c r="BI125" i="3" s="1"/>
  <c r="AY127" i="3" l="1"/>
  <c r="AG129" i="3"/>
  <c r="BC126" i="3"/>
  <c r="BD126" i="3" s="1"/>
  <c r="AX128" i="3"/>
  <c r="BG126" i="3"/>
  <c r="BH126" i="3" s="1"/>
  <c r="BI126" i="3" s="1"/>
  <c r="AN129" i="3"/>
  <c r="AH129" i="3"/>
  <c r="AU129" i="3" s="1"/>
  <c r="X129" i="3"/>
  <c r="B130" i="3"/>
  <c r="AR130" i="3"/>
  <c r="AQ130" i="3"/>
  <c r="A131" i="3"/>
  <c r="C130" i="3"/>
  <c r="D130" i="3"/>
  <c r="F130" i="3"/>
  <c r="BM130" i="3" s="1"/>
  <c r="G130" i="3"/>
  <c r="H130" i="3" s="1"/>
  <c r="BN130" i="3" s="1"/>
  <c r="Q130" i="3"/>
  <c r="S130" i="3"/>
  <c r="O130" i="3"/>
  <c r="U130" i="3"/>
  <c r="AD130" i="3"/>
  <c r="AK130" i="3"/>
  <c r="AF130" i="3"/>
  <c r="AM130" i="3"/>
  <c r="AE130" i="3"/>
  <c r="M130" i="3"/>
  <c r="V130" i="3"/>
  <c r="T130" i="3"/>
  <c r="R130" i="3"/>
  <c r="P130" i="3"/>
  <c r="BQ126" i="3"/>
  <c r="BF126" i="3"/>
  <c r="BJ125" i="3" s="1"/>
  <c r="BK125" i="3" s="1"/>
  <c r="BB126" i="3"/>
  <c r="AT128" i="3"/>
  <c r="AU128" i="3"/>
  <c r="AW128" i="3"/>
  <c r="AV127" i="3"/>
  <c r="BC127" i="3" s="1"/>
  <c r="BA127" i="3"/>
  <c r="Y129" i="3"/>
  <c r="Z129" i="3" s="1"/>
  <c r="AO129" i="3"/>
  <c r="AN130" i="3" l="1"/>
  <c r="AW129" i="3"/>
  <c r="AY128" i="3"/>
  <c r="AT129" i="3"/>
  <c r="AH130" i="3"/>
  <c r="AV128" i="3"/>
  <c r="BC128" i="3" s="1"/>
  <c r="BA128" i="3"/>
  <c r="X130" i="3"/>
  <c r="AO130" i="3"/>
  <c r="AV129" i="3"/>
  <c r="AG130" i="3"/>
  <c r="AR131" i="3"/>
  <c r="AQ131" i="3"/>
  <c r="B131" i="3"/>
  <c r="A132" i="3"/>
  <c r="D131" i="3"/>
  <c r="C131" i="3"/>
  <c r="G131" i="3"/>
  <c r="H131" i="3" s="1"/>
  <c r="F131" i="3"/>
  <c r="BM131" i="3" s="1"/>
  <c r="Q131" i="3"/>
  <c r="S131" i="3"/>
  <c r="O131" i="3"/>
  <c r="U131" i="3"/>
  <c r="AK131" i="3"/>
  <c r="AD131" i="3"/>
  <c r="AF131" i="3"/>
  <c r="M131" i="3"/>
  <c r="AM131" i="3"/>
  <c r="AE131" i="3"/>
  <c r="T131" i="3"/>
  <c r="P131" i="3"/>
  <c r="V131" i="3"/>
  <c r="R131" i="3"/>
  <c r="BD127" i="3"/>
  <c r="BG127" i="3"/>
  <c r="BH127" i="3" s="1"/>
  <c r="BI127" i="3" s="1"/>
  <c r="Y130" i="3"/>
  <c r="Z130" i="3" s="1"/>
  <c r="BB127" i="3"/>
  <c r="BQ127" i="3"/>
  <c r="BF127" i="3"/>
  <c r="BJ126" i="3" s="1"/>
  <c r="BK126" i="3" s="1"/>
  <c r="AX129" i="3"/>
  <c r="BN131" i="3" l="1"/>
  <c r="AY129" i="3"/>
  <c r="BC129" i="3" s="1"/>
  <c r="AN131" i="3"/>
  <c r="AW130" i="3"/>
  <c r="AG131" i="3"/>
  <c r="AU130" i="3"/>
  <c r="AH131" i="3"/>
  <c r="AU131" i="3" s="1"/>
  <c r="X131" i="3"/>
  <c r="A133" i="3"/>
  <c r="B132" i="3"/>
  <c r="AR132" i="3"/>
  <c r="AQ132" i="3"/>
  <c r="D132" i="3"/>
  <c r="C132" i="3"/>
  <c r="G132" i="3"/>
  <c r="H132" i="3" s="1"/>
  <c r="BN132" i="3" s="1"/>
  <c r="F132" i="3"/>
  <c r="BM132" i="3" s="1"/>
  <c r="Q132" i="3"/>
  <c r="S132" i="3"/>
  <c r="O132" i="3"/>
  <c r="U132" i="3"/>
  <c r="AM132" i="3"/>
  <c r="AD132" i="3"/>
  <c r="M132" i="3"/>
  <c r="AE132" i="3"/>
  <c r="AF132" i="3"/>
  <c r="AK132" i="3"/>
  <c r="P132" i="3"/>
  <c r="V132" i="3"/>
  <c r="R132" i="3"/>
  <c r="T132" i="3"/>
  <c r="AO131" i="3"/>
  <c r="AX130" i="3"/>
  <c r="BB128" i="3"/>
  <c r="BQ128" i="3"/>
  <c r="BF128" i="3"/>
  <c r="BJ127" i="3" s="1"/>
  <c r="BK127" i="3" s="1"/>
  <c r="AT130" i="3"/>
  <c r="BA129" i="3"/>
  <c r="BD128" i="3"/>
  <c r="BG128" i="3"/>
  <c r="BH128" i="3" s="1"/>
  <c r="BI128" i="3" s="1"/>
  <c r="Y131" i="3"/>
  <c r="Z131" i="3" s="1"/>
  <c r="AT131" i="3" l="1"/>
  <c r="AW131" i="3"/>
  <c r="AO132" i="3"/>
  <c r="AY130" i="3"/>
  <c r="AH132" i="3"/>
  <c r="X132" i="3"/>
  <c r="AV131" i="3"/>
  <c r="AG132" i="3"/>
  <c r="AT132" i="3" s="1"/>
  <c r="Y132" i="3"/>
  <c r="Z132" i="3" s="1"/>
  <c r="AN132" i="3"/>
  <c r="BQ129" i="3"/>
  <c r="BB129" i="3"/>
  <c r="BF129" i="3"/>
  <c r="BJ128" i="3" s="1"/>
  <c r="BK128" i="3" s="1"/>
  <c r="AR133" i="3"/>
  <c r="AQ133" i="3"/>
  <c r="A134" i="3"/>
  <c r="C133" i="3"/>
  <c r="B133" i="3"/>
  <c r="D133" i="3"/>
  <c r="G133" i="3"/>
  <c r="H133" i="3" s="1"/>
  <c r="BN133" i="3" s="1"/>
  <c r="F133" i="3"/>
  <c r="BM133" i="3" s="1"/>
  <c r="Q133" i="3"/>
  <c r="S133" i="3"/>
  <c r="O133" i="3"/>
  <c r="U133" i="3"/>
  <c r="AD133" i="3"/>
  <c r="AK133" i="3"/>
  <c r="AE133" i="3"/>
  <c r="M133" i="3"/>
  <c r="AF133" i="3"/>
  <c r="AM133" i="3"/>
  <c r="P133" i="3"/>
  <c r="R133" i="3"/>
  <c r="V133" i="3"/>
  <c r="T133" i="3"/>
  <c r="BD129" i="3"/>
  <c r="BG129" i="3"/>
  <c r="BH129" i="3" s="1"/>
  <c r="BI129" i="3" s="1"/>
  <c r="AV130" i="3"/>
  <c r="BC130" i="3" s="1"/>
  <c r="BA130" i="3"/>
  <c r="AX131" i="3"/>
  <c r="AX132" i="3" l="1"/>
  <c r="AY131" i="3"/>
  <c r="AN133" i="3"/>
  <c r="AU132" i="3"/>
  <c r="AV132" i="3" s="1"/>
  <c r="X133" i="3"/>
  <c r="AO133" i="3"/>
  <c r="AR134" i="3"/>
  <c r="B134" i="3"/>
  <c r="AQ134" i="3"/>
  <c r="A135" i="3"/>
  <c r="C134" i="3"/>
  <c r="D134" i="3"/>
  <c r="G134" i="3"/>
  <c r="H134" i="3" s="1"/>
  <c r="BN134" i="3" s="1"/>
  <c r="F134" i="3"/>
  <c r="BM134" i="3" s="1"/>
  <c r="Q134" i="3"/>
  <c r="S134" i="3"/>
  <c r="O134" i="3"/>
  <c r="U134" i="3"/>
  <c r="AD134" i="3"/>
  <c r="AK134" i="3"/>
  <c r="AM134" i="3"/>
  <c r="AE134" i="3"/>
  <c r="M134" i="3"/>
  <c r="AF134" i="3"/>
  <c r="V134" i="3"/>
  <c r="P134" i="3"/>
  <c r="T134" i="3"/>
  <c r="R134" i="3"/>
  <c r="AH133" i="3"/>
  <c r="BB130" i="3"/>
  <c r="BF130" i="3"/>
  <c r="BJ129" i="3" s="1"/>
  <c r="BK129" i="3" s="1"/>
  <c r="BQ130" i="3"/>
  <c r="BA131" i="3"/>
  <c r="AW132" i="3"/>
  <c r="AY132" i="3" s="1"/>
  <c r="AG133" i="3"/>
  <c r="BD130" i="3"/>
  <c r="BG130" i="3"/>
  <c r="BH130" i="3" s="1"/>
  <c r="BI130" i="3" s="1"/>
  <c r="BC131" i="3"/>
  <c r="Y133" i="3"/>
  <c r="Z133" i="3" s="1"/>
  <c r="AN134" i="3" l="1"/>
  <c r="AX133" i="3"/>
  <c r="AH134" i="3"/>
  <c r="AG134" i="3"/>
  <c r="AU134" i="3" s="1"/>
  <c r="X134" i="3"/>
  <c r="AT133" i="3"/>
  <c r="Y134" i="3"/>
  <c r="Z134" i="3" s="1"/>
  <c r="AT134" i="3"/>
  <c r="AW133" i="3"/>
  <c r="AY133" i="3" s="1"/>
  <c r="BC132" i="3"/>
  <c r="AO134" i="3"/>
  <c r="B135" i="3"/>
  <c r="A136" i="3"/>
  <c r="AQ135" i="3"/>
  <c r="AR135" i="3"/>
  <c r="C135" i="3"/>
  <c r="D135" i="3"/>
  <c r="G135" i="3"/>
  <c r="H135" i="3" s="1"/>
  <c r="F135" i="3"/>
  <c r="BM135" i="3" s="1"/>
  <c r="S135" i="3"/>
  <c r="Q135" i="3"/>
  <c r="O135" i="3"/>
  <c r="U135" i="3"/>
  <c r="AM135" i="3"/>
  <c r="AF135" i="3"/>
  <c r="AD135" i="3"/>
  <c r="M135" i="3"/>
  <c r="AE135" i="3"/>
  <c r="AK135" i="3"/>
  <c r="V135" i="3"/>
  <c r="P135" i="3"/>
  <c r="T135" i="3"/>
  <c r="R135" i="3"/>
  <c r="BD131" i="3"/>
  <c r="BG131" i="3"/>
  <c r="BH131" i="3" s="1"/>
  <c r="BI131" i="3" s="1"/>
  <c r="AU133" i="3"/>
  <c r="BQ131" i="3"/>
  <c r="BF131" i="3"/>
  <c r="BJ130" i="3" s="1"/>
  <c r="BK130" i="3" s="1"/>
  <c r="BB131" i="3"/>
  <c r="BA132" i="3"/>
  <c r="AO135" i="3" l="1"/>
  <c r="AG135" i="3"/>
  <c r="BN135" i="3"/>
  <c r="Y135" i="3"/>
  <c r="Z135" i="3" s="1"/>
  <c r="X135" i="3"/>
  <c r="AH135" i="3"/>
  <c r="AU135" i="3" s="1"/>
  <c r="B136" i="3"/>
  <c r="AR136" i="3"/>
  <c r="A137" i="3"/>
  <c r="AQ136" i="3"/>
  <c r="C136" i="3"/>
  <c r="D136" i="3"/>
  <c r="F136" i="3"/>
  <c r="BM136" i="3" s="1"/>
  <c r="G136" i="3"/>
  <c r="H136" i="3" s="1"/>
  <c r="BN136" i="3" s="1"/>
  <c r="S136" i="3"/>
  <c r="Q136" i="3"/>
  <c r="O136" i="3"/>
  <c r="U136" i="3"/>
  <c r="AD136" i="3"/>
  <c r="M136" i="3"/>
  <c r="AM136" i="3"/>
  <c r="AE136" i="3"/>
  <c r="AF136" i="3"/>
  <c r="AK136" i="3"/>
  <c r="T136" i="3"/>
  <c r="R136" i="3"/>
  <c r="P136" i="3"/>
  <c r="V136" i="3"/>
  <c r="BD132" i="3"/>
  <c r="BG132" i="3"/>
  <c r="BH132" i="3" s="1"/>
  <c r="BI132" i="3" s="1"/>
  <c r="AV134" i="3"/>
  <c r="AW134" i="3"/>
  <c r="AN135" i="3"/>
  <c r="BQ132" i="3"/>
  <c r="BF132" i="3"/>
  <c r="BJ131" i="3" s="1"/>
  <c r="BK131" i="3" s="1"/>
  <c r="BB132" i="3"/>
  <c r="BA133" i="3"/>
  <c r="AV133" i="3"/>
  <c r="BC133" i="3" s="1"/>
  <c r="AX134" i="3"/>
  <c r="BA134" i="3" l="1"/>
  <c r="BF134" i="3" s="1"/>
  <c r="AO136" i="3"/>
  <c r="AX135" i="3"/>
  <c r="AH136" i="3"/>
  <c r="BQ134" i="3"/>
  <c r="Y136" i="3"/>
  <c r="Z136" i="3" s="1"/>
  <c r="AN136" i="3"/>
  <c r="AG136" i="3"/>
  <c r="AQ137" i="3"/>
  <c r="AR137" i="3"/>
  <c r="B137" i="3"/>
  <c r="A138" i="3"/>
  <c r="C137" i="3"/>
  <c r="D137" i="3"/>
  <c r="G137" i="3"/>
  <c r="H137" i="3" s="1"/>
  <c r="BN137" i="3" s="1"/>
  <c r="F137" i="3"/>
  <c r="BM137" i="3" s="1"/>
  <c r="Q137" i="3"/>
  <c r="S137" i="3"/>
  <c r="O137" i="3"/>
  <c r="U137" i="3"/>
  <c r="AD137" i="3"/>
  <c r="AK137" i="3"/>
  <c r="AE137" i="3"/>
  <c r="M137" i="3"/>
  <c r="AM137" i="3"/>
  <c r="AN137" i="3" s="1"/>
  <c r="AF137" i="3"/>
  <c r="P137" i="3"/>
  <c r="V137" i="3"/>
  <c r="R137" i="3"/>
  <c r="T137" i="3"/>
  <c r="X136" i="3"/>
  <c r="AT135" i="3"/>
  <c r="AW135" i="3"/>
  <c r="BD133" i="3"/>
  <c r="BG133" i="3"/>
  <c r="BH133" i="3" s="1"/>
  <c r="BI133" i="3" s="1"/>
  <c r="BF133" i="3"/>
  <c r="BJ132" i="3" s="1"/>
  <c r="BK132" i="3" s="1"/>
  <c r="BQ133" i="3"/>
  <c r="BB133" i="3"/>
  <c r="AY134" i="3"/>
  <c r="BC134" i="3" s="1"/>
  <c r="BB134" i="3" l="1"/>
  <c r="AW136" i="3"/>
  <c r="AY135" i="3"/>
  <c r="AX136" i="3"/>
  <c r="AY136" i="3" s="1"/>
  <c r="AT136" i="3"/>
  <c r="BG134" i="3"/>
  <c r="BH134" i="3" s="1"/>
  <c r="BI134" i="3" s="1"/>
  <c r="BD134" i="3"/>
  <c r="Y137" i="3"/>
  <c r="Z137" i="3" s="1"/>
  <c r="X137" i="3"/>
  <c r="AR138" i="3"/>
  <c r="D138" i="3"/>
  <c r="B138" i="3"/>
  <c r="AQ138" i="3"/>
  <c r="A139" i="3"/>
  <c r="C138" i="3"/>
  <c r="F138" i="3"/>
  <c r="BM138" i="3" s="1"/>
  <c r="G138" i="3"/>
  <c r="H138" i="3" s="1"/>
  <c r="BN138" i="3" s="1"/>
  <c r="Q138" i="3"/>
  <c r="S138" i="3"/>
  <c r="O138" i="3"/>
  <c r="U138" i="3"/>
  <c r="AK138" i="3"/>
  <c r="AM138" i="3"/>
  <c r="AN138" i="3" s="1"/>
  <c r="AD138" i="3"/>
  <c r="AF138" i="3"/>
  <c r="AE138" i="3"/>
  <c r="M138" i="3"/>
  <c r="R138" i="3"/>
  <c r="T138" i="3"/>
  <c r="P138" i="3"/>
  <c r="V138" i="3"/>
  <c r="AG137" i="3"/>
  <c r="AO137" i="3"/>
  <c r="BJ133" i="3"/>
  <c r="BK133" i="3" s="1"/>
  <c r="AH137" i="3"/>
  <c r="AU136" i="3"/>
  <c r="BA135" i="3"/>
  <c r="AV135" i="3"/>
  <c r="BC135" i="3" l="1"/>
  <c r="BG135" i="3" s="1"/>
  <c r="BH135" i="3" s="1"/>
  <c r="BI135" i="3" s="1"/>
  <c r="Y138" i="3"/>
  <c r="Z138" i="3" s="1"/>
  <c r="BA136" i="3"/>
  <c r="BB136" i="3" s="1"/>
  <c r="AW137" i="3"/>
  <c r="AV136" i="3"/>
  <c r="BC136" i="3" s="1"/>
  <c r="A140" i="3"/>
  <c r="AR139" i="3"/>
  <c r="B139" i="3"/>
  <c r="AQ139" i="3"/>
  <c r="D139" i="3"/>
  <c r="C139" i="3"/>
  <c r="G139" i="3"/>
  <c r="H139" i="3" s="1"/>
  <c r="BN139" i="3" s="1"/>
  <c r="F139" i="3"/>
  <c r="BM139" i="3" s="1"/>
  <c r="S139" i="3"/>
  <c r="Q139" i="3"/>
  <c r="O139" i="3"/>
  <c r="U139" i="3"/>
  <c r="AM139" i="3"/>
  <c r="M139" i="3"/>
  <c r="AK139" i="3"/>
  <c r="AD139" i="3"/>
  <c r="AF139" i="3"/>
  <c r="AE139" i="3"/>
  <c r="V139" i="3"/>
  <c r="P139" i="3"/>
  <c r="R139" i="3"/>
  <c r="T139" i="3"/>
  <c r="AG138" i="3"/>
  <c r="AO138" i="3"/>
  <c r="AT137" i="3"/>
  <c r="AH138" i="3"/>
  <c r="X138" i="3"/>
  <c r="BF135" i="3"/>
  <c r="BJ134" i="3" s="1"/>
  <c r="BK134" i="3" s="1"/>
  <c r="BB135" i="3"/>
  <c r="BQ135" i="3"/>
  <c r="AX137" i="3"/>
  <c r="AU137" i="3"/>
  <c r="AO139" i="3" l="1"/>
  <c r="BD135" i="3"/>
  <c r="AG139" i="3"/>
  <c r="AT138" i="3"/>
  <c r="BQ136" i="3"/>
  <c r="BF136" i="3"/>
  <c r="BJ135" i="3" s="1"/>
  <c r="BK135" i="3" s="1"/>
  <c r="Y139" i="3"/>
  <c r="Z139" i="3" s="1"/>
  <c r="AH139" i="3"/>
  <c r="AU139" i="3" s="1"/>
  <c r="AY137" i="3"/>
  <c r="X139" i="3"/>
  <c r="A141" i="3"/>
  <c r="AR140" i="3"/>
  <c r="B140" i="3"/>
  <c r="AQ140" i="3"/>
  <c r="D140" i="3"/>
  <c r="C140" i="3"/>
  <c r="G140" i="3"/>
  <c r="H140" i="3" s="1"/>
  <c r="BN140" i="3" s="1"/>
  <c r="F140" i="3"/>
  <c r="BM140" i="3" s="1"/>
  <c r="Q140" i="3"/>
  <c r="S140" i="3"/>
  <c r="O140" i="3"/>
  <c r="U140" i="3"/>
  <c r="AD140" i="3"/>
  <c r="AM140" i="3"/>
  <c r="AF140" i="3"/>
  <c r="AE140" i="3"/>
  <c r="M140" i="3"/>
  <c r="AK140" i="3"/>
  <c r="P140" i="3"/>
  <c r="V140" i="3"/>
  <c r="R140" i="3"/>
  <c r="T140" i="3"/>
  <c r="AN139" i="3"/>
  <c r="BD136" i="3"/>
  <c r="BG136" i="3"/>
  <c r="BH136" i="3" s="1"/>
  <c r="BI136" i="3" s="1"/>
  <c r="AU138" i="3"/>
  <c r="AW138" i="3"/>
  <c r="AX138" i="3"/>
  <c r="AV137" i="3"/>
  <c r="BA137" i="3"/>
  <c r="AV138" i="3" l="1"/>
  <c r="AO140" i="3"/>
  <c r="AT139" i="3"/>
  <c r="AW139" i="3"/>
  <c r="BC137" i="3"/>
  <c r="BD137" i="3" s="1"/>
  <c r="Y140" i="3"/>
  <c r="Z140" i="3" s="1"/>
  <c r="AH140" i="3"/>
  <c r="AV139" i="3"/>
  <c r="BB137" i="3"/>
  <c r="BF137" i="3"/>
  <c r="BJ136" i="3" s="1"/>
  <c r="BK136" i="3" s="1"/>
  <c r="BQ137" i="3"/>
  <c r="AN140" i="3"/>
  <c r="AX139" i="3"/>
  <c r="AY139" i="3" s="1"/>
  <c r="AG140" i="3"/>
  <c r="AY138" i="3"/>
  <c r="BC138" i="3" s="1"/>
  <c r="BA138" i="3"/>
  <c r="X140" i="3"/>
  <c r="AR141" i="3"/>
  <c r="B141" i="3"/>
  <c r="AQ141" i="3"/>
  <c r="A142" i="3"/>
  <c r="D141" i="3"/>
  <c r="C141" i="3"/>
  <c r="G141" i="3"/>
  <c r="H141" i="3" s="1"/>
  <c r="BN141" i="3" s="1"/>
  <c r="F141" i="3"/>
  <c r="BM141" i="3" s="1"/>
  <c r="S141" i="3"/>
  <c r="Q141" i="3"/>
  <c r="O141" i="3"/>
  <c r="U141" i="3"/>
  <c r="M141" i="3"/>
  <c r="AM141" i="3"/>
  <c r="AK141" i="3"/>
  <c r="AD141" i="3"/>
  <c r="AF141" i="3"/>
  <c r="AE141" i="3"/>
  <c r="V141" i="3"/>
  <c r="T141" i="3"/>
  <c r="R141" i="3"/>
  <c r="P141" i="3"/>
  <c r="AW140" i="3" l="1"/>
  <c r="BG137" i="3"/>
  <c r="BH137" i="3" s="1"/>
  <c r="BI137" i="3" s="1"/>
  <c r="AO141" i="3"/>
  <c r="AG141" i="3"/>
  <c r="X141" i="3"/>
  <c r="AX140" i="3"/>
  <c r="AY140" i="3" s="1"/>
  <c r="BD138" i="3"/>
  <c r="BG138" i="3"/>
  <c r="BH138" i="3" s="1"/>
  <c r="BI138" i="3" s="1"/>
  <c r="A143" i="3"/>
  <c r="AR142" i="3"/>
  <c r="B142" i="3"/>
  <c r="AQ142" i="3"/>
  <c r="C142" i="3"/>
  <c r="D142" i="3"/>
  <c r="G142" i="3"/>
  <c r="H142" i="3" s="1"/>
  <c r="BN142" i="3" s="1"/>
  <c r="F142" i="3"/>
  <c r="BM142" i="3" s="1"/>
  <c r="Q142" i="3"/>
  <c r="S142" i="3"/>
  <c r="O142" i="3"/>
  <c r="U142" i="3"/>
  <c r="AK142" i="3"/>
  <c r="AD142" i="3"/>
  <c r="AE142" i="3"/>
  <c r="AM142" i="3"/>
  <c r="AF142" i="3"/>
  <c r="M142" i="3"/>
  <c r="P142" i="3"/>
  <c r="V142" i="3"/>
  <c r="R142" i="3"/>
  <c r="T142" i="3"/>
  <c r="AN141" i="3"/>
  <c r="BC139" i="3"/>
  <c r="BF138" i="3"/>
  <c r="BJ137" i="3" s="1"/>
  <c r="BK137" i="3" s="1"/>
  <c r="BQ138" i="3"/>
  <c r="BB138" i="3"/>
  <c r="BA139" i="3"/>
  <c r="AU140" i="3"/>
  <c r="AT140" i="3"/>
  <c r="Y141" i="3"/>
  <c r="Z141" i="3" s="1"/>
  <c r="AH141" i="3"/>
  <c r="AU141" i="3" s="1"/>
  <c r="AN142" i="3" l="1"/>
  <c r="X142" i="3"/>
  <c r="BA140" i="3"/>
  <c r="AV140" i="3"/>
  <c r="BC140" i="3" s="1"/>
  <c r="Y142" i="3"/>
  <c r="Z142" i="3" s="1"/>
  <c r="AO142" i="3"/>
  <c r="BB139" i="3"/>
  <c r="BF139" i="3"/>
  <c r="BJ138" i="3" s="1"/>
  <c r="BK138" i="3" s="1"/>
  <c r="BQ139" i="3"/>
  <c r="AG142" i="3"/>
  <c r="AQ143" i="3"/>
  <c r="AR143" i="3"/>
  <c r="B143" i="3"/>
  <c r="A144" i="3"/>
  <c r="D143" i="3"/>
  <c r="C143" i="3"/>
  <c r="G143" i="3"/>
  <c r="H143" i="3" s="1"/>
  <c r="BN143" i="3" s="1"/>
  <c r="F143" i="3"/>
  <c r="BM143" i="3" s="1"/>
  <c r="Q143" i="3"/>
  <c r="S143" i="3"/>
  <c r="O143" i="3"/>
  <c r="U143" i="3"/>
  <c r="AK143" i="3"/>
  <c r="AE143" i="3"/>
  <c r="M143" i="3"/>
  <c r="AF143" i="3"/>
  <c r="AM143" i="3"/>
  <c r="AD143" i="3"/>
  <c r="R143" i="3"/>
  <c r="P143" i="3"/>
  <c r="T143" i="3"/>
  <c r="V143" i="3"/>
  <c r="BD139" i="3"/>
  <c r="BG139" i="3"/>
  <c r="BH139" i="3" s="1"/>
  <c r="BI139" i="3" s="1"/>
  <c r="AH142" i="3"/>
  <c r="AX141" i="3"/>
  <c r="AT141" i="3"/>
  <c r="AW141" i="3"/>
  <c r="AW142" i="3" l="1"/>
  <c r="AH143" i="3"/>
  <c r="AN143" i="3"/>
  <c r="X143" i="3"/>
  <c r="AO143" i="3"/>
  <c r="AU142" i="3"/>
  <c r="AX142" i="3"/>
  <c r="AG143" i="3"/>
  <c r="BD140" i="3"/>
  <c r="BG140" i="3"/>
  <c r="BH140" i="3" s="1"/>
  <c r="BI140" i="3" s="1"/>
  <c r="AY141" i="3"/>
  <c r="BQ140" i="3"/>
  <c r="BF140" i="3"/>
  <c r="BJ139" i="3" s="1"/>
  <c r="BK139" i="3" s="1"/>
  <c r="BB140" i="3"/>
  <c r="BA141" i="3"/>
  <c r="AV141" i="3"/>
  <c r="Y143" i="3"/>
  <c r="Z143" i="3" s="1"/>
  <c r="A145" i="3"/>
  <c r="B144" i="3"/>
  <c r="AR144" i="3"/>
  <c r="AQ144" i="3"/>
  <c r="D144" i="3"/>
  <c r="C144" i="3"/>
  <c r="G144" i="3"/>
  <c r="H144" i="3" s="1"/>
  <c r="BN144" i="3" s="1"/>
  <c r="F144" i="3"/>
  <c r="BM144" i="3" s="1"/>
  <c r="Q144" i="3"/>
  <c r="S144" i="3"/>
  <c r="O144" i="3"/>
  <c r="U144" i="3"/>
  <c r="AD144" i="3"/>
  <c r="AM144" i="3"/>
  <c r="AE144" i="3"/>
  <c r="AK144" i="3"/>
  <c r="AF144" i="3"/>
  <c r="M144" i="3"/>
  <c r="T144" i="3"/>
  <c r="P144" i="3"/>
  <c r="V144" i="3"/>
  <c r="R144" i="3"/>
  <c r="AT142" i="3"/>
  <c r="BC141" i="3" l="1"/>
  <c r="BG141" i="3" s="1"/>
  <c r="BH141" i="3" s="1"/>
  <c r="BI141" i="3" s="1"/>
  <c r="AU143" i="3"/>
  <c r="AW143" i="3"/>
  <c r="AY142" i="3"/>
  <c r="AO144" i="3"/>
  <c r="X144" i="3"/>
  <c r="AH144" i="3"/>
  <c r="AR145" i="3"/>
  <c r="AQ145" i="3"/>
  <c r="B145" i="3"/>
  <c r="A146" i="3"/>
  <c r="C145" i="3"/>
  <c r="D145" i="3"/>
  <c r="F145" i="3"/>
  <c r="BM145" i="3" s="1"/>
  <c r="G145" i="3"/>
  <c r="H145" i="3" s="1"/>
  <c r="BN145" i="3" s="1"/>
  <c r="S145" i="3"/>
  <c r="Q145" i="3"/>
  <c r="O145" i="3"/>
  <c r="U145" i="3"/>
  <c r="AK145" i="3"/>
  <c r="AM145" i="3"/>
  <c r="M145" i="3"/>
  <c r="AD145" i="3"/>
  <c r="AE145" i="3"/>
  <c r="AF145" i="3"/>
  <c r="T145" i="3"/>
  <c r="P145" i="3"/>
  <c r="V145" i="3"/>
  <c r="R145" i="3"/>
  <c r="BD141" i="3"/>
  <c r="Y144" i="3"/>
  <c r="Z144" i="3" s="1"/>
  <c r="AV142" i="3"/>
  <c r="BA142" i="3"/>
  <c r="AT143" i="3"/>
  <c r="AG144" i="3"/>
  <c r="BB141" i="3"/>
  <c r="BQ141" i="3"/>
  <c r="BF141" i="3"/>
  <c r="BJ140" i="3" s="1"/>
  <c r="BK140" i="3" s="1"/>
  <c r="AN144" i="3"/>
  <c r="AX144" i="3" s="1"/>
  <c r="AX143" i="3"/>
  <c r="AY143" i="3" s="1"/>
  <c r="AN145" i="3" l="1"/>
  <c r="AT144" i="3"/>
  <c r="BC142" i="3"/>
  <c r="BD142" i="3" s="1"/>
  <c r="AU144" i="3"/>
  <c r="AH145" i="3"/>
  <c r="AG145" i="3"/>
  <c r="BG142" i="3"/>
  <c r="BH142" i="3" s="1"/>
  <c r="BI142" i="3" s="1"/>
  <c r="BF142" i="3"/>
  <c r="BJ141" i="3" s="1"/>
  <c r="BK141" i="3" s="1"/>
  <c r="BQ142" i="3"/>
  <c r="BB142" i="3"/>
  <c r="AO145" i="3"/>
  <c r="AW145" i="3" s="1"/>
  <c r="AV143" i="3"/>
  <c r="BC143" i="3" s="1"/>
  <c r="BA143" i="3"/>
  <c r="AR146" i="3"/>
  <c r="B146" i="3"/>
  <c r="AQ146" i="3"/>
  <c r="A147" i="3"/>
  <c r="D146" i="3"/>
  <c r="C146" i="3"/>
  <c r="G146" i="3"/>
  <c r="H146" i="3" s="1"/>
  <c r="BN146" i="3" s="1"/>
  <c r="F146" i="3"/>
  <c r="BM146" i="3" s="1"/>
  <c r="Q146" i="3"/>
  <c r="S146" i="3"/>
  <c r="O146" i="3"/>
  <c r="U146" i="3"/>
  <c r="AE146" i="3"/>
  <c r="M146" i="3"/>
  <c r="AM146" i="3"/>
  <c r="AK146" i="3"/>
  <c r="AD146" i="3"/>
  <c r="AF146" i="3"/>
  <c r="T146" i="3"/>
  <c r="V146" i="3"/>
  <c r="P146" i="3"/>
  <c r="R146" i="3"/>
  <c r="X145" i="3"/>
  <c r="Y145" i="3"/>
  <c r="Z145" i="3" s="1"/>
  <c r="AV144" i="3"/>
  <c r="AW144" i="3"/>
  <c r="BA144" i="3" s="1"/>
  <c r="AT145" i="3"/>
  <c r="AU145" i="3" l="1"/>
  <c r="AO146" i="3"/>
  <c r="AH146" i="3"/>
  <c r="AX145" i="3"/>
  <c r="AY145" i="3" s="1"/>
  <c r="BF144" i="3"/>
  <c r="BQ144" i="3"/>
  <c r="BB144" i="3"/>
  <c r="AG146" i="3"/>
  <c r="AN146" i="3"/>
  <c r="X146" i="3"/>
  <c r="AY144" i="3"/>
  <c r="BC144" i="3" s="1"/>
  <c r="Y146" i="3"/>
  <c r="Z146" i="3" s="1"/>
  <c r="BD143" i="3"/>
  <c r="BG143" i="3"/>
  <c r="BH143" i="3" s="1"/>
  <c r="BI143" i="3" s="1"/>
  <c r="BQ143" i="3"/>
  <c r="BF143" i="3"/>
  <c r="BJ142" i="3" s="1"/>
  <c r="BK142" i="3" s="1"/>
  <c r="BB143" i="3"/>
  <c r="AQ147" i="3"/>
  <c r="B147" i="3"/>
  <c r="A148" i="3"/>
  <c r="AR147" i="3"/>
  <c r="C147" i="3"/>
  <c r="D147" i="3"/>
  <c r="F147" i="3"/>
  <c r="BM147" i="3" s="1"/>
  <c r="G147" i="3"/>
  <c r="H147" i="3" s="1"/>
  <c r="BN147" i="3" s="1"/>
  <c r="Q147" i="3"/>
  <c r="S147" i="3"/>
  <c r="O147" i="3"/>
  <c r="U147" i="3"/>
  <c r="AE147" i="3"/>
  <c r="AD147" i="3"/>
  <c r="M147" i="3"/>
  <c r="AF147" i="3"/>
  <c r="AK147" i="3"/>
  <c r="AM147" i="3"/>
  <c r="P147" i="3"/>
  <c r="V147" i="3"/>
  <c r="R147" i="3"/>
  <c r="T147" i="3"/>
  <c r="AV145" i="3"/>
  <c r="BA145" i="3" l="1"/>
  <c r="BB145" i="3" s="1"/>
  <c r="AO147" i="3"/>
  <c r="AX146" i="3"/>
  <c r="AU146" i="3"/>
  <c r="BC145" i="3"/>
  <c r="BD145" i="3" s="1"/>
  <c r="AG147" i="3"/>
  <c r="A149" i="3"/>
  <c r="AR148" i="3"/>
  <c r="AQ148" i="3"/>
  <c r="B148" i="3"/>
  <c r="C148" i="3"/>
  <c r="D148" i="3"/>
  <c r="G148" i="3"/>
  <c r="H148" i="3" s="1"/>
  <c r="BN148" i="3" s="1"/>
  <c r="F148" i="3"/>
  <c r="BM148" i="3" s="1"/>
  <c r="S148" i="3"/>
  <c r="Q148" i="3"/>
  <c r="O148" i="3"/>
  <c r="U148" i="3"/>
  <c r="AD148" i="3"/>
  <c r="AK148" i="3"/>
  <c r="AE148" i="3"/>
  <c r="AM148" i="3"/>
  <c r="M148" i="3"/>
  <c r="AF148" i="3"/>
  <c r="V148" i="3"/>
  <c r="T148" i="3"/>
  <c r="R148" i="3"/>
  <c r="P148" i="3"/>
  <c r="AW146" i="3"/>
  <c r="AH147" i="3"/>
  <c r="AT146" i="3"/>
  <c r="Y147" i="3"/>
  <c r="Z147" i="3" s="1"/>
  <c r="X147" i="3"/>
  <c r="BD144" i="3"/>
  <c r="BG144" i="3"/>
  <c r="BH144" i="3" s="1"/>
  <c r="BI144" i="3" s="1"/>
  <c r="AN147" i="3"/>
  <c r="BJ143" i="3"/>
  <c r="BK143" i="3" s="1"/>
  <c r="BF145" i="3" l="1"/>
  <c r="BJ144" i="3" s="1"/>
  <c r="BK144" i="3" s="1"/>
  <c r="BQ145" i="3"/>
  <c r="BG145" i="3"/>
  <c r="BH145" i="3" s="1"/>
  <c r="BI145" i="3" s="1"/>
  <c r="AY146" i="3"/>
  <c r="AX147" i="3"/>
  <c r="AN148" i="3"/>
  <c r="BA146" i="3"/>
  <c r="AV146" i="3"/>
  <c r="AG148" i="3"/>
  <c r="X148" i="3"/>
  <c r="Y148" i="3"/>
  <c r="Z148" i="3" s="1"/>
  <c r="AU147" i="3"/>
  <c r="AT147" i="3"/>
  <c r="AO148" i="3"/>
  <c r="AR149" i="3"/>
  <c r="B149" i="3"/>
  <c r="AQ149" i="3"/>
  <c r="A150" i="3"/>
  <c r="D149" i="3"/>
  <c r="C149" i="3"/>
  <c r="F149" i="3"/>
  <c r="BM149" i="3" s="1"/>
  <c r="G149" i="3"/>
  <c r="H149" i="3" s="1"/>
  <c r="BN149" i="3" s="1"/>
  <c r="Q149" i="3"/>
  <c r="S149" i="3"/>
  <c r="O149" i="3"/>
  <c r="U149" i="3"/>
  <c r="AD149" i="3"/>
  <c r="AM149" i="3"/>
  <c r="M149" i="3"/>
  <c r="AF149" i="3"/>
  <c r="AK149" i="3"/>
  <c r="AE149" i="3"/>
  <c r="T149" i="3"/>
  <c r="V149" i="3"/>
  <c r="R149" i="3"/>
  <c r="P149" i="3"/>
  <c r="AH148" i="3"/>
  <c r="AW147" i="3"/>
  <c r="AO149" i="3" l="1"/>
  <c r="AG149" i="3"/>
  <c r="BC146" i="3"/>
  <c r="BD146" i="3" s="1"/>
  <c r="AT148" i="3"/>
  <c r="AY147" i="3"/>
  <c r="Y149" i="3"/>
  <c r="Z149" i="3" s="1"/>
  <c r="AN149" i="3"/>
  <c r="AH149" i="3"/>
  <c r="AT149" i="3" s="1"/>
  <c r="B150" i="3"/>
  <c r="AQ150" i="3"/>
  <c r="AR150" i="3"/>
  <c r="A151" i="3"/>
  <c r="D150" i="3"/>
  <c r="C150" i="3"/>
  <c r="G150" i="3"/>
  <c r="H150" i="3" s="1"/>
  <c r="BN150" i="3" s="1"/>
  <c r="F150" i="3"/>
  <c r="BM150" i="3" s="1"/>
  <c r="Q150" i="3"/>
  <c r="S150" i="3"/>
  <c r="O150" i="3"/>
  <c r="U150" i="3"/>
  <c r="AK150" i="3"/>
  <c r="AD150" i="3"/>
  <c r="AF150" i="3"/>
  <c r="M150" i="3"/>
  <c r="AM150" i="3"/>
  <c r="AE150" i="3"/>
  <c r="P150" i="3"/>
  <c r="R150" i="3"/>
  <c r="V150" i="3"/>
  <c r="T150" i="3"/>
  <c r="AV147" i="3"/>
  <c r="BA147" i="3"/>
  <c r="AW148" i="3"/>
  <c r="X149" i="3"/>
  <c r="AU148" i="3"/>
  <c r="BG146" i="3"/>
  <c r="BH146" i="3" s="1"/>
  <c r="BI146" i="3" s="1"/>
  <c r="AX148" i="3"/>
  <c r="BB146" i="3"/>
  <c r="BF146" i="3"/>
  <c r="BJ145" i="3" s="1"/>
  <c r="BK145" i="3" s="1"/>
  <c r="BQ146" i="3"/>
  <c r="BC147" i="3" l="1"/>
  <c r="BD147" i="3" s="1"/>
  <c r="AN150" i="3"/>
  <c r="AX149" i="3"/>
  <c r="AG150" i="3"/>
  <c r="AW149" i="3"/>
  <c r="BA148" i="3"/>
  <c r="BB148" i="3" s="1"/>
  <c r="BF147" i="3"/>
  <c r="BJ146" i="3" s="1"/>
  <c r="BK146" i="3" s="1"/>
  <c r="BB147" i="3"/>
  <c r="BQ147" i="3"/>
  <c r="AO150" i="3"/>
  <c r="X150" i="3"/>
  <c r="AY149" i="3"/>
  <c r="AH150" i="3"/>
  <c r="AV148" i="3"/>
  <c r="BC148" i="3" s="1"/>
  <c r="Y150" i="3"/>
  <c r="Z150" i="3" s="1"/>
  <c r="AU149" i="3"/>
  <c r="AV149" i="3" s="1"/>
  <c r="B151" i="3"/>
  <c r="A152" i="3"/>
  <c r="AQ151" i="3"/>
  <c r="AR151" i="3"/>
  <c r="D151" i="3"/>
  <c r="C151" i="3"/>
  <c r="F151" i="3"/>
  <c r="BM151" i="3" s="1"/>
  <c r="G151" i="3"/>
  <c r="H151" i="3" s="1"/>
  <c r="BN151" i="3" s="1"/>
  <c r="Q151" i="3"/>
  <c r="S151" i="3"/>
  <c r="O151" i="3"/>
  <c r="U151" i="3"/>
  <c r="AD151" i="3"/>
  <c r="AK151" i="3"/>
  <c r="AM151" i="3"/>
  <c r="AF151" i="3"/>
  <c r="M151" i="3"/>
  <c r="AE151" i="3"/>
  <c r="T151" i="3"/>
  <c r="V151" i="3"/>
  <c r="R151" i="3"/>
  <c r="P151" i="3"/>
  <c r="AY148" i="3"/>
  <c r="BG147" i="3" l="1"/>
  <c r="BH147" i="3" s="1"/>
  <c r="BI147" i="3" s="1"/>
  <c r="BC149" i="3"/>
  <c r="BD149" i="3" s="1"/>
  <c r="BF148" i="3"/>
  <c r="BQ148" i="3"/>
  <c r="AU150" i="3"/>
  <c r="AN151" i="3"/>
  <c r="AH151" i="3"/>
  <c r="BD148" i="3"/>
  <c r="BG148" i="3"/>
  <c r="BH148" i="3" s="1"/>
  <c r="BI148" i="3" s="1"/>
  <c r="AR152" i="3"/>
  <c r="A153" i="3"/>
  <c r="B152" i="3"/>
  <c r="AQ152" i="3"/>
  <c r="C152" i="3"/>
  <c r="D152" i="3"/>
  <c r="F152" i="3"/>
  <c r="BM152" i="3" s="1"/>
  <c r="G152" i="3"/>
  <c r="H152" i="3" s="1"/>
  <c r="BN152" i="3" s="1"/>
  <c r="Q152" i="3"/>
  <c r="S152" i="3"/>
  <c r="O152" i="3"/>
  <c r="U152" i="3"/>
  <c r="AK152" i="3"/>
  <c r="M152" i="3"/>
  <c r="AE152" i="3"/>
  <c r="AM152" i="3"/>
  <c r="AF152" i="3"/>
  <c r="AD152" i="3"/>
  <c r="R152" i="3"/>
  <c r="P152" i="3"/>
  <c r="V152" i="3"/>
  <c r="T152" i="3"/>
  <c r="BA149" i="3"/>
  <c r="AT150" i="3"/>
  <c r="AX150" i="3"/>
  <c r="AW150" i="3"/>
  <c r="Y151" i="3"/>
  <c r="Z151" i="3" s="1"/>
  <c r="BJ147" i="3"/>
  <c r="BK147" i="3" s="1"/>
  <c r="X151" i="3"/>
  <c r="AG151" i="3"/>
  <c r="AT151" i="3" s="1"/>
  <c r="AO151" i="3"/>
  <c r="BG149" i="3" l="1"/>
  <c r="BH149" i="3" s="1"/>
  <c r="BI149" i="3" s="1"/>
  <c r="AN152" i="3"/>
  <c r="AX151" i="3"/>
  <c r="AH152" i="3"/>
  <c r="AG152" i="3"/>
  <c r="AU151" i="3"/>
  <c r="AV151" i="3" s="1"/>
  <c r="X152" i="3"/>
  <c r="AR153" i="3"/>
  <c r="AQ153" i="3"/>
  <c r="A154" i="3"/>
  <c r="B153" i="3"/>
  <c r="C153" i="3"/>
  <c r="D153" i="3"/>
  <c r="G153" i="3"/>
  <c r="H153" i="3" s="1"/>
  <c r="BN153" i="3" s="1"/>
  <c r="F153" i="3"/>
  <c r="BM153" i="3" s="1"/>
  <c r="Q153" i="3"/>
  <c r="S153" i="3"/>
  <c r="O153" i="3"/>
  <c r="U153" i="3"/>
  <c r="AK153" i="3"/>
  <c r="AM153" i="3"/>
  <c r="AD153" i="3"/>
  <c r="M153" i="3"/>
  <c r="AE153" i="3"/>
  <c r="AF153" i="3"/>
  <c r="V153" i="3"/>
  <c r="P153" i="3"/>
  <c r="T153" i="3"/>
  <c r="R153" i="3"/>
  <c r="BQ149" i="3"/>
  <c r="BB149" i="3"/>
  <c r="BF149" i="3"/>
  <c r="BJ148" i="3" s="1"/>
  <c r="BK148" i="3" s="1"/>
  <c r="AO152" i="3"/>
  <c r="BA150" i="3"/>
  <c r="AV150" i="3"/>
  <c r="Y152" i="3"/>
  <c r="Z152" i="3" s="1"/>
  <c r="AW151" i="3"/>
  <c r="AY150" i="3"/>
  <c r="AY151" i="3" l="1"/>
  <c r="BC151" i="3" s="1"/>
  <c r="BD151" i="3" s="1"/>
  <c r="AU152" i="3"/>
  <c r="AN153" i="3"/>
  <c r="AH153" i="3"/>
  <c r="AW152" i="3"/>
  <c r="A155" i="3"/>
  <c r="C154" i="3"/>
  <c r="AR154" i="3"/>
  <c r="B154" i="3"/>
  <c r="AQ154" i="3"/>
  <c r="D154" i="3"/>
  <c r="F154" i="3"/>
  <c r="BM154" i="3" s="1"/>
  <c r="G154" i="3"/>
  <c r="H154" i="3" s="1"/>
  <c r="BN154" i="3" s="1"/>
  <c r="Q154" i="3"/>
  <c r="S154" i="3"/>
  <c r="O154" i="3"/>
  <c r="U154" i="3"/>
  <c r="AD154" i="3"/>
  <c r="M154" i="3"/>
  <c r="AE154" i="3"/>
  <c r="AF154" i="3"/>
  <c r="AK154" i="3"/>
  <c r="AM154" i="3"/>
  <c r="P154" i="3"/>
  <c r="V154" i="3"/>
  <c r="R154" i="3"/>
  <c r="T154" i="3"/>
  <c r="AO153" i="3"/>
  <c r="X153" i="3"/>
  <c r="Y153" i="3"/>
  <c r="Z153" i="3" s="1"/>
  <c r="BQ150" i="3"/>
  <c r="BF150" i="3"/>
  <c r="BJ149" i="3" s="1"/>
  <c r="BK149" i="3" s="1"/>
  <c r="BB150" i="3"/>
  <c r="AT152" i="3"/>
  <c r="BA151" i="3"/>
  <c r="AG153" i="3"/>
  <c r="BC150" i="3"/>
  <c r="AX152" i="3"/>
  <c r="AN154" i="3" l="1"/>
  <c r="AU153" i="3"/>
  <c r="AY152" i="3"/>
  <c r="BG151" i="3"/>
  <c r="BH151" i="3" s="1"/>
  <c r="BI151" i="3" s="1"/>
  <c r="AW153" i="3"/>
  <c r="AG154" i="3"/>
  <c r="X154" i="3"/>
  <c r="AQ155" i="3"/>
  <c r="A156" i="3"/>
  <c r="B155" i="3"/>
  <c r="AR155" i="3"/>
  <c r="D155" i="3"/>
  <c r="C155" i="3"/>
  <c r="F155" i="3"/>
  <c r="BM155" i="3" s="1"/>
  <c r="G155" i="3"/>
  <c r="H155" i="3" s="1"/>
  <c r="S155" i="3"/>
  <c r="Q155" i="3"/>
  <c r="O155" i="3"/>
  <c r="U155" i="3"/>
  <c r="AD155" i="3"/>
  <c r="AM155" i="3"/>
  <c r="AF155" i="3"/>
  <c r="AK155" i="3"/>
  <c r="M155" i="3"/>
  <c r="AE155" i="3"/>
  <c r="T155" i="3"/>
  <c r="P155" i="3"/>
  <c r="R155" i="3"/>
  <c r="V155" i="3"/>
  <c r="AH154" i="3"/>
  <c r="Y154" i="3"/>
  <c r="Z154" i="3" s="1"/>
  <c r="AX153" i="3"/>
  <c r="BD150" i="3"/>
  <c r="BG150" i="3"/>
  <c r="BH150" i="3" s="1"/>
  <c r="BI150" i="3" s="1"/>
  <c r="AO154" i="3"/>
  <c r="BQ151" i="3"/>
  <c r="BB151" i="3"/>
  <c r="BF151" i="3"/>
  <c r="BJ150" i="3" s="1"/>
  <c r="BK150" i="3" s="1"/>
  <c r="BA152" i="3"/>
  <c r="AV152" i="3"/>
  <c r="BC152" i="3" s="1"/>
  <c r="AT153" i="3"/>
  <c r="BN155" i="3" l="1"/>
  <c r="Y155" i="3"/>
  <c r="Z155" i="3" s="1"/>
  <c r="AG155" i="3"/>
  <c r="AO155" i="3"/>
  <c r="AX154" i="3"/>
  <c r="A157" i="3"/>
  <c r="B156" i="3"/>
  <c r="AR156" i="3"/>
  <c r="AQ156" i="3"/>
  <c r="D156" i="3"/>
  <c r="C156" i="3"/>
  <c r="G156" i="3"/>
  <c r="H156" i="3" s="1"/>
  <c r="BN156" i="3" s="1"/>
  <c r="F156" i="3"/>
  <c r="BM156" i="3" s="1"/>
  <c r="Q156" i="3"/>
  <c r="S156" i="3"/>
  <c r="O156" i="3"/>
  <c r="U156" i="3"/>
  <c r="AM156" i="3"/>
  <c r="AD156" i="3"/>
  <c r="M156" i="3"/>
  <c r="AE156" i="3"/>
  <c r="AK156" i="3"/>
  <c r="AF156" i="3"/>
  <c r="R156" i="3"/>
  <c r="V156" i="3"/>
  <c r="P156" i="3"/>
  <c r="T156" i="3"/>
  <c r="AN155" i="3"/>
  <c r="AU154" i="3"/>
  <c r="BD152" i="3"/>
  <c r="BG152" i="3"/>
  <c r="BH152" i="3" s="1"/>
  <c r="BI152" i="3" s="1"/>
  <c r="BF152" i="3"/>
  <c r="BJ151" i="3" s="1"/>
  <c r="BK151" i="3" s="1"/>
  <c r="BB152" i="3"/>
  <c r="BQ152" i="3"/>
  <c r="X155" i="3"/>
  <c r="BA153" i="3"/>
  <c r="AV153" i="3"/>
  <c r="AW154" i="3"/>
  <c r="AH155" i="3"/>
  <c r="AT155" i="3" s="1"/>
  <c r="AT154" i="3"/>
  <c r="AY153" i="3"/>
  <c r="AO156" i="3" l="1"/>
  <c r="AY154" i="3"/>
  <c r="AU155" i="3"/>
  <c r="AV155" i="3" s="1"/>
  <c r="AG156" i="3"/>
  <c r="X156" i="3"/>
  <c r="AX155" i="3"/>
  <c r="Y156" i="3"/>
  <c r="Z156" i="3" s="1"/>
  <c r="AN156" i="3"/>
  <c r="BB153" i="3"/>
  <c r="BF153" i="3"/>
  <c r="BJ152" i="3" s="1"/>
  <c r="BK152" i="3" s="1"/>
  <c r="BQ153" i="3"/>
  <c r="AH156" i="3"/>
  <c r="AV154" i="3"/>
  <c r="BA154" i="3"/>
  <c r="BC153" i="3"/>
  <c r="AR157" i="3"/>
  <c r="B157" i="3"/>
  <c r="AQ157" i="3"/>
  <c r="A158" i="3"/>
  <c r="C157" i="3"/>
  <c r="D157" i="3"/>
  <c r="G157" i="3"/>
  <c r="H157" i="3" s="1"/>
  <c r="BN157" i="3" s="1"/>
  <c r="F157" i="3"/>
  <c r="BM157" i="3" s="1"/>
  <c r="Q157" i="3"/>
  <c r="S157" i="3"/>
  <c r="O157" i="3"/>
  <c r="U157" i="3"/>
  <c r="AM157" i="3"/>
  <c r="AK157" i="3"/>
  <c r="AE157" i="3"/>
  <c r="M157" i="3"/>
  <c r="AD157" i="3"/>
  <c r="AF157" i="3"/>
  <c r="R157" i="3"/>
  <c r="V157" i="3"/>
  <c r="P157" i="3"/>
  <c r="T157" i="3"/>
  <c r="AW155" i="3"/>
  <c r="AX156" i="3" l="1"/>
  <c r="BC154" i="3"/>
  <c r="BD154" i="3" s="1"/>
  <c r="BA155" i="3"/>
  <c r="BB155" i="3" s="1"/>
  <c r="AT156" i="3"/>
  <c r="AG157" i="3"/>
  <c r="AO157" i="3"/>
  <c r="X157" i="3"/>
  <c r="AR158" i="3"/>
  <c r="B158" i="3"/>
  <c r="AQ158" i="3"/>
  <c r="A159" i="3"/>
  <c r="C158" i="3"/>
  <c r="D158" i="3"/>
  <c r="G158" i="3"/>
  <c r="H158" i="3" s="1"/>
  <c r="BN158" i="3" s="1"/>
  <c r="F158" i="3"/>
  <c r="BM158" i="3" s="1"/>
  <c r="Q158" i="3"/>
  <c r="S158" i="3"/>
  <c r="O158" i="3"/>
  <c r="U158" i="3"/>
  <c r="AM158" i="3"/>
  <c r="AD158" i="3"/>
  <c r="AE158" i="3"/>
  <c r="AK158" i="3"/>
  <c r="M158" i="3"/>
  <c r="AF158" i="3"/>
  <c r="R158" i="3"/>
  <c r="P158" i="3"/>
  <c r="V158" i="3"/>
  <c r="T158" i="3"/>
  <c r="BQ154" i="3"/>
  <c r="BB154" i="3"/>
  <c r="BF154" i="3"/>
  <c r="BJ153" i="3" s="1"/>
  <c r="BK153" i="3" s="1"/>
  <c r="AU156" i="3"/>
  <c r="Y157" i="3"/>
  <c r="Z157" i="3" s="1"/>
  <c r="BD153" i="3"/>
  <c r="BG153" i="3"/>
  <c r="BH153" i="3" s="1"/>
  <c r="BI153" i="3" s="1"/>
  <c r="AW156" i="3"/>
  <c r="AY156" i="3" s="1"/>
  <c r="AN157" i="3"/>
  <c r="AY155" i="3"/>
  <c r="BC155" i="3" s="1"/>
  <c r="AH157" i="3"/>
  <c r="AX157" i="3" s="1"/>
  <c r="AV156" i="3" l="1"/>
  <c r="BF155" i="3"/>
  <c r="BJ154" i="3" s="1"/>
  <c r="BK154" i="3" s="1"/>
  <c r="BQ155" i="3"/>
  <c r="BG154" i="3"/>
  <c r="BH154" i="3" s="1"/>
  <c r="BI154" i="3" s="1"/>
  <c r="AO158" i="3"/>
  <c r="BC156" i="3"/>
  <c r="Y158" i="3"/>
  <c r="Z158" i="3" s="1"/>
  <c r="AG158" i="3"/>
  <c r="AT157" i="3"/>
  <c r="BD156" i="3"/>
  <c r="BG156" i="3"/>
  <c r="BH156" i="3" s="1"/>
  <c r="BI156" i="3" s="1"/>
  <c r="BA156" i="3"/>
  <c r="AW157" i="3"/>
  <c r="AY157" i="3" s="1"/>
  <c r="X158" i="3"/>
  <c r="AU157" i="3"/>
  <c r="AH158" i="3"/>
  <c r="AU158" i="3" s="1"/>
  <c r="BD155" i="3"/>
  <c r="BG155" i="3"/>
  <c r="BH155" i="3" s="1"/>
  <c r="BI155" i="3" s="1"/>
  <c r="AN158" i="3"/>
  <c r="AQ159" i="3"/>
  <c r="B159" i="3"/>
  <c r="A160" i="3"/>
  <c r="AR159" i="3"/>
  <c r="D159" i="3"/>
  <c r="C159" i="3"/>
  <c r="G159" i="3"/>
  <c r="H159" i="3" s="1"/>
  <c r="BN159" i="3" s="1"/>
  <c r="F159" i="3"/>
  <c r="BM159" i="3" s="1"/>
  <c r="Q159" i="3"/>
  <c r="S159" i="3"/>
  <c r="O159" i="3"/>
  <c r="U159" i="3"/>
  <c r="AE159" i="3"/>
  <c r="AD159" i="3"/>
  <c r="AK159" i="3"/>
  <c r="M159" i="3"/>
  <c r="AF159" i="3"/>
  <c r="AM159" i="3"/>
  <c r="P159" i="3"/>
  <c r="T159" i="3"/>
  <c r="R159" i="3"/>
  <c r="V159" i="3"/>
  <c r="BA157" i="3" l="1"/>
  <c r="BB157" i="3" s="1"/>
  <c r="AH159" i="3"/>
  <c r="AO159" i="3"/>
  <c r="AG159" i="3"/>
  <c r="AU159" i="3" s="1"/>
  <c r="AV157" i="3"/>
  <c r="BC157" i="3" s="1"/>
  <c r="X159" i="3"/>
  <c r="AT159" i="3"/>
  <c r="B160" i="3"/>
  <c r="AQ160" i="3"/>
  <c r="A161" i="3"/>
  <c r="AR160" i="3"/>
  <c r="C160" i="3"/>
  <c r="D160" i="3"/>
  <c r="F160" i="3"/>
  <c r="BM160" i="3" s="1"/>
  <c r="G160" i="3"/>
  <c r="H160" i="3" s="1"/>
  <c r="BN160" i="3" s="1"/>
  <c r="S160" i="3"/>
  <c r="Q160" i="3"/>
  <c r="O160" i="3"/>
  <c r="U160" i="3"/>
  <c r="AM160" i="3"/>
  <c r="AD160" i="3"/>
  <c r="M160" i="3"/>
  <c r="AE160" i="3"/>
  <c r="AF160" i="3"/>
  <c r="AK160" i="3"/>
  <c r="T160" i="3"/>
  <c r="R160" i="3"/>
  <c r="V160" i="3"/>
  <c r="P160" i="3"/>
  <c r="Y159" i="3"/>
  <c r="Z159" i="3" s="1"/>
  <c r="AN159" i="3"/>
  <c r="AX158" i="3"/>
  <c r="AT158" i="3"/>
  <c r="BB156" i="3"/>
  <c r="BQ156" i="3"/>
  <c r="BF156" i="3"/>
  <c r="BJ155" i="3" s="1"/>
  <c r="BK155" i="3" s="1"/>
  <c r="AW158" i="3"/>
  <c r="AY158" i="3" l="1"/>
  <c r="BF157" i="3"/>
  <c r="BJ156" i="3" s="1"/>
  <c r="BK156" i="3" s="1"/>
  <c r="BQ157" i="3"/>
  <c r="AG160" i="3"/>
  <c r="AW159" i="3"/>
  <c r="AN160" i="3"/>
  <c r="Y160" i="3"/>
  <c r="Z160" i="3" s="1"/>
  <c r="X160" i="3"/>
  <c r="AV159" i="3"/>
  <c r="AV158" i="3"/>
  <c r="BC158" i="3" s="1"/>
  <c r="BA158" i="3"/>
  <c r="BG157" i="3"/>
  <c r="BH157" i="3" s="1"/>
  <c r="BI157" i="3" s="1"/>
  <c r="BD157" i="3"/>
  <c r="AH160" i="3"/>
  <c r="AO160" i="3"/>
  <c r="AR161" i="3"/>
  <c r="A162" i="3"/>
  <c r="B161" i="3"/>
  <c r="AQ161" i="3"/>
  <c r="D161" i="3"/>
  <c r="C161" i="3"/>
  <c r="G161" i="3"/>
  <c r="H161" i="3" s="1"/>
  <c r="BN161" i="3" s="1"/>
  <c r="F161" i="3"/>
  <c r="BM161" i="3" s="1"/>
  <c r="Q161" i="3"/>
  <c r="S161" i="3"/>
  <c r="O161" i="3"/>
  <c r="U161" i="3"/>
  <c r="AM161" i="3"/>
  <c r="AK161" i="3"/>
  <c r="M161" i="3"/>
  <c r="AF161" i="3"/>
  <c r="AE161" i="3"/>
  <c r="AD161" i="3"/>
  <c r="V161" i="3"/>
  <c r="R161" i="3"/>
  <c r="P161" i="3"/>
  <c r="T161" i="3"/>
  <c r="AX159" i="3"/>
  <c r="AO161" i="3" l="1"/>
  <c r="AN161" i="3"/>
  <c r="AY159" i="3"/>
  <c r="AQ162" i="3"/>
  <c r="A163" i="3"/>
  <c r="D162" i="3"/>
  <c r="AR162" i="3"/>
  <c r="B162" i="3"/>
  <c r="C162" i="3"/>
  <c r="G162" i="3"/>
  <c r="H162" i="3" s="1"/>
  <c r="BN162" i="3" s="1"/>
  <c r="F162" i="3"/>
  <c r="BM162" i="3" s="1"/>
  <c r="Q162" i="3"/>
  <c r="S162" i="3"/>
  <c r="O162" i="3"/>
  <c r="U162" i="3"/>
  <c r="AM162" i="3"/>
  <c r="M162" i="3"/>
  <c r="AF162" i="3"/>
  <c r="AK162" i="3"/>
  <c r="AD162" i="3"/>
  <c r="AE162" i="3"/>
  <c r="T162" i="3"/>
  <c r="P162" i="3"/>
  <c r="V162" i="3"/>
  <c r="R162" i="3"/>
  <c r="AW160" i="3"/>
  <c r="AX160" i="3"/>
  <c r="BB158" i="3"/>
  <c r="BF158" i="3"/>
  <c r="BJ157" i="3" s="1"/>
  <c r="BK157" i="3" s="1"/>
  <c r="BQ158" i="3"/>
  <c r="AT160" i="3"/>
  <c r="BA159" i="3"/>
  <c r="AU160" i="3"/>
  <c r="AG161" i="3"/>
  <c r="X161" i="3"/>
  <c r="BD158" i="3"/>
  <c r="BG158" i="3"/>
  <c r="BH158" i="3" s="1"/>
  <c r="BI158" i="3" s="1"/>
  <c r="Y161" i="3"/>
  <c r="Z161" i="3" s="1"/>
  <c r="BC159" i="3"/>
  <c r="AH161" i="3"/>
  <c r="AO162" i="3" l="1"/>
  <c r="AG162" i="3"/>
  <c r="Y162" i="3"/>
  <c r="Z162" i="3" s="1"/>
  <c r="AT161" i="3"/>
  <c r="AX161" i="3"/>
  <c r="AY160" i="3"/>
  <c r="BQ159" i="3"/>
  <c r="BF159" i="3"/>
  <c r="BB159" i="3"/>
  <c r="AN162" i="3"/>
  <c r="AH162" i="3"/>
  <c r="BD159" i="3"/>
  <c r="BG159" i="3"/>
  <c r="BH159" i="3" s="1"/>
  <c r="BI159" i="3" s="1"/>
  <c r="AU161" i="3"/>
  <c r="AV161" i="3" s="1"/>
  <c r="B163" i="3"/>
  <c r="AR163" i="3"/>
  <c r="A164" i="3"/>
  <c r="AQ163" i="3"/>
  <c r="D163" i="3"/>
  <c r="C163" i="3"/>
  <c r="F163" i="3"/>
  <c r="BM163" i="3" s="1"/>
  <c r="G163" i="3"/>
  <c r="H163" i="3" s="1"/>
  <c r="BN163" i="3" s="1"/>
  <c r="Q163" i="3"/>
  <c r="S163" i="3"/>
  <c r="O163" i="3"/>
  <c r="U163" i="3"/>
  <c r="M163" i="3"/>
  <c r="AE163" i="3"/>
  <c r="AD163" i="3"/>
  <c r="AK163" i="3"/>
  <c r="AF163" i="3"/>
  <c r="AM163" i="3"/>
  <c r="P163" i="3"/>
  <c r="T163" i="3"/>
  <c r="V163" i="3"/>
  <c r="R163" i="3"/>
  <c r="BA160" i="3"/>
  <c r="AV160" i="3"/>
  <c r="X162" i="3"/>
  <c r="AW161" i="3"/>
  <c r="AY161" i="3" s="1"/>
  <c r="AN163" i="3" l="1"/>
  <c r="BC161" i="3"/>
  <c r="AX162" i="3"/>
  <c r="BC160" i="3"/>
  <c r="BD160" i="3" s="1"/>
  <c r="BD161" i="3"/>
  <c r="BG161" i="3"/>
  <c r="BH161" i="3" s="1"/>
  <c r="BI161" i="3" s="1"/>
  <c r="AO163" i="3"/>
  <c r="AG163" i="3"/>
  <c r="BA161" i="3"/>
  <c r="AU162" i="3"/>
  <c r="BQ160" i="3"/>
  <c r="BF160" i="3"/>
  <c r="BJ159" i="3" s="1"/>
  <c r="BK159" i="3" s="1"/>
  <c r="BB160" i="3"/>
  <c r="AT162" i="3"/>
  <c r="AH163" i="3"/>
  <c r="AX163" i="3" s="1"/>
  <c r="X163" i="3"/>
  <c r="A165" i="3"/>
  <c r="B164" i="3"/>
  <c r="AR164" i="3"/>
  <c r="AQ164" i="3"/>
  <c r="D164" i="3"/>
  <c r="C164" i="3"/>
  <c r="G164" i="3"/>
  <c r="H164" i="3" s="1"/>
  <c r="BN164" i="3" s="1"/>
  <c r="F164" i="3"/>
  <c r="BM164" i="3" s="1"/>
  <c r="Q164" i="3"/>
  <c r="S164" i="3"/>
  <c r="O164" i="3"/>
  <c r="U164" i="3"/>
  <c r="AD164" i="3"/>
  <c r="AK164" i="3"/>
  <c r="AE164" i="3"/>
  <c r="M164" i="3"/>
  <c r="AF164" i="3"/>
  <c r="AM164" i="3"/>
  <c r="R164" i="3"/>
  <c r="P164" i="3"/>
  <c r="T164" i="3"/>
  <c r="V164" i="3"/>
  <c r="BG160" i="3"/>
  <c r="BH160" i="3" s="1"/>
  <c r="BI160" i="3" s="1"/>
  <c r="Y163" i="3"/>
  <c r="Z163" i="3" s="1"/>
  <c r="BJ158" i="3"/>
  <c r="BK158" i="3" s="1"/>
  <c r="AW162" i="3"/>
  <c r="AY162" i="3" s="1"/>
  <c r="AG164" i="3" l="1"/>
  <c r="AO164" i="3"/>
  <c r="BA162" i="3"/>
  <c r="AV162" i="3"/>
  <c r="BC162" i="3" s="1"/>
  <c r="X164" i="3"/>
  <c r="AH164" i="3"/>
  <c r="AX164" i="3" s="1"/>
  <c r="AU163" i="3"/>
  <c r="AW163" i="3"/>
  <c r="AY163" i="3" s="1"/>
  <c r="Y164" i="3"/>
  <c r="Z164" i="3" s="1"/>
  <c r="A166" i="3"/>
  <c r="C165" i="3"/>
  <c r="AR165" i="3"/>
  <c r="B165" i="3"/>
  <c r="AQ165" i="3"/>
  <c r="D165" i="3"/>
  <c r="F165" i="3"/>
  <c r="BM165" i="3" s="1"/>
  <c r="G165" i="3"/>
  <c r="H165" i="3" s="1"/>
  <c r="BN165" i="3" s="1"/>
  <c r="Q165" i="3"/>
  <c r="S165" i="3"/>
  <c r="O165" i="3"/>
  <c r="U165" i="3"/>
  <c r="AK165" i="3"/>
  <c r="AE165" i="3"/>
  <c r="M165" i="3"/>
  <c r="AM165" i="3"/>
  <c r="AD165" i="3"/>
  <c r="AF165" i="3"/>
  <c r="T165" i="3"/>
  <c r="V165" i="3"/>
  <c r="P165" i="3"/>
  <c r="R165" i="3"/>
  <c r="AT163" i="3"/>
  <c r="AN164" i="3"/>
  <c r="BF161" i="3"/>
  <c r="BJ160" i="3" s="1"/>
  <c r="BK160" i="3" s="1"/>
  <c r="BB161" i="3"/>
  <c r="BQ161" i="3"/>
  <c r="AN165" i="3" l="1"/>
  <c r="AH165" i="3"/>
  <c r="AU164" i="3"/>
  <c r="AG165" i="3"/>
  <c r="AQ166" i="3"/>
  <c r="A167" i="3"/>
  <c r="B166" i="3"/>
  <c r="AR166" i="3"/>
  <c r="C166" i="3"/>
  <c r="D166" i="3"/>
  <c r="F166" i="3"/>
  <c r="BM166" i="3" s="1"/>
  <c r="G166" i="3"/>
  <c r="H166" i="3" s="1"/>
  <c r="BN166" i="3" s="1"/>
  <c r="Q166" i="3"/>
  <c r="S166" i="3"/>
  <c r="O166" i="3"/>
  <c r="U166" i="3"/>
  <c r="AK166" i="3"/>
  <c r="AD166" i="3"/>
  <c r="AE166" i="3"/>
  <c r="AM166" i="3"/>
  <c r="M166" i="3"/>
  <c r="AF166" i="3"/>
  <c r="R166" i="3"/>
  <c r="P166" i="3"/>
  <c r="V166" i="3"/>
  <c r="T166" i="3"/>
  <c r="Y165" i="3"/>
  <c r="Z165" i="3" s="1"/>
  <c r="X165" i="3"/>
  <c r="AW164" i="3"/>
  <c r="AY164" i="3" s="1"/>
  <c r="AO165" i="3"/>
  <c r="BD162" i="3"/>
  <c r="BG162" i="3"/>
  <c r="BH162" i="3" s="1"/>
  <c r="BI162" i="3" s="1"/>
  <c r="BQ162" i="3"/>
  <c r="BF162" i="3"/>
  <c r="BJ161" i="3" s="1"/>
  <c r="BK161" i="3" s="1"/>
  <c r="BB162" i="3"/>
  <c r="BA163" i="3"/>
  <c r="AV163" i="3"/>
  <c r="BC163" i="3" s="1"/>
  <c r="AT164" i="3"/>
  <c r="AU165" i="3" l="1"/>
  <c r="AT165" i="3"/>
  <c r="AN166" i="3"/>
  <c r="Y166" i="3"/>
  <c r="Z166" i="3" s="1"/>
  <c r="AV165" i="3"/>
  <c r="AG166" i="3"/>
  <c r="BD163" i="3"/>
  <c r="BG163" i="3"/>
  <c r="BH163" i="3" s="1"/>
  <c r="BI163" i="3" s="1"/>
  <c r="AO166" i="3"/>
  <c r="AR167" i="3"/>
  <c r="B167" i="3"/>
  <c r="A168" i="3"/>
  <c r="AQ167" i="3"/>
  <c r="D167" i="3"/>
  <c r="C167" i="3"/>
  <c r="G167" i="3"/>
  <c r="H167" i="3" s="1"/>
  <c r="BN167" i="3" s="1"/>
  <c r="F167" i="3"/>
  <c r="BM167" i="3" s="1"/>
  <c r="S167" i="3"/>
  <c r="Q167" i="3"/>
  <c r="O167" i="3"/>
  <c r="U167" i="3"/>
  <c r="AD167" i="3"/>
  <c r="AM167" i="3"/>
  <c r="M167" i="3"/>
  <c r="AE167" i="3"/>
  <c r="AF167" i="3"/>
  <c r="AK167" i="3"/>
  <c r="V167" i="3"/>
  <c r="P167" i="3"/>
  <c r="R167" i="3"/>
  <c r="T167" i="3"/>
  <c r="AH166" i="3"/>
  <c r="X166" i="3"/>
  <c r="AV164" i="3"/>
  <c r="BC164" i="3" s="1"/>
  <c r="BA164" i="3"/>
  <c r="BF163" i="3"/>
  <c r="BJ162" i="3" s="1"/>
  <c r="BK162" i="3" s="1"/>
  <c r="BQ163" i="3"/>
  <c r="BB163" i="3"/>
  <c r="AW165" i="3"/>
  <c r="AX165" i="3"/>
  <c r="AX166" i="3" l="1"/>
  <c r="AO167" i="3"/>
  <c r="AG167" i="3"/>
  <c r="AN167" i="3"/>
  <c r="X167" i="3"/>
  <c r="Y167" i="3"/>
  <c r="Z167" i="3" s="1"/>
  <c r="AY165" i="3"/>
  <c r="BC165" i="3" s="1"/>
  <c r="AU166" i="3"/>
  <c r="AW166" i="3"/>
  <c r="AY166" i="3" s="1"/>
  <c r="AT166" i="3"/>
  <c r="AH167" i="3"/>
  <c r="B168" i="3"/>
  <c r="A169" i="3"/>
  <c r="AR168" i="3"/>
  <c r="AQ168" i="3"/>
  <c r="D168" i="3"/>
  <c r="C168" i="3"/>
  <c r="F168" i="3"/>
  <c r="BM168" i="3" s="1"/>
  <c r="G168" i="3"/>
  <c r="H168" i="3" s="1"/>
  <c r="BN168" i="3" s="1"/>
  <c r="Q168" i="3"/>
  <c r="S168" i="3"/>
  <c r="O168" i="3"/>
  <c r="U168" i="3"/>
  <c r="M168" i="3"/>
  <c r="AD168" i="3"/>
  <c r="AK168" i="3"/>
  <c r="AM168" i="3"/>
  <c r="AE168" i="3"/>
  <c r="AF168" i="3"/>
  <c r="T168" i="3"/>
  <c r="P168" i="3"/>
  <c r="R168" i="3"/>
  <c r="V168" i="3"/>
  <c r="BA165" i="3"/>
  <c r="BB164" i="3"/>
  <c r="BQ164" i="3"/>
  <c r="BF164" i="3"/>
  <c r="BJ163" i="3" s="1"/>
  <c r="BK163" i="3" s="1"/>
  <c r="BD164" i="3"/>
  <c r="BG164" i="3"/>
  <c r="BH164" i="3" s="1"/>
  <c r="BI164" i="3" s="1"/>
  <c r="AX167" i="3" l="1"/>
  <c r="AO168" i="3"/>
  <c r="AH168" i="3"/>
  <c r="BG165" i="3"/>
  <c r="BH165" i="3" s="1"/>
  <c r="BI165" i="3" s="1"/>
  <c r="BD165" i="3"/>
  <c r="AG168" i="3"/>
  <c r="X168" i="3"/>
  <c r="BA166" i="3"/>
  <c r="AV166" i="3"/>
  <c r="BC166" i="3" s="1"/>
  <c r="AR169" i="3"/>
  <c r="B169" i="3"/>
  <c r="AQ169" i="3"/>
  <c r="A170" i="3"/>
  <c r="C169" i="3"/>
  <c r="D169" i="3"/>
  <c r="G169" i="3"/>
  <c r="H169" i="3" s="1"/>
  <c r="BN169" i="3" s="1"/>
  <c r="F169" i="3"/>
  <c r="BM169" i="3" s="1"/>
  <c r="Q169" i="3"/>
  <c r="S169" i="3"/>
  <c r="O169" i="3"/>
  <c r="U169" i="3"/>
  <c r="AK169" i="3"/>
  <c r="AM169" i="3"/>
  <c r="AE169" i="3"/>
  <c r="AF169" i="3"/>
  <c r="AD169" i="3"/>
  <c r="M169" i="3"/>
  <c r="T169" i="3"/>
  <c r="V169" i="3"/>
  <c r="R169" i="3"/>
  <c r="P169" i="3"/>
  <c r="AT167" i="3"/>
  <c r="AU167" i="3"/>
  <c r="AN168" i="3"/>
  <c r="AW167" i="3"/>
  <c r="BB165" i="3"/>
  <c r="BF165" i="3"/>
  <c r="BJ164" i="3" s="1"/>
  <c r="BK164" i="3" s="1"/>
  <c r="BQ165" i="3"/>
  <c r="Y168" i="3"/>
  <c r="Z168" i="3" s="1"/>
  <c r="AW168" i="3" l="1"/>
  <c r="AY167" i="3"/>
  <c r="AN169" i="3"/>
  <c r="AH169" i="3"/>
  <c r="BD166" i="3"/>
  <c r="BG166" i="3"/>
  <c r="BH166" i="3" s="1"/>
  <c r="BI166" i="3" s="1"/>
  <c r="AR170" i="3"/>
  <c r="B170" i="3"/>
  <c r="AQ170" i="3"/>
  <c r="C170" i="3"/>
  <c r="A171" i="3"/>
  <c r="D170" i="3"/>
  <c r="F170" i="3"/>
  <c r="BM170" i="3" s="1"/>
  <c r="G170" i="3"/>
  <c r="H170" i="3" s="1"/>
  <c r="BN170" i="3" s="1"/>
  <c r="S170" i="3"/>
  <c r="Q170" i="3"/>
  <c r="O170" i="3"/>
  <c r="U170" i="3"/>
  <c r="AM170" i="3"/>
  <c r="AD170" i="3"/>
  <c r="AF170" i="3"/>
  <c r="AE170" i="3"/>
  <c r="AK170" i="3"/>
  <c r="M170" i="3"/>
  <c r="V170" i="3"/>
  <c r="T170" i="3"/>
  <c r="P170" i="3"/>
  <c r="R170" i="3"/>
  <c r="AO169" i="3"/>
  <c r="AG169" i="3"/>
  <c r="AU168" i="3"/>
  <c r="Y169" i="3"/>
  <c r="Z169" i="3" s="1"/>
  <c r="X169" i="3"/>
  <c r="BQ166" i="3"/>
  <c r="BB166" i="3"/>
  <c r="BF166" i="3"/>
  <c r="BJ165" i="3" s="1"/>
  <c r="BK165" i="3" s="1"/>
  <c r="AT168" i="3"/>
  <c r="AV167" i="3"/>
  <c r="BA167" i="3"/>
  <c r="AX168" i="3"/>
  <c r="AY168" i="3" l="1"/>
  <c r="AO170" i="3"/>
  <c r="BC167" i="3"/>
  <c r="BD167" i="3" s="1"/>
  <c r="AW169" i="3"/>
  <c r="AG170" i="3"/>
  <c r="X170" i="3"/>
  <c r="AU169" i="3"/>
  <c r="AT169" i="3"/>
  <c r="AH170" i="3"/>
  <c r="AU170" i="3" s="1"/>
  <c r="Y170" i="3"/>
  <c r="Z170" i="3" s="1"/>
  <c r="AN170" i="3"/>
  <c r="B171" i="3"/>
  <c r="A172" i="3"/>
  <c r="AR171" i="3"/>
  <c r="AQ171" i="3"/>
  <c r="D171" i="3"/>
  <c r="C171" i="3"/>
  <c r="F171" i="3"/>
  <c r="BM171" i="3" s="1"/>
  <c r="G171" i="3"/>
  <c r="H171" i="3" s="1"/>
  <c r="BN171" i="3" s="1"/>
  <c r="Q171" i="3"/>
  <c r="S171" i="3"/>
  <c r="O171" i="3"/>
  <c r="U171" i="3"/>
  <c r="M171" i="3"/>
  <c r="AD171" i="3"/>
  <c r="AK171" i="3"/>
  <c r="AM171" i="3"/>
  <c r="AF171" i="3"/>
  <c r="AE171" i="3"/>
  <c r="V171" i="3"/>
  <c r="P171" i="3"/>
  <c r="T171" i="3"/>
  <c r="R171" i="3"/>
  <c r="BF167" i="3"/>
  <c r="BJ166" i="3" s="1"/>
  <c r="BK166" i="3" s="1"/>
  <c r="BB167" i="3"/>
  <c r="BQ167" i="3"/>
  <c r="AV168" i="3"/>
  <c r="BC168" i="3" s="1"/>
  <c r="BA168" i="3"/>
  <c r="AX169" i="3"/>
  <c r="BG167" i="3" l="1"/>
  <c r="BH167" i="3" s="1"/>
  <c r="BI167" i="3" s="1"/>
  <c r="AY169" i="3"/>
  <c r="AN171" i="3"/>
  <c r="AG171" i="3"/>
  <c r="Y171" i="3"/>
  <c r="Z171" i="3" s="1"/>
  <c r="X171" i="3"/>
  <c r="A173" i="3"/>
  <c r="B172" i="3"/>
  <c r="AR172" i="3"/>
  <c r="AQ172" i="3"/>
  <c r="C172" i="3"/>
  <c r="D172" i="3"/>
  <c r="G172" i="3"/>
  <c r="H172" i="3" s="1"/>
  <c r="BN172" i="3" s="1"/>
  <c r="F172" i="3"/>
  <c r="BM172" i="3" s="1"/>
  <c r="Q172" i="3"/>
  <c r="S172" i="3"/>
  <c r="O172" i="3"/>
  <c r="U172" i="3"/>
  <c r="AK172" i="3"/>
  <c r="AD172" i="3"/>
  <c r="AM172" i="3"/>
  <c r="AE172" i="3"/>
  <c r="M172" i="3"/>
  <c r="AF172" i="3"/>
  <c r="P172" i="3"/>
  <c r="V172" i="3"/>
  <c r="T172" i="3"/>
  <c r="R172" i="3"/>
  <c r="BB168" i="3"/>
  <c r="BQ168" i="3"/>
  <c r="BF168" i="3"/>
  <c r="BJ167" i="3" s="1"/>
  <c r="BK167" i="3" s="1"/>
  <c r="AO171" i="3"/>
  <c r="BD168" i="3"/>
  <c r="BG168" i="3"/>
  <c r="BH168" i="3" s="1"/>
  <c r="BI168" i="3" s="1"/>
  <c r="AH171" i="3"/>
  <c r="AX170" i="3"/>
  <c r="AW170" i="3"/>
  <c r="AV169" i="3"/>
  <c r="BC169" i="3" s="1"/>
  <c r="BA169" i="3"/>
  <c r="AT170" i="3"/>
  <c r="AX171" i="3" l="1"/>
  <c r="AO172" i="3"/>
  <c r="AY170" i="3"/>
  <c r="AG172" i="3"/>
  <c r="X172" i="3"/>
  <c r="BD169" i="3"/>
  <c r="BG169" i="3"/>
  <c r="BH169" i="3" s="1"/>
  <c r="BI169" i="3" s="1"/>
  <c r="AU171" i="3"/>
  <c r="AH172" i="3"/>
  <c r="AX172" i="3" s="1"/>
  <c r="Y172" i="3"/>
  <c r="Z172" i="3" s="1"/>
  <c r="AT171" i="3"/>
  <c r="AW171" i="3"/>
  <c r="AY171" i="3" s="1"/>
  <c r="B173" i="3"/>
  <c r="AQ173" i="3"/>
  <c r="AR173" i="3"/>
  <c r="A174" i="3"/>
  <c r="C173" i="3"/>
  <c r="D173" i="3"/>
  <c r="G173" i="3"/>
  <c r="H173" i="3" s="1"/>
  <c r="BN173" i="3" s="1"/>
  <c r="F173" i="3"/>
  <c r="BM173" i="3" s="1"/>
  <c r="Q173" i="3"/>
  <c r="S173" i="3"/>
  <c r="O173" i="3"/>
  <c r="U173" i="3"/>
  <c r="M173" i="3"/>
  <c r="AE173" i="3"/>
  <c r="AM173" i="3"/>
  <c r="AD173" i="3"/>
  <c r="AK173" i="3"/>
  <c r="AF173" i="3"/>
  <c r="R173" i="3"/>
  <c r="T173" i="3"/>
  <c r="P173" i="3"/>
  <c r="V173" i="3"/>
  <c r="AN172" i="3"/>
  <c r="AV170" i="3"/>
  <c r="BA170" i="3"/>
  <c r="BQ169" i="3"/>
  <c r="BB169" i="3"/>
  <c r="BF169" i="3"/>
  <c r="BJ168" i="3" s="1"/>
  <c r="BK168" i="3" s="1"/>
  <c r="AO173" i="3" l="1"/>
  <c r="BC170" i="3"/>
  <c r="AU172" i="3"/>
  <c r="AT172" i="3"/>
  <c r="AG173" i="3"/>
  <c r="AH173" i="3"/>
  <c r="AU173" i="3" s="1"/>
  <c r="AV171" i="3"/>
  <c r="BC171" i="3" s="1"/>
  <c r="BA171" i="3"/>
  <c r="AV172" i="3"/>
  <c r="AR174" i="3"/>
  <c r="B174" i="3"/>
  <c r="AQ174" i="3"/>
  <c r="A175" i="3"/>
  <c r="D174" i="3"/>
  <c r="C174" i="3"/>
  <c r="G174" i="3"/>
  <c r="H174" i="3" s="1"/>
  <c r="BN174" i="3" s="1"/>
  <c r="F174" i="3"/>
  <c r="BM174" i="3" s="1"/>
  <c r="Q174" i="3"/>
  <c r="S174" i="3"/>
  <c r="O174" i="3"/>
  <c r="U174" i="3"/>
  <c r="AK174" i="3"/>
  <c r="AM174" i="3"/>
  <c r="AD174" i="3"/>
  <c r="M174" i="3"/>
  <c r="AE174" i="3"/>
  <c r="AF174" i="3"/>
  <c r="T174" i="3"/>
  <c r="R174" i="3"/>
  <c r="P174" i="3"/>
  <c r="V174" i="3"/>
  <c r="AN173" i="3"/>
  <c r="X173" i="3"/>
  <c r="BB170" i="3"/>
  <c r="BQ170" i="3"/>
  <c r="BF170" i="3"/>
  <c r="BJ169" i="3" s="1"/>
  <c r="BK169" i="3" s="1"/>
  <c r="BD170" i="3"/>
  <c r="BG170" i="3"/>
  <c r="BH170" i="3" s="1"/>
  <c r="BI170" i="3" s="1"/>
  <c r="Y173" i="3"/>
  <c r="Z173" i="3" s="1"/>
  <c r="AW172" i="3"/>
  <c r="BA172" i="3" s="1"/>
  <c r="Y174" i="3" l="1"/>
  <c r="Z174" i="3" s="1"/>
  <c r="AY172" i="3"/>
  <c r="BC172" i="3" s="1"/>
  <c r="AN174" i="3"/>
  <c r="AG174" i="3"/>
  <c r="BF172" i="3"/>
  <c r="BB172" i="3"/>
  <c r="BQ172" i="3"/>
  <c r="AO174" i="3"/>
  <c r="BD171" i="3"/>
  <c r="BG171" i="3"/>
  <c r="BH171" i="3" s="1"/>
  <c r="BI171" i="3" s="1"/>
  <c r="AH174" i="3"/>
  <c r="AX174" i="3" s="1"/>
  <c r="B175" i="3"/>
  <c r="AR175" i="3"/>
  <c r="A176" i="3"/>
  <c r="AQ175" i="3"/>
  <c r="D175" i="3"/>
  <c r="C175" i="3"/>
  <c r="F175" i="3"/>
  <c r="BM175" i="3" s="1"/>
  <c r="G175" i="3"/>
  <c r="H175" i="3" s="1"/>
  <c r="BN175" i="3" s="1"/>
  <c r="Q175" i="3"/>
  <c r="S175" i="3"/>
  <c r="O175" i="3"/>
  <c r="U175" i="3"/>
  <c r="AM175" i="3"/>
  <c r="AD175" i="3"/>
  <c r="AK175" i="3"/>
  <c r="AE175" i="3"/>
  <c r="M175" i="3"/>
  <c r="AF175" i="3"/>
  <c r="P175" i="3"/>
  <c r="T175" i="3"/>
  <c r="V175" i="3"/>
  <c r="R175" i="3"/>
  <c r="X174" i="3"/>
  <c r="BF171" i="3"/>
  <c r="BJ170" i="3" s="1"/>
  <c r="BK170" i="3" s="1"/>
  <c r="BB171" i="3"/>
  <c r="BQ171" i="3"/>
  <c r="AX173" i="3"/>
  <c r="AT173" i="3"/>
  <c r="AW173" i="3"/>
  <c r="AY173" i="3" l="1"/>
  <c r="AO175" i="3"/>
  <c r="Y175" i="3"/>
  <c r="Z175" i="3" s="1"/>
  <c r="AG175" i="3"/>
  <c r="AH175" i="3"/>
  <c r="AN175" i="3"/>
  <c r="AQ176" i="3"/>
  <c r="A177" i="3"/>
  <c r="B176" i="3"/>
  <c r="AR176" i="3"/>
  <c r="C176" i="3"/>
  <c r="D176" i="3"/>
  <c r="G176" i="3"/>
  <c r="H176" i="3" s="1"/>
  <c r="BN176" i="3" s="1"/>
  <c r="F176" i="3"/>
  <c r="BM176" i="3" s="1"/>
  <c r="Q176" i="3"/>
  <c r="S176" i="3"/>
  <c r="O176" i="3"/>
  <c r="U176" i="3"/>
  <c r="AK176" i="3"/>
  <c r="M176" i="3"/>
  <c r="AD176" i="3"/>
  <c r="AE176" i="3"/>
  <c r="AM176" i="3"/>
  <c r="AF176" i="3"/>
  <c r="R176" i="3"/>
  <c r="P176" i="3"/>
  <c r="V176" i="3"/>
  <c r="T176" i="3"/>
  <c r="BA173" i="3"/>
  <c r="AV173" i="3"/>
  <c r="X175" i="3"/>
  <c r="AW174" i="3"/>
  <c r="AY174" i="3" s="1"/>
  <c r="BD172" i="3"/>
  <c r="BG172" i="3"/>
  <c r="BH172" i="3" s="1"/>
  <c r="BI172" i="3" s="1"/>
  <c r="AT174" i="3"/>
  <c r="AU174" i="3"/>
  <c r="BJ171" i="3"/>
  <c r="BK171" i="3" s="1"/>
  <c r="AT175" i="3" l="1"/>
  <c r="AN176" i="3"/>
  <c r="BC173" i="3"/>
  <c r="BD173" i="3" s="1"/>
  <c r="Y176" i="3"/>
  <c r="Z176" i="3" s="1"/>
  <c r="BQ173" i="3"/>
  <c r="BB173" i="3"/>
  <c r="BF173" i="3"/>
  <c r="BJ172" i="3" s="1"/>
  <c r="BK172" i="3" s="1"/>
  <c r="AG176" i="3"/>
  <c r="AQ177" i="3"/>
  <c r="A178" i="3"/>
  <c r="B177" i="3"/>
  <c r="AR177" i="3"/>
  <c r="D177" i="3"/>
  <c r="C177" i="3"/>
  <c r="G177" i="3"/>
  <c r="H177" i="3" s="1"/>
  <c r="BN177" i="3" s="1"/>
  <c r="F177" i="3"/>
  <c r="BM177" i="3" s="1"/>
  <c r="Q177" i="3"/>
  <c r="S177" i="3"/>
  <c r="O177" i="3"/>
  <c r="U177" i="3"/>
  <c r="AD177" i="3"/>
  <c r="M177" i="3"/>
  <c r="AK177" i="3"/>
  <c r="AF177" i="3"/>
  <c r="AM177" i="3"/>
  <c r="AE177" i="3"/>
  <c r="P177" i="3"/>
  <c r="R177" i="3"/>
  <c r="V177" i="3"/>
  <c r="T177" i="3"/>
  <c r="AH176" i="3"/>
  <c r="X176" i="3"/>
  <c r="AX175" i="3"/>
  <c r="AO176" i="3"/>
  <c r="AU175" i="3"/>
  <c r="AV175" i="3" s="1"/>
  <c r="AV174" i="3"/>
  <c r="BC174" i="3" s="1"/>
  <c r="BA174" i="3"/>
  <c r="AW175" i="3"/>
  <c r="BG173" i="3" l="1"/>
  <c r="BH173" i="3" s="1"/>
  <c r="BI173" i="3" s="1"/>
  <c r="AN177" i="3"/>
  <c r="AY175" i="3"/>
  <c r="BC175" i="3" s="1"/>
  <c r="AX176" i="3"/>
  <c r="BA175" i="3"/>
  <c r="BQ175" i="3" s="1"/>
  <c r="AG177" i="3"/>
  <c r="AU176" i="3"/>
  <c r="BQ174" i="3"/>
  <c r="BF174" i="3"/>
  <c r="BJ173" i="3" s="1"/>
  <c r="BK173" i="3" s="1"/>
  <c r="BB174" i="3"/>
  <c r="AW176" i="3"/>
  <c r="AY176" i="3" s="1"/>
  <c r="X177" i="3"/>
  <c r="Y177" i="3"/>
  <c r="Z177" i="3" s="1"/>
  <c r="AO177" i="3"/>
  <c r="BD174" i="3"/>
  <c r="BG174" i="3"/>
  <c r="BH174" i="3" s="1"/>
  <c r="BI174" i="3" s="1"/>
  <c r="AH177" i="3"/>
  <c r="AX177" i="3" s="1"/>
  <c r="AR178" i="3"/>
  <c r="AQ178" i="3"/>
  <c r="D178" i="3"/>
  <c r="B178" i="3"/>
  <c r="A179" i="3"/>
  <c r="C178" i="3"/>
  <c r="F178" i="3"/>
  <c r="G178" i="3"/>
  <c r="H178" i="3" s="1"/>
  <c r="BN178" i="3" s="1"/>
  <c r="S178" i="3"/>
  <c r="Q178" i="3"/>
  <c r="O178" i="3"/>
  <c r="U178" i="3"/>
  <c r="AM178" i="3"/>
  <c r="AD178" i="3"/>
  <c r="M178" i="3"/>
  <c r="AF178" i="3"/>
  <c r="AK178" i="3"/>
  <c r="AE178" i="3"/>
  <c r="P178" i="3"/>
  <c r="T178" i="3"/>
  <c r="V178" i="3"/>
  <c r="R178" i="3"/>
  <c r="AT176" i="3"/>
  <c r="BF175" i="3" l="1"/>
  <c r="BJ174" i="3" s="1"/>
  <c r="BK174" i="3" s="1"/>
  <c r="BB175" i="3"/>
  <c r="BG175" i="3"/>
  <c r="BH175" i="3" s="1"/>
  <c r="BI175" i="3" s="1"/>
  <c r="BD175" i="3"/>
  <c r="AO178" i="3"/>
  <c r="BM178" i="3"/>
  <c r="AQ179" i="3"/>
  <c r="B179" i="3"/>
  <c r="A180" i="3"/>
  <c r="AR179" i="3"/>
  <c r="D179" i="3"/>
  <c r="C179" i="3"/>
  <c r="G179" i="3"/>
  <c r="H179" i="3" s="1"/>
  <c r="BN179" i="3" s="1"/>
  <c r="F179" i="3"/>
  <c r="BM179" i="3" s="1"/>
  <c r="Q179" i="3"/>
  <c r="S179" i="3"/>
  <c r="O179" i="3"/>
  <c r="U179" i="3"/>
  <c r="AM179" i="3"/>
  <c r="AE179" i="3"/>
  <c r="AK179" i="3"/>
  <c r="M179" i="3"/>
  <c r="AF179" i="3"/>
  <c r="AD179" i="3"/>
  <c r="V179" i="3"/>
  <c r="R179" i="3"/>
  <c r="P179" i="3"/>
  <c r="T179" i="3"/>
  <c r="AT177" i="3"/>
  <c r="X178" i="3"/>
  <c r="AG178" i="3"/>
  <c r="Y178" i="3"/>
  <c r="Z178" i="3" s="1"/>
  <c r="AU177" i="3"/>
  <c r="AV176" i="3"/>
  <c r="BC176" i="3" s="1"/>
  <c r="BA176" i="3"/>
  <c r="AW177" i="3"/>
  <c r="AY177" i="3" s="1"/>
  <c r="AH178" i="3"/>
  <c r="AN178" i="3"/>
  <c r="AU178" i="3" l="1"/>
  <c r="AO179" i="3"/>
  <c r="AT178" i="3"/>
  <c r="AV178" i="3" s="1"/>
  <c r="BD176" i="3"/>
  <c r="BG176" i="3"/>
  <c r="BH176" i="3" s="1"/>
  <c r="BI176" i="3" s="1"/>
  <c r="AG179" i="3"/>
  <c r="AV177" i="3"/>
  <c r="BC177" i="3" s="1"/>
  <c r="BA177" i="3"/>
  <c r="AN179" i="3"/>
  <c r="Y179" i="3"/>
  <c r="Z179" i="3" s="1"/>
  <c r="AH179" i="3"/>
  <c r="AT179" i="3" s="1"/>
  <c r="X179" i="3"/>
  <c r="AW178" i="3"/>
  <c r="AX178" i="3"/>
  <c r="AQ180" i="3"/>
  <c r="AR180" i="3"/>
  <c r="A181" i="3"/>
  <c r="B180" i="3"/>
  <c r="D180" i="3"/>
  <c r="C180" i="3"/>
  <c r="F180" i="3"/>
  <c r="BM180" i="3" s="1"/>
  <c r="G180" i="3"/>
  <c r="H180" i="3" s="1"/>
  <c r="BN180" i="3" s="1"/>
  <c r="Q180" i="3"/>
  <c r="S180" i="3"/>
  <c r="O180" i="3"/>
  <c r="U180" i="3"/>
  <c r="AM180" i="3"/>
  <c r="AE180" i="3"/>
  <c r="M180" i="3"/>
  <c r="AF180" i="3"/>
  <c r="AK180" i="3"/>
  <c r="AD180" i="3"/>
  <c r="P180" i="3"/>
  <c r="T180" i="3"/>
  <c r="V180" i="3"/>
  <c r="R180" i="3"/>
  <c r="BB176" i="3"/>
  <c r="BQ176" i="3"/>
  <c r="BF176" i="3"/>
  <c r="BJ175" i="3" s="1"/>
  <c r="BK175" i="3" s="1"/>
  <c r="AY178" i="3" l="1"/>
  <c r="BC178" i="3" s="1"/>
  <c r="AU179" i="3"/>
  <c r="AN180" i="3"/>
  <c r="BA178" i="3"/>
  <c r="BB178" i="3" s="1"/>
  <c r="AV179" i="3"/>
  <c r="AR181" i="3"/>
  <c r="A182" i="3"/>
  <c r="D181" i="3"/>
  <c r="B181" i="3"/>
  <c r="AQ181" i="3"/>
  <c r="C181" i="3"/>
  <c r="G181" i="3"/>
  <c r="H181" i="3" s="1"/>
  <c r="BN181" i="3" s="1"/>
  <c r="F181" i="3"/>
  <c r="BM181" i="3" s="1"/>
  <c r="S181" i="3"/>
  <c r="Q181" i="3"/>
  <c r="O181" i="3"/>
  <c r="U181" i="3"/>
  <c r="AE181" i="3"/>
  <c r="AD181" i="3"/>
  <c r="AM181" i="3"/>
  <c r="AF181" i="3"/>
  <c r="AK181" i="3"/>
  <c r="M181" i="3"/>
  <c r="T181" i="3"/>
  <c r="V181" i="3"/>
  <c r="P181" i="3"/>
  <c r="R181" i="3"/>
  <c r="AG180" i="3"/>
  <c r="X180" i="3"/>
  <c r="BB177" i="3"/>
  <c r="BQ177" i="3"/>
  <c r="BF177" i="3"/>
  <c r="BJ176" i="3" s="1"/>
  <c r="BK176" i="3" s="1"/>
  <c r="Y180" i="3"/>
  <c r="Z180" i="3" s="1"/>
  <c r="AX179" i="3"/>
  <c r="AW179" i="3"/>
  <c r="BD177" i="3"/>
  <c r="BG177" i="3"/>
  <c r="BH177" i="3" s="1"/>
  <c r="BI177" i="3" s="1"/>
  <c r="AH180" i="3"/>
  <c r="AO180" i="3"/>
  <c r="AW180" i="3" l="1"/>
  <c r="AH181" i="3"/>
  <c r="AO181" i="3"/>
  <c r="BQ178" i="3"/>
  <c r="BF178" i="3"/>
  <c r="BJ177" i="3" s="1"/>
  <c r="BK177" i="3" s="1"/>
  <c r="AY179" i="3"/>
  <c r="BC179" i="3" s="1"/>
  <c r="X181" i="3"/>
  <c r="AX180" i="3"/>
  <c r="AY180" i="3" s="1"/>
  <c r="BD178" i="3"/>
  <c r="BG178" i="3"/>
  <c r="BH178" i="3" s="1"/>
  <c r="BI178" i="3" s="1"/>
  <c r="Y181" i="3"/>
  <c r="Z181" i="3" s="1"/>
  <c r="AG181" i="3"/>
  <c r="A183" i="3"/>
  <c r="AR182" i="3"/>
  <c r="B182" i="3"/>
  <c r="AQ182" i="3"/>
  <c r="D182" i="3"/>
  <c r="C182" i="3"/>
  <c r="F182" i="3"/>
  <c r="BM182" i="3" s="1"/>
  <c r="G182" i="3"/>
  <c r="H182" i="3" s="1"/>
  <c r="BN182" i="3" s="1"/>
  <c r="Q182" i="3"/>
  <c r="S182" i="3"/>
  <c r="O182" i="3"/>
  <c r="U182" i="3"/>
  <c r="AM182" i="3"/>
  <c r="AK182" i="3"/>
  <c r="AD182" i="3"/>
  <c r="AF182" i="3"/>
  <c r="AE182" i="3"/>
  <c r="M182" i="3"/>
  <c r="P182" i="3"/>
  <c r="T182" i="3"/>
  <c r="V182" i="3"/>
  <c r="R182" i="3"/>
  <c r="AU180" i="3"/>
  <c r="BA179" i="3"/>
  <c r="AT180" i="3"/>
  <c r="AN181" i="3"/>
  <c r="AO182" i="3" l="1"/>
  <c r="AG182" i="3"/>
  <c r="AX181" i="3"/>
  <c r="AW181" i="3"/>
  <c r="AN182" i="3"/>
  <c r="AU181" i="3"/>
  <c r="X182" i="3"/>
  <c r="AH182" i="3"/>
  <c r="AX182" i="3" s="1"/>
  <c r="BD179" i="3"/>
  <c r="BG179" i="3"/>
  <c r="BH179" i="3" s="1"/>
  <c r="BI179" i="3" s="1"/>
  <c r="Y182" i="3"/>
  <c r="Z182" i="3" s="1"/>
  <c r="AT181" i="3"/>
  <c r="AV180" i="3"/>
  <c r="BC180" i="3" s="1"/>
  <c r="BA180" i="3"/>
  <c r="AT182" i="3"/>
  <c r="B183" i="3"/>
  <c r="AQ183" i="3"/>
  <c r="A184" i="3"/>
  <c r="AR183" i="3"/>
  <c r="D183" i="3"/>
  <c r="C183" i="3"/>
  <c r="F183" i="3"/>
  <c r="BM183" i="3" s="1"/>
  <c r="G183" i="3"/>
  <c r="H183" i="3" s="1"/>
  <c r="BN183" i="3" s="1"/>
  <c r="S183" i="3"/>
  <c r="Q183" i="3"/>
  <c r="O183" i="3"/>
  <c r="U183" i="3"/>
  <c r="AK183" i="3"/>
  <c r="AE183" i="3"/>
  <c r="AD183" i="3"/>
  <c r="M183" i="3"/>
  <c r="AM183" i="3"/>
  <c r="AF183" i="3"/>
  <c r="R183" i="3"/>
  <c r="T183" i="3"/>
  <c r="P183" i="3"/>
  <c r="V183" i="3"/>
  <c r="BQ179" i="3"/>
  <c r="BF179" i="3"/>
  <c r="BJ178" i="3" s="1"/>
  <c r="BK178" i="3" s="1"/>
  <c r="BB179" i="3"/>
  <c r="AW182" i="3" l="1"/>
  <c r="AY182" i="3" s="1"/>
  <c r="AN183" i="3"/>
  <c r="AY181" i="3"/>
  <c r="AU182" i="3"/>
  <c r="AV182" i="3" s="1"/>
  <c r="BC182" i="3" s="1"/>
  <c r="AO183" i="3"/>
  <c r="AV181" i="3"/>
  <c r="BC181" i="3" s="1"/>
  <c r="BA181" i="3"/>
  <c r="AG183" i="3"/>
  <c r="AW183" i="3" s="1"/>
  <c r="A185" i="3"/>
  <c r="B184" i="3"/>
  <c r="AR184" i="3"/>
  <c r="AQ184" i="3"/>
  <c r="D184" i="3"/>
  <c r="C184" i="3"/>
  <c r="G184" i="3"/>
  <c r="H184" i="3" s="1"/>
  <c r="BN184" i="3" s="1"/>
  <c r="F184" i="3"/>
  <c r="BM184" i="3" s="1"/>
  <c r="S184" i="3"/>
  <c r="Q184" i="3"/>
  <c r="O184" i="3"/>
  <c r="U184" i="3"/>
  <c r="AK184" i="3"/>
  <c r="M184" i="3"/>
  <c r="AM184" i="3"/>
  <c r="AE184" i="3"/>
  <c r="AF184" i="3"/>
  <c r="AD184" i="3"/>
  <c r="T184" i="3"/>
  <c r="V184" i="3"/>
  <c r="R184" i="3"/>
  <c r="P184" i="3"/>
  <c r="BD180" i="3"/>
  <c r="BG180" i="3"/>
  <c r="BH180" i="3" s="1"/>
  <c r="BI180" i="3" s="1"/>
  <c r="X183" i="3"/>
  <c r="AH183" i="3"/>
  <c r="BB180" i="3"/>
  <c r="BF180" i="3"/>
  <c r="BJ179" i="3" s="1"/>
  <c r="BK179" i="3" s="1"/>
  <c r="BQ180" i="3"/>
  <c r="Y183" i="3"/>
  <c r="Z183" i="3" s="1"/>
  <c r="BA182" i="3" l="1"/>
  <c r="AN184" i="3"/>
  <c r="AT183" i="3"/>
  <c r="AH184" i="3"/>
  <c r="Y184" i="3"/>
  <c r="Z184" i="3" s="1"/>
  <c r="AO184" i="3"/>
  <c r="BF181" i="3"/>
  <c r="BJ180" i="3" s="1"/>
  <c r="BK180" i="3" s="1"/>
  <c r="BB181" i="3"/>
  <c r="BQ181" i="3"/>
  <c r="AG184" i="3"/>
  <c r="AW184" i="3" s="1"/>
  <c r="BD181" i="3"/>
  <c r="BG181" i="3"/>
  <c r="BH181" i="3" s="1"/>
  <c r="BI181" i="3" s="1"/>
  <c r="BF182" i="3"/>
  <c r="BB182" i="3"/>
  <c r="BQ182" i="3"/>
  <c r="X184" i="3"/>
  <c r="AU184" i="3"/>
  <c r="AR185" i="3"/>
  <c r="B185" i="3"/>
  <c r="AQ185" i="3"/>
  <c r="A186" i="3"/>
  <c r="C185" i="3"/>
  <c r="D185" i="3"/>
  <c r="G185" i="3"/>
  <c r="H185" i="3" s="1"/>
  <c r="BN185" i="3" s="1"/>
  <c r="F185" i="3"/>
  <c r="BM185" i="3" s="1"/>
  <c r="S185" i="3"/>
  <c r="Q185" i="3"/>
  <c r="O185" i="3"/>
  <c r="U185" i="3"/>
  <c r="AM185" i="3"/>
  <c r="AF185" i="3"/>
  <c r="AK185" i="3"/>
  <c r="M185" i="3"/>
  <c r="AD185" i="3"/>
  <c r="AE185" i="3"/>
  <c r="R185" i="3"/>
  <c r="V185" i="3"/>
  <c r="T185" i="3"/>
  <c r="P185" i="3"/>
  <c r="AU183" i="3"/>
  <c r="AX183" i="3"/>
  <c r="AY183" i="3" s="1"/>
  <c r="BD182" i="3"/>
  <c r="BG182" i="3"/>
  <c r="BH182" i="3" s="1"/>
  <c r="BI182" i="3" s="1"/>
  <c r="AX184" i="3" l="1"/>
  <c r="BJ181" i="3"/>
  <c r="BK181" i="3" s="1"/>
  <c r="AN185" i="3"/>
  <c r="AH185" i="3"/>
  <c r="BA183" i="3"/>
  <c r="BQ183" i="3" s="1"/>
  <c r="Y185" i="3"/>
  <c r="Z185" i="3" s="1"/>
  <c r="X185" i="3"/>
  <c r="AY184" i="3"/>
  <c r="AR186" i="3"/>
  <c r="AQ186" i="3"/>
  <c r="A187" i="3"/>
  <c r="C186" i="3"/>
  <c r="B186" i="3"/>
  <c r="D186" i="3"/>
  <c r="F186" i="3"/>
  <c r="BM186" i="3" s="1"/>
  <c r="G186" i="3"/>
  <c r="H186" i="3" s="1"/>
  <c r="BN186" i="3" s="1"/>
  <c r="S186" i="3"/>
  <c r="Q186" i="3"/>
  <c r="O186" i="3"/>
  <c r="U186" i="3"/>
  <c r="AM186" i="3"/>
  <c r="AD186" i="3"/>
  <c r="M186" i="3"/>
  <c r="AF186" i="3"/>
  <c r="AK186" i="3"/>
  <c r="AE186" i="3"/>
  <c r="R186" i="3"/>
  <c r="P186" i="3"/>
  <c r="V186" i="3"/>
  <c r="T186" i="3"/>
  <c r="AT184" i="3"/>
  <c r="AV183" i="3"/>
  <c r="BC183" i="3" s="1"/>
  <c r="AG185" i="3"/>
  <c r="AO185" i="3"/>
  <c r="AU185" i="3" l="1"/>
  <c r="AX185" i="3"/>
  <c r="BB183" i="3"/>
  <c r="BF183" i="3"/>
  <c r="BJ182" i="3" s="1"/>
  <c r="BK182" i="3" s="1"/>
  <c r="AG186" i="3"/>
  <c r="AO186" i="3"/>
  <c r="Y186" i="3"/>
  <c r="Z186" i="3" s="1"/>
  <c r="AH186" i="3"/>
  <c r="AU186" i="3" s="1"/>
  <c r="AQ187" i="3"/>
  <c r="B187" i="3"/>
  <c r="A188" i="3"/>
  <c r="AR187" i="3"/>
  <c r="D187" i="3"/>
  <c r="C187" i="3"/>
  <c r="F187" i="3"/>
  <c r="BM187" i="3" s="1"/>
  <c r="G187" i="3"/>
  <c r="H187" i="3" s="1"/>
  <c r="BN187" i="3" s="1"/>
  <c r="Q187" i="3"/>
  <c r="S187" i="3"/>
  <c r="O187" i="3"/>
  <c r="U187" i="3"/>
  <c r="AK187" i="3"/>
  <c r="M187" i="3"/>
  <c r="AF187" i="3"/>
  <c r="AE187" i="3"/>
  <c r="AD187" i="3"/>
  <c r="AM187" i="3"/>
  <c r="P187" i="3"/>
  <c r="R187" i="3"/>
  <c r="T187" i="3"/>
  <c r="V187" i="3"/>
  <c r="AW185" i="3"/>
  <c r="AN186" i="3"/>
  <c r="BD183" i="3"/>
  <c r="BG183" i="3"/>
  <c r="BH183" i="3" s="1"/>
  <c r="BI183" i="3" s="1"/>
  <c r="X186" i="3"/>
  <c r="AT185" i="3"/>
  <c r="AV184" i="3"/>
  <c r="BC184" i="3" s="1"/>
  <c r="BA184" i="3"/>
  <c r="AY185" i="3" l="1"/>
  <c r="AN187" i="3"/>
  <c r="AT186" i="3"/>
  <c r="AH187" i="3"/>
  <c r="AV186" i="3"/>
  <c r="AG187" i="3"/>
  <c r="X187" i="3"/>
  <c r="AT187" i="3"/>
  <c r="AO187" i="3"/>
  <c r="AU187" i="3"/>
  <c r="Y187" i="3"/>
  <c r="Z187" i="3" s="1"/>
  <c r="B188" i="3"/>
  <c r="AR188" i="3"/>
  <c r="A189" i="3"/>
  <c r="AQ188" i="3"/>
  <c r="D188" i="3"/>
  <c r="C188" i="3"/>
  <c r="F188" i="3"/>
  <c r="G188" i="3"/>
  <c r="H188" i="3" s="1"/>
  <c r="BN188" i="3" s="1"/>
  <c r="Q188" i="3"/>
  <c r="S188" i="3"/>
  <c r="O188" i="3"/>
  <c r="U188" i="3"/>
  <c r="M188" i="3"/>
  <c r="AE188" i="3"/>
  <c r="AK188" i="3"/>
  <c r="AM188" i="3"/>
  <c r="AF188" i="3"/>
  <c r="AD188" i="3"/>
  <c r="R188" i="3"/>
  <c r="V188" i="3"/>
  <c r="P188" i="3"/>
  <c r="T188" i="3"/>
  <c r="BD184" i="3"/>
  <c r="BG184" i="3"/>
  <c r="BH184" i="3" s="1"/>
  <c r="BI184" i="3" s="1"/>
  <c r="BB184" i="3"/>
  <c r="BF184" i="3"/>
  <c r="BJ183" i="3" s="1"/>
  <c r="BK183" i="3" s="1"/>
  <c r="BQ184" i="3"/>
  <c r="AX186" i="3"/>
  <c r="BA185" i="3"/>
  <c r="AV185" i="3"/>
  <c r="BC185" i="3" s="1"/>
  <c r="AW186" i="3"/>
  <c r="BA186" i="3" l="1"/>
  <c r="BM188" i="3"/>
  <c r="AN188" i="3"/>
  <c r="AH188" i="3"/>
  <c r="BF186" i="3"/>
  <c r="BQ186" i="3"/>
  <c r="BB186" i="3"/>
  <c r="X188" i="3"/>
  <c r="AG188" i="3"/>
  <c r="AT188" i="3" s="1"/>
  <c r="Y188" i="3"/>
  <c r="Z188" i="3" s="1"/>
  <c r="BD185" i="3"/>
  <c r="BG185" i="3"/>
  <c r="BH185" i="3" s="1"/>
  <c r="BI185" i="3" s="1"/>
  <c r="BB185" i="3"/>
  <c r="BF185" i="3"/>
  <c r="BJ184" i="3" s="1"/>
  <c r="BK184" i="3" s="1"/>
  <c r="BQ185" i="3"/>
  <c r="AV187" i="3"/>
  <c r="AO188" i="3"/>
  <c r="B189" i="3"/>
  <c r="AQ189" i="3"/>
  <c r="AR189" i="3"/>
  <c r="A190" i="3"/>
  <c r="D189" i="3"/>
  <c r="C189" i="3"/>
  <c r="F189" i="3"/>
  <c r="G189" i="3"/>
  <c r="H189" i="3" s="1"/>
  <c r="BN189" i="3" s="1"/>
  <c r="Q189" i="3"/>
  <c r="S189" i="3"/>
  <c r="O189" i="3"/>
  <c r="U189" i="3"/>
  <c r="AD189" i="3"/>
  <c r="AK189" i="3"/>
  <c r="AM189" i="3"/>
  <c r="M189" i="3"/>
  <c r="AE189" i="3"/>
  <c r="AF189" i="3"/>
  <c r="P189" i="3"/>
  <c r="R189" i="3"/>
  <c r="V189" i="3"/>
  <c r="T189" i="3"/>
  <c r="AY186" i="3"/>
  <c r="BC186" i="3" s="1"/>
  <c r="AW187" i="3"/>
  <c r="AX187" i="3"/>
  <c r="AH189" i="3" l="1"/>
  <c r="AU188" i="3"/>
  <c r="AV188" i="3" s="1"/>
  <c r="BM189" i="3"/>
  <c r="BA187" i="3"/>
  <c r="BF187" i="3" s="1"/>
  <c r="BJ186" i="3" s="1"/>
  <c r="AX188" i="3"/>
  <c r="AN189" i="3"/>
  <c r="B190" i="3"/>
  <c r="A191" i="3"/>
  <c r="AQ190" i="3"/>
  <c r="AR190" i="3"/>
  <c r="C190" i="3"/>
  <c r="D190" i="3"/>
  <c r="G190" i="3"/>
  <c r="H190" i="3" s="1"/>
  <c r="BN190" i="3" s="1"/>
  <c r="F190" i="3"/>
  <c r="BM190" i="3" s="1"/>
  <c r="Q190" i="3"/>
  <c r="S190" i="3"/>
  <c r="O190" i="3"/>
  <c r="U190" i="3"/>
  <c r="AM190" i="3"/>
  <c r="AK190" i="3"/>
  <c r="M190" i="3"/>
  <c r="AF190" i="3"/>
  <c r="AE190" i="3"/>
  <c r="AD190" i="3"/>
  <c r="P190" i="3"/>
  <c r="V190" i="3"/>
  <c r="T190" i="3"/>
  <c r="R190" i="3"/>
  <c r="Y189" i="3"/>
  <c r="Z189" i="3" s="1"/>
  <c r="AY187" i="3"/>
  <c r="BC187" i="3" s="1"/>
  <c r="AG189" i="3"/>
  <c r="BD186" i="3"/>
  <c r="BG186" i="3"/>
  <c r="BH186" i="3" s="1"/>
  <c r="BI186" i="3" s="1"/>
  <c r="X189" i="3"/>
  <c r="AW188" i="3"/>
  <c r="AO189" i="3"/>
  <c r="BJ185" i="3"/>
  <c r="BK185" i="3" s="1"/>
  <c r="AT189" i="3" l="1"/>
  <c r="AU189" i="3"/>
  <c r="AY188" i="3"/>
  <c r="AX189" i="3"/>
  <c r="BQ187" i="3"/>
  <c r="BB187" i="3"/>
  <c r="BK186" i="3"/>
  <c r="AO190" i="3"/>
  <c r="BC188" i="3"/>
  <c r="BD187" i="3"/>
  <c r="BG187" i="3"/>
  <c r="BH187" i="3" s="1"/>
  <c r="BI187" i="3" s="1"/>
  <c r="AN190" i="3"/>
  <c r="BD188" i="3"/>
  <c r="BG188" i="3"/>
  <c r="BH188" i="3" s="1"/>
  <c r="BI188" i="3" s="1"/>
  <c r="X190" i="3"/>
  <c r="Y190" i="3"/>
  <c r="Z190" i="3" s="1"/>
  <c r="AH190" i="3"/>
  <c r="AG190" i="3"/>
  <c r="AV189" i="3"/>
  <c r="AQ191" i="3"/>
  <c r="B191" i="3"/>
  <c r="A192" i="3"/>
  <c r="AR191" i="3"/>
  <c r="D191" i="3"/>
  <c r="C191" i="3"/>
  <c r="F191" i="3"/>
  <c r="BM191" i="3" s="1"/>
  <c r="G191" i="3"/>
  <c r="H191" i="3" s="1"/>
  <c r="BN191" i="3" s="1"/>
  <c r="Q191" i="3"/>
  <c r="S191" i="3"/>
  <c r="O191" i="3"/>
  <c r="U191" i="3"/>
  <c r="AM191" i="3"/>
  <c r="AD191" i="3"/>
  <c r="AE191" i="3"/>
  <c r="AK191" i="3"/>
  <c r="M191" i="3"/>
  <c r="AF191" i="3"/>
  <c r="P191" i="3"/>
  <c r="T191" i="3"/>
  <c r="V191" i="3"/>
  <c r="R191" i="3"/>
  <c r="AW189" i="3"/>
  <c r="BA188" i="3"/>
  <c r="AY189" i="3" l="1"/>
  <c r="AO191" i="3"/>
  <c r="AH191" i="3"/>
  <c r="BC189" i="3"/>
  <c r="BA189" i="3"/>
  <c r="BB189" i="3" s="1"/>
  <c r="AW190" i="3"/>
  <c r="AN191" i="3"/>
  <c r="BF189" i="3"/>
  <c r="BQ189" i="3"/>
  <c r="BD189" i="3"/>
  <c r="BG189" i="3"/>
  <c r="BH189" i="3" s="1"/>
  <c r="BI189" i="3" s="1"/>
  <c r="BF188" i="3"/>
  <c r="BJ187" i="3" s="1"/>
  <c r="BK187" i="3" s="1"/>
  <c r="BB188" i="3"/>
  <c r="BQ188" i="3"/>
  <c r="AR192" i="3"/>
  <c r="AQ192" i="3"/>
  <c r="A193" i="3"/>
  <c r="B192" i="3"/>
  <c r="D192" i="3"/>
  <c r="C192" i="3"/>
  <c r="G192" i="3"/>
  <c r="H192" i="3" s="1"/>
  <c r="BN192" i="3" s="1"/>
  <c r="F192" i="3"/>
  <c r="BM192" i="3" s="1"/>
  <c r="Q192" i="3"/>
  <c r="S192" i="3"/>
  <c r="O192" i="3"/>
  <c r="U192" i="3"/>
  <c r="M192" i="3"/>
  <c r="AM192" i="3"/>
  <c r="AD192" i="3"/>
  <c r="AE192" i="3"/>
  <c r="AK192" i="3"/>
  <c r="AF192" i="3"/>
  <c r="R192" i="3"/>
  <c r="V192" i="3"/>
  <c r="P192" i="3"/>
  <c r="T192" i="3"/>
  <c r="X191" i="3"/>
  <c r="AX190" i="3"/>
  <c r="AG191" i="3"/>
  <c r="AT191" i="3" s="1"/>
  <c r="AT190" i="3"/>
  <c r="AU190" i="3"/>
  <c r="Y191" i="3"/>
  <c r="Z191" i="3" s="1"/>
  <c r="AO192" i="3" l="1"/>
  <c r="AW191" i="3"/>
  <c r="AY190" i="3"/>
  <c r="AG192" i="3"/>
  <c r="Y192" i="3"/>
  <c r="Z192" i="3" s="1"/>
  <c r="AH192" i="3"/>
  <c r="X192" i="3"/>
  <c r="AR193" i="3"/>
  <c r="AQ193" i="3"/>
  <c r="A194" i="3"/>
  <c r="B193" i="3"/>
  <c r="D193" i="3"/>
  <c r="C193" i="3"/>
  <c r="F193" i="3"/>
  <c r="BM193" i="3" s="1"/>
  <c r="G193" i="3"/>
  <c r="H193" i="3" s="1"/>
  <c r="BN193" i="3" s="1"/>
  <c r="Q193" i="3"/>
  <c r="S193" i="3"/>
  <c r="O193" i="3"/>
  <c r="U193" i="3"/>
  <c r="AD193" i="3"/>
  <c r="AE193" i="3"/>
  <c r="AK193" i="3"/>
  <c r="AF193" i="3"/>
  <c r="AM193" i="3"/>
  <c r="M193" i="3"/>
  <c r="V193" i="3"/>
  <c r="T193" i="3"/>
  <c r="R193" i="3"/>
  <c r="P193" i="3"/>
  <c r="AU191" i="3"/>
  <c r="BJ188" i="3"/>
  <c r="BK188" i="3" s="1"/>
  <c r="BA190" i="3"/>
  <c r="AV190" i="3"/>
  <c r="AN192" i="3"/>
  <c r="AX191" i="3"/>
  <c r="AY191" i="3" l="1"/>
  <c r="BC190" i="3"/>
  <c r="AN193" i="3"/>
  <c r="BA191" i="3"/>
  <c r="AW192" i="3"/>
  <c r="AU192" i="3"/>
  <c r="AT192" i="3"/>
  <c r="BB191" i="3"/>
  <c r="BQ191" i="3"/>
  <c r="BF191" i="3"/>
  <c r="BF190" i="3"/>
  <c r="BJ189" i="3" s="1"/>
  <c r="BK189" i="3" s="1"/>
  <c r="BB190" i="3"/>
  <c r="BQ190" i="3"/>
  <c r="X193" i="3"/>
  <c r="AR194" i="3"/>
  <c r="B194" i="3"/>
  <c r="AQ194" i="3"/>
  <c r="A195" i="3"/>
  <c r="D194" i="3"/>
  <c r="C194" i="3"/>
  <c r="G194" i="3"/>
  <c r="H194" i="3" s="1"/>
  <c r="BN194" i="3" s="1"/>
  <c r="F194" i="3"/>
  <c r="BM194" i="3" s="1"/>
  <c r="Q194" i="3"/>
  <c r="S194" i="3"/>
  <c r="O194" i="3"/>
  <c r="U194" i="3"/>
  <c r="AD194" i="3"/>
  <c r="M194" i="3"/>
  <c r="AM194" i="3"/>
  <c r="AE194" i="3"/>
  <c r="AK194" i="3"/>
  <c r="AF194" i="3"/>
  <c r="P194" i="3"/>
  <c r="V194" i="3"/>
  <c r="T194" i="3"/>
  <c r="R194" i="3"/>
  <c r="AV191" i="3"/>
  <c r="BC191" i="3" s="1"/>
  <c r="Y193" i="3"/>
  <c r="Z193" i="3" s="1"/>
  <c r="AH193" i="3"/>
  <c r="AG193" i="3"/>
  <c r="AX192" i="3"/>
  <c r="BA192" i="3" s="1"/>
  <c r="AO193" i="3"/>
  <c r="BD190" i="3"/>
  <c r="BG190" i="3"/>
  <c r="BH190" i="3" s="1"/>
  <c r="BI190" i="3" s="1"/>
  <c r="AV192" i="3" l="1"/>
  <c r="AO194" i="3"/>
  <c r="AY192" i="3"/>
  <c r="AU193" i="3"/>
  <c r="AG194" i="3"/>
  <c r="AT193" i="3"/>
  <c r="AV193" i="3" s="1"/>
  <c r="BQ192" i="3"/>
  <c r="BB192" i="3"/>
  <c r="BF192" i="3"/>
  <c r="BJ191" i="3" s="1"/>
  <c r="BK191" i="3" s="1"/>
  <c r="AN194" i="3"/>
  <c r="Y194" i="3"/>
  <c r="Z194" i="3" s="1"/>
  <c r="AH194" i="3"/>
  <c r="X194" i="3"/>
  <c r="BD191" i="3"/>
  <c r="BG191" i="3"/>
  <c r="BH191" i="3" s="1"/>
  <c r="BI191" i="3" s="1"/>
  <c r="AR195" i="3"/>
  <c r="AQ195" i="3"/>
  <c r="B195" i="3"/>
  <c r="A196" i="3"/>
  <c r="D195" i="3"/>
  <c r="C195" i="3"/>
  <c r="F195" i="3"/>
  <c r="BM195" i="3" s="1"/>
  <c r="G195" i="3"/>
  <c r="H195" i="3" s="1"/>
  <c r="BN195" i="3" s="1"/>
  <c r="Q195" i="3"/>
  <c r="S195" i="3"/>
  <c r="O195" i="3"/>
  <c r="U195" i="3"/>
  <c r="AM195" i="3"/>
  <c r="AD195" i="3"/>
  <c r="AK195" i="3"/>
  <c r="AF195" i="3"/>
  <c r="AE195" i="3"/>
  <c r="M195" i="3"/>
  <c r="T195" i="3"/>
  <c r="P195" i="3"/>
  <c r="R195" i="3"/>
  <c r="V195" i="3"/>
  <c r="BJ190" i="3"/>
  <c r="BK190" i="3" s="1"/>
  <c r="AW193" i="3"/>
  <c r="AX193" i="3"/>
  <c r="AY193" i="3" s="1"/>
  <c r="BC192" i="3" l="1"/>
  <c r="AX194" i="3"/>
  <c r="AG195" i="3"/>
  <c r="AO195" i="3"/>
  <c r="AT194" i="3"/>
  <c r="AN195" i="3"/>
  <c r="BG192" i="3"/>
  <c r="BH192" i="3" s="1"/>
  <c r="BI192" i="3" s="1"/>
  <c r="BD192" i="3"/>
  <c r="BA193" i="3"/>
  <c r="AW194" i="3"/>
  <c r="AY194" i="3" s="1"/>
  <c r="Y195" i="3"/>
  <c r="Z195" i="3" s="1"/>
  <c r="BC193" i="3"/>
  <c r="AH195" i="3"/>
  <c r="A197" i="3"/>
  <c r="AQ196" i="3"/>
  <c r="B196" i="3"/>
  <c r="AR196" i="3"/>
  <c r="C196" i="3"/>
  <c r="D196" i="3"/>
  <c r="G196" i="3"/>
  <c r="H196" i="3" s="1"/>
  <c r="BN196" i="3" s="1"/>
  <c r="F196" i="3"/>
  <c r="BM196" i="3" s="1"/>
  <c r="Q196" i="3"/>
  <c r="S196" i="3"/>
  <c r="O196" i="3"/>
  <c r="U196" i="3"/>
  <c r="AD196" i="3"/>
  <c r="AM196" i="3"/>
  <c r="M196" i="3"/>
  <c r="AE196" i="3"/>
  <c r="AF196" i="3"/>
  <c r="AK196" i="3"/>
  <c r="AO196" i="3" s="1"/>
  <c r="T196" i="3"/>
  <c r="V196" i="3"/>
  <c r="P196" i="3"/>
  <c r="R196" i="3"/>
  <c r="X195" i="3"/>
  <c r="AU194" i="3"/>
  <c r="AV194" i="3" l="1"/>
  <c r="AG196" i="3"/>
  <c r="AW195" i="3"/>
  <c r="AX195" i="3"/>
  <c r="AH196" i="3"/>
  <c r="AT196" i="3" s="1"/>
  <c r="X196" i="3"/>
  <c r="AR197" i="3"/>
  <c r="C197" i="3"/>
  <c r="B197" i="3"/>
  <c r="AQ197" i="3"/>
  <c r="A198" i="3"/>
  <c r="D197" i="3"/>
  <c r="F197" i="3"/>
  <c r="BM197" i="3" s="1"/>
  <c r="G197" i="3"/>
  <c r="H197" i="3" s="1"/>
  <c r="BN197" i="3" s="1"/>
  <c r="Q197" i="3"/>
  <c r="S197" i="3"/>
  <c r="O197" i="3"/>
  <c r="U197" i="3"/>
  <c r="M197" i="3"/>
  <c r="AD197" i="3"/>
  <c r="AM197" i="3"/>
  <c r="AK197" i="3"/>
  <c r="AE197" i="3"/>
  <c r="AF197" i="3"/>
  <c r="V197" i="3"/>
  <c r="R197" i="3"/>
  <c r="P197" i="3"/>
  <c r="T197" i="3"/>
  <c r="BD193" i="3"/>
  <c r="BG193" i="3"/>
  <c r="BH193" i="3" s="1"/>
  <c r="BI193" i="3" s="1"/>
  <c r="AN196" i="3"/>
  <c r="Y196" i="3"/>
  <c r="Z196" i="3" s="1"/>
  <c r="BF193" i="3"/>
  <c r="BJ192" i="3" s="1"/>
  <c r="BK192" i="3" s="1"/>
  <c r="BB193" i="3"/>
  <c r="BQ193" i="3"/>
  <c r="BA194" i="3"/>
  <c r="AT195" i="3"/>
  <c r="BC194" i="3"/>
  <c r="AU195" i="3"/>
  <c r="AO197" i="3" l="1"/>
  <c r="AY195" i="3"/>
  <c r="AU196" i="3"/>
  <c r="AN197" i="3"/>
  <c r="AG197" i="3"/>
  <c r="AV196" i="3"/>
  <c r="B198" i="3"/>
  <c r="AR198" i="3"/>
  <c r="AQ198" i="3"/>
  <c r="A199" i="3"/>
  <c r="D198" i="3"/>
  <c r="C198" i="3"/>
  <c r="G198" i="3"/>
  <c r="H198" i="3" s="1"/>
  <c r="BN198" i="3" s="1"/>
  <c r="F198" i="3"/>
  <c r="BM198" i="3" s="1"/>
  <c r="S198" i="3"/>
  <c r="Q198" i="3"/>
  <c r="O198" i="3"/>
  <c r="U198" i="3"/>
  <c r="AM198" i="3"/>
  <c r="AE198" i="3"/>
  <c r="M198" i="3"/>
  <c r="AF198" i="3"/>
  <c r="AK198" i="3"/>
  <c r="AD198" i="3"/>
  <c r="T198" i="3"/>
  <c r="P198" i="3"/>
  <c r="R198" i="3"/>
  <c r="V198" i="3"/>
  <c r="AH197" i="3"/>
  <c r="BD194" i="3"/>
  <c r="BG194" i="3"/>
  <c r="BH194" i="3" s="1"/>
  <c r="BI194" i="3" s="1"/>
  <c r="BA195" i="3"/>
  <c r="AV195" i="3"/>
  <c r="Y197" i="3"/>
  <c r="Z197" i="3" s="1"/>
  <c r="X197" i="3"/>
  <c r="BB194" i="3"/>
  <c r="BQ194" i="3"/>
  <c r="BF194" i="3"/>
  <c r="BJ193" i="3" s="1"/>
  <c r="BK193" i="3" s="1"/>
  <c r="AX196" i="3"/>
  <c r="AW196" i="3"/>
  <c r="AO198" i="3" l="1"/>
  <c r="AX197" i="3"/>
  <c r="BC195" i="3"/>
  <c r="BA196" i="3"/>
  <c r="BF196" i="3" s="1"/>
  <c r="Y198" i="3"/>
  <c r="Z198" i="3" s="1"/>
  <c r="AH198" i="3"/>
  <c r="AT197" i="3"/>
  <c r="AU197" i="3"/>
  <c r="AG198" i="3"/>
  <c r="BF195" i="3"/>
  <c r="BJ194" i="3" s="1"/>
  <c r="BK194" i="3" s="1"/>
  <c r="BQ195" i="3"/>
  <c r="BB195" i="3"/>
  <c r="AN198" i="3"/>
  <c r="AW197" i="3"/>
  <c r="AY197" i="3" s="1"/>
  <c r="X198" i="3"/>
  <c r="AY196" i="3"/>
  <c r="BC196" i="3" s="1"/>
  <c r="AQ199" i="3"/>
  <c r="B199" i="3"/>
  <c r="A200" i="3"/>
  <c r="AR199" i="3"/>
  <c r="C199" i="3"/>
  <c r="D199" i="3"/>
  <c r="G199" i="3"/>
  <c r="H199" i="3" s="1"/>
  <c r="BN199" i="3" s="1"/>
  <c r="F199" i="3"/>
  <c r="BM199" i="3" s="1"/>
  <c r="Q199" i="3"/>
  <c r="S199" i="3"/>
  <c r="O199" i="3"/>
  <c r="U199" i="3"/>
  <c r="AD199" i="3"/>
  <c r="AK199" i="3"/>
  <c r="M199" i="3"/>
  <c r="AF199" i="3"/>
  <c r="AM199" i="3"/>
  <c r="AE199" i="3"/>
  <c r="V199" i="3"/>
  <c r="P199" i="3"/>
  <c r="T199" i="3"/>
  <c r="R199" i="3"/>
  <c r="BD195" i="3"/>
  <c r="BG195" i="3"/>
  <c r="BH195" i="3" s="1"/>
  <c r="BI195" i="3" s="1"/>
  <c r="AU198" i="3" l="1"/>
  <c r="AT198" i="3"/>
  <c r="AX198" i="3"/>
  <c r="BB196" i="3"/>
  <c r="BQ196" i="3"/>
  <c r="AO199" i="3"/>
  <c r="AH199" i="3"/>
  <c r="BD196" i="3"/>
  <c r="BG196" i="3"/>
  <c r="BH196" i="3" s="1"/>
  <c r="BI196" i="3" s="1"/>
  <c r="AV197" i="3"/>
  <c r="BC197" i="3" s="1"/>
  <c r="BA197" i="3"/>
  <c r="A201" i="3"/>
  <c r="B200" i="3"/>
  <c r="AR200" i="3"/>
  <c r="AQ200" i="3"/>
  <c r="D200" i="3"/>
  <c r="C200" i="3"/>
  <c r="G200" i="3"/>
  <c r="H200" i="3" s="1"/>
  <c r="BN200" i="3" s="1"/>
  <c r="F200" i="3"/>
  <c r="BM200" i="3" s="1"/>
  <c r="Q200" i="3"/>
  <c r="S200" i="3"/>
  <c r="O200" i="3"/>
  <c r="U200" i="3"/>
  <c r="AK200" i="3"/>
  <c r="AM200" i="3"/>
  <c r="M200" i="3"/>
  <c r="AD200" i="3"/>
  <c r="AE200" i="3"/>
  <c r="AF200" i="3"/>
  <c r="R200" i="3"/>
  <c r="T200" i="3"/>
  <c r="P200" i="3"/>
  <c r="V200" i="3"/>
  <c r="AW198" i="3"/>
  <c r="X199" i="3"/>
  <c r="Y199" i="3"/>
  <c r="Z199" i="3" s="1"/>
  <c r="AN199" i="3"/>
  <c r="AG199" i="3"/>
  <c r="BJ195" i="3"/>
  <c r="BK195" i="3" s="1"/>
  <c r="AV198" i="3" l="1"/>
  <c r="AY198" i="3"/>
  <c r="AN200" i="3"/>
  <c r="AW199" i="3"/>
  <c r="AG200" i="3"/>
  <c r="AX199" i="3"/>
  <c r="BA198" i="3"/>
  <c r="AO200" i="3"/>
  <c r="AY199" i="3"/>
  <c r="BC198" i="3"/>
  <c r="BF197" i="3"/>
  <c r="BJ196" i="3" s="1"/>
  <c r="BK196" i="3" s="1"/>
  <c r="BB197" i="3"/>
  <c r="BQ197" i="3"/>
  <c r="AU199" i="3"/>
  <c r="AH200" i="3"/>
  <c r="AX200" i="3" s="1"/>
  <c r="X200" i="3"/>
  <c r="AR201" i="3"/>
  <c r="AQ201" i="3"/>
  <c r="A202" i="3"/>
  <c r="B201" i="3"/>
  <c r="D201" i="3"/>
  <c r="C201" i="3"/>
  <c r="F201" i="3"/>
  <c r="BM201" i="3" s="1"/>
  <c r="G201" i="3"/>
  <c r="H201" i="3" s="1"/>
  <c r="BN201" i="3" s="1"/>
  <c r="Q201" i="3"/>
  <c r="S201" i="3"/>
  <c r="O201" i="3"/>
  <c r="U201" i="3"/>
  <c r="M201" i="3"/>
  <c r="AM201" i="3"/>
  <c r="AK201" i="3"/>
  <c r="AD201" i="3"/>
  <c r="AF201" i="3"/>
  <c r="AE201" i="3"/>
  <c r="V201" i="3"/>
  <c r="P201" i="3"/>
  <c r="R201" i="3"/>
  <c r="T201" i="3"/>
  <c r="Y200" i="3"/>
  <c r="Z200" i="3" s="1"/>
  <c r="BD197" i="3"/>
  <c r="BG197" i="3"/>
  <c r="BH197" i="3" s="1"/>
  <c r="BI197" i="3" s="1"/>
  <c r="AT199" i="3"/>
  <c r="AO201" i="3" l="1"/>
  <c r="Y201" i="3"/>
  <c r="Z201" i="3" s="1"/>
  <c r="AN201" i="3"/>
  <c r="X201" i="3"/>
  <c r="AH201" i="3"/>
  <c r="AG201" i="3"/>
  <c r="AV199" i="3"/>
  <c r="BC199" i="3" s="1"/>
  <c r="BA199" i="3"/>
  <c r="AT201" i="3"/>
  <c r="AU200" i="3"/>
  <c r="BB198" i="3"/>
  <c r="BQ198" i="3"/>
  <c r="BF198" i="3"/>
  <c r="BJ197" i="3" s="1"/>
  <c r="BK197" i="3" s="1"/>
  <c r="AR202" i="3"/>
  <c r="B202" i="3"/>
  <c r="A203" i="3"/>
  <c r="C202" i="3"/>
  <c r="AQ202" i="3"/>
  <c r="D202" i="3"/>
  <c r="G202" i="3"/>
  <c r="H202" i="3" s="1"/>
  <c r="BN202" i="3" s="1"/>
  <c r="F202" i="3"/>
  <c r="BM202" i="3" s="1"/>
  <c r="Q202" i="3"/>
  <c r="S202" i="3"/>
  <c r="O202" i="3"/>
  <c r="U202" i="3"/>
  <c r="AK202" i="3"/>
  <c r="AM202" i="3"/>
  <c r="M202" i="3"/>
  <c r="AF202" i="3"/>
  <c r="AE202" i="3"/>
  <c r="AD202" i="3"/>
  <c r="V202" i="3"/>
  <c r="P202" i="3"/>
  <c r="T202" i="3"/>
  <c r="R202" i="3"/>
  <c r="BD198" i="3"/>
  <c r="BG198" i="3"/>
  <c r="BH198" i="3" s="1"/>
  <c r="BI198" i="3" s="1"/>
  <c r="AT200" i="3"/>
  <c r="AW200" i="3"/>
  <c r="AY200" i="3" s="1"/>
  <c r="AU201" i="3" l="1"/>
  <c r="AV201" i="3" s="1"/>
  <c r="AG202" i="3"/>
  <c r="AN202" i="3"/>
  <c r="AV200" i="3"/>
  <c r="BC200" i="3" s="1"/>
  <c r="BA200" i="3"/>
  <c r="AO202" i="3"/>
  <c r="Y202" i="3"/>
  <c r="Z202" i="3" s="1"/>
  <c r="AH202" i="3"/>
  <c r="AX202" i="3" s="1"/>
  <c r="X202" i="3"/>
  <c r="B203" i="3"/>
  <c r="A204" i="3"/>
  <c r="AQ203" i="3"/>
  <c r="AR203" i="3"/>
  <c r="D203" i="3"/>
  <c r="C203" i="3"/>
  <c r="G203" i="3"/>
  <c r="H203" i="3" s="1"/>
  <c r="BN203" i="3" s="1"/>
  <c r="F203" i="3"/>
  <c r="BM203" i="3" s="1"/>
  <c r="S203" i="3"/>
  <c r="Q203" i="3"/>
  <c r="O203" i="3"/>
  <c r="U203" i="3"/>
  <c r="AD203" i="3"/>
  <c r="AM203" i="3"/>
  <c r="M203" i="3"/>
  <c r="AE203" i="3"/>
  <c r="AK203" i="3"/>
  <c r="AO203" i="3" s="1"/>
  <c r="AF203" i="3"/>
  <c r="T203" i="3"/>
  <c r="R203" i="3"/>
  <c r="P203" i="3"/>
  <c r="V203" i="3"/>
  <c r="BG199" i="3"/>
  <c r="BH199" i="3" s="1"/>
  <c r="BI199" i="3" s="1"/>
  <c r="BD199" i="3"/>
  <c r="AW201" i="3"/>
  <c r="AX201" i="3"/>
  <c r="BQ199" i="3"/>
  <c r="BF199" i="3"/>
  <c r="BJ198" i="3" s="1"/>
  <c r="BK198" i="3" s="1"/>
  <c r="BB199" i="3"/>
  <c r="AU202" i="3" l="1"/>
  <c r="BA201" i="3"/>
  <c r="BB201" i="3" s="1"/>
  <c r="Y203" i="3"/>
  <c r="Z203" i="3" s="1"/>
  <c r="AN203" i="3"/>
  <c r="X203" i="3"/>
  <c r="AG203" i="3"/>
  <c r="B204" i="3"/>
  <c r="AR204" i="3"/>
  <c r="A205" i="3"/>
  <c r="AQ204" i="3"/>
  <c r="D204" i="3"/>
  <c r="C204" i="3"/>
  <c r="G204" i="3"/>
  <c r="H204" i="3" s="1"/>
  <c r="BN204" i="3" s="1"/>
  <c r="F204" i="3"/>
  <c r="BM204" i="3" s="1"/>
  <c r="Q204" i="3"/>
  <c r="S204" i="3"/>
  <c r="O204" i="3"/>
  <c r="U204" i="3"/>
  <c r="AD204" i="3"/>
  <c r="AK204" i="3"/>
  <c r="AF204" i="3"/>
  <c r="AE204" i="3"/>
  <c r="M204" i="3"/>
  <c r="AM204" i="3"/>
  <c r="P204" i="3"/>
  <c r="R204" i="3"/>
  <c r="V204" i="3"/>
  <c r="T204" i="3"/>
  <c r="AY201" i="3"/>
  <c r="BC201" i="3" s="1"/>
  <c r="AH203" i="3"/>
  <c r="BB200" i="3"/>
  <c r="BQ200" i="3"/>
  <c r="BF200" i="3"/>
  <c r="BJ199" i="3" s="1"/>
  <c r="BK199" i="3" s="1"/>
  <c r="BD200" i="3"/>
  <c r="BG200" i="3"/>
  <c r="BH200" i="3" s="1"/>
  <c r="BI200" i="3" s="1"/>
  <c r="AT202" i="3"/>
  <c r="AW202" i="3"/>
  <c r="AY202" i="3" s="1"/>
  <c r="AN204" i="3" l="1"/>
  <c r="BQ201" i="3"/>
  <c r="BF201" i="3"/>
  <c r="AH204" i="3"/>
  <c r="AT203" i="3"/>
  <c r="AG204" i="3"/>
  <c r="BA202" i="3"/>
  <c r="AV202" i="3"/>
  <c r="BC202" i="3" s="1"/>
  <c r="AQ205" i="3"/>
  <c r="D205" i="3"/>
  <c r="AR205" i="3"/>
  <c r="A206" i="3"/>
  <c r="B205" i="3"/>
  <c r="C205" i="3"/>
  <c r="G205" i="3"/>
  <c r="H205" i="3" s="1"/>
  <c r="BN205" i="3" s="1"/>
  <c r="F205" i="3"/>
  <c r="BM205" i="3" s="1"/>
  <c r="Q205" i="3"/>
  <c r="S205" i="3"/>
  <c r="O205" i="3"/>
  <c r="U205" i="3"/>
  <c r="AK205" i="3"/>
  <c r="M205" i="3"/>
  <c r="AE205" i="3"/>
  <c r="AF205" i="3"/>
  <c r="AM205" i="3"/>
  <c r="AD205" i="3"/>
  <c r="P205" i="3"/>
  <c r="R205" i="3"/>
  <c r="T205" i="3"/>
  <c r="V205" i="3"/>
  <c r="AO204" i="3"/>
  <c r="X204" i="3"/>
  <c r="AU203" i="3"/>
  <c r="Y204" i="3"/>
  <c r="Z204" i="3" s="1"/>
  <c r="BD201" i="3"/>
  <c r="BG201" i="3"/>
  <c r="BH201" i="3" s="1"/>
  <c r="BI201" i="3" s="1"/>
  <c r="AW203" i="3"/>
  <c r="AX203" i="3"/>
  <c r="BJ200" i="3"/>
  <c r="BK200" i="3" s="1"/>
  <c r="AV203" i="3" l="1"/>
  <c r="AN205" i="3"/>
  <c r="AT204" i="3"/>
  <c r="AU204" i="3"/>
  <c r="AY203" i="3"/>
  <c r="BC203" i="3" s="1"/>
  <c r="AX204" i="3"/>
  <c r="AH205" i="3"/>
  <c r="AO205" i="3"/>
  <c r="A207" i="3"/>
  <c r="B206" i="3"/>
  <c r="AR206" i="3"/>
  <c r="AQ206" i="3"/>
  <c r="C206" i="3"/>
  <c r="D206" i="3"/>
  <c r="G206" i="3"/>
  <c r="H206" i="3" s="1"/>
  <c r="BN206" i="3" s="1"/>
  <c r="F206" i="3"/>
  <c r="BM206" i="3" s="1"/>
  <c r="Q206" i="3"/>
  <c r="S206" i="3"/>
  <c r="O206" i="3"/>
  <c r="U206" i="3"/>
  <c r="AD206" i="3"/>
  <c r="M206" i="3"/>
  <c r="AM206" i="3"/>
  <c r="AF206" i="3"/>
  <c r="AE206" i="3"/>
  <c r="AK206" i="3"/>
  <c r="R206" i="3"/>
  <c r="T206" i="3"/>
  <c r="V206" i="3"/>
  <c r="P206" i="3"/>
  <c r="Y205" i="3"/>
  <c r="Z205" i="3" s="1"/>
  <c r="AG205" i="3"/>
  <c r="X205" i="3"/>
  <c r="BD202" i="3"/>
  <c r="BG202" i="3"/>
  <c r="BH202" i="3" s="1"/>
  <c r="BI202" i="3" s="1"/>
  <c r="AW204" i="3"/>
  <c r="BA203" i="3"/>
  <c r="BF202" i="3"/>
  <c r="BJ201" i="3" s="1"/>
  <c r="BK201" i="3" s="1"/>
  <c r="BB202" i="3"/>
  <c r="BQ202" i="3"/>
  <c r="AW205" i="3" l="1"/>
  <c r="AV204" i="3"/>
  <c r="BA204" i="3"/>
  <c r="AO206" i="3"/>
  <c r="AY204" i="3"/>
  <c r="BD203" i="3"/>
  <c r="BG203" i="3"/>
  <c r="BH203" i="3" s="1"/>
  <c r="BI203" i="3" s="1"/>
  <c r="AG206" i="3"/>
  <c r="Y206" i="3"/>
  <c r="Z206" i="3" s="1"/>
  <c r="AX205" i="3"/>
  <c r="AY205" i="3" s="1"/>
  <c r="AN206" i="3"/>
  <c r="BQ204" i="3"/>
  <c r="BB204" i="3"/>
  <c r="BF204" i="3"/>
  <c r="AT205" i="3"/>
  <c r="AU206" i="3"/>
  <c r="BC204" i="3"/>
  <c r="X206" i="3"/>
  <c r="AT206" i="3"/>
  <c r="A208" i="3"/>
  <c r="AR207" i="3"/>
  <c r="AQ207" i="3"/>
  <c r="B207" i="3"/>
  <c r="C207" i="3"/>
  <c r="D207" i="3"/>
  <c r="G207" i="3"/>
  <c r="H207" i="3" s="1"/>
  <c r="BN207" i="3" s="1"/>
  <c r="F207" i="3"/>
  <c r="BM207" i="3" s="1"/>
  <c r="Q207" i="3"/>
  <c r="S207" i="3"/>
  <c r="O207" i="3"/>
  <c r="U207" i="3"/>
  <c r="AM207" i="3"/>
  <c r="AE207" i="3"/>
  <c r="AK207" i="3"/>
  <c r="AF207" i="3"/>
  <c r="AD207" i="3"/>
  <c r="M207" i="3"/>
  <c r="T207" i="3"/>
  <c r="R207" i="3"/>
  <c r="P207" i="3"/>
  <c r="V207" i="3"/>
  <c r="AH206" i="3"/>
  <c r="BB203" i="3"/>
  <c r="BQ203" i="3"/>
  <c r="BF203" i="3"/>
  <c r="BJ202" i="3" s="1"/>
  <c r="BK202" i="3" s="1"/>
  <c r="AU205" i="3"/>
  <c r="AO207" i="3" l="1"/>
  <c r="AX206" i="3"/>
  <c r="BJ203" i="3"/>
  <c r="BK203" i="3" s="1"/>
  <c r="AG207" i="3"/>
  <c r="AN207" i="3"/>
  <c r="AV205" i="3"/>
  <c r="BC205" i="3" s="1"/>
  <c r="BA205" i="3"/>
  <c r="Y207" i="3"/>
  <c r="Z207" i="3" s="1"/>
  <c r="A209" i="3"/>
  <c r="AR208" i="3"/>
  <c r="B208" i="3"/>
  <c r="AQ208" i="3"/>
  <c r="C208" i="3"/>
  <c r="D208" i="3"/>
  <c r="F208" i="3"/>
  <c r="BM208" i="3" s="1"/>
  <c r="G208" i="3"/>
  <c r="H208" i="3" s="1"/>
  <c r="BN208" i="3" s="1"/>
  <c r="S208" i="3"/>
  <c r="Q208" i="3"/>
  <c r="O208" i="3"/>
  <c r="U208" i="3"/>
  <c r="AD208" i="3"/>
  <c r="AM208" i="3"/>
  <c r="AE208" i="3"/>
  <c r="AF208" i="3"/>
  <c r="M208" i="3"/>
  <c r="AK208" i="3"/>
  <c r="V208" i="3"/>
  <c r="R208" i="3"/>
  <c r="P208" i="3"/>
  <c r="T208" i="3"/>
  <c r="AV206" i="3"/>
  <c r="BD204" i="3"/>
  <c r="BG204" i="3"/>
  <c r="BH204" i="3" s="1"/>
  <c r="BI204" i="3" s="1"/>
  <c r="AH207" i="3"/>
  <c r="X207" i="3"/>
  <c r="AW206" i="3"/>
  <c r="AY206" i="3" l="1"/>
  <c r="BA206" i="3"/>
  <c r="BC206" i="3"/>
  <c r="AO208" i="3"/>
  <c r="AT207" i="3"/>
  <c r="AG208" i="3"/>
  <c r="BD206" i="3"/>
  <c r="BG206" i="3"/>
  <c r="BH206" i="3" s="1"/>
  <c r="BI206" i="3" s="1"/>
  <c r="BQ206" i="3"/>
  <c r="BB206" i="3"/>
  <c r="BF206" i="3"/>
  <c r="Y208" i="3"/>
  <c r="Z208" i="3" s="1"/>
  <c r="AH208" i="3"/>
  <c r="AX208" i="3" s="1"/>
  <c r="X208" i="3"/>
  <c r="AR209" i="3"/>
  <c r="B209" i="3"/>
  <c r="AQ209" i="3"/>
  <c r="A210" i="3"/>
  <c r="C209" i="3"/>
  <c r="D209" i="3"/>
  <c r="F209" i="3"/>
  <c r="BM209" i="3" s="1"/>
  <c r="G209" i="3"/>
  <c r="H209" i="3" s="1"/>
  <c r="BN209" i="3" s="1"/>
  <c r="Q209" i="3"/>
  <c r="S209" i="3"/>
  <c r="O209" i="3"/>
  <c r="U209" i="3"/>
  <c r="AK209" i="3"/>
  <c r="AD209" i="3"/>
  <c r="M209" i="3"/>
  <c r="AM209" i="3"/>
  <c r="AF209" i="3"/>
  <c r="AE209" i="3"/>
  <c r="R209" i="3"/>
  <c r="P209" i="3"/>
  <c r="V209" i="3"/>
  <c r="T209" i="3"/>
  <c r="BD205" i="3"/>
  <c r="BG205" i="3"/>
  <c r="BH205" i="3" s="1"/>
  <c r="BI205" i="3" s="1"/>
  <c r="AN208" i="3"/>
  <c r="BQ205" i="3"/>
  <c r="BF205" i="3"/>
  <c r="BJ204" i="3" s="1"/>
  <c r="BK204" i="3" s="1"/>
  <c r="BB205" i="3"/>
  <c r="AW207" i="3"/>
  <c r="AX207" i="3"/>
  <c r="AU207" i="3"/>
  <c r="AN209" i="3" l="1"/>
  <c r="AU208" i="3"/>
  <c r="BJ205" i="3"/>
  <c r="BK205" i="3" s="1"/>
  <c r="AW208" i="3"/>
  <c r="AY208" i="3" s="1"/>
  <c r="BA207" i="3"/>
  <c r="BQ207" i="3" s="1"/>
  <c r="AG209" i="3"/>
  <c r="X209" i="3"/>
  <c r="Y209" i="3"/>
  <c r="Z209" i="3" s="1"/>
  <c r="AH209" i="3"/>
  <c r="D210" i="3"/>
  <c r="AR210" i="3"/>
  <c r="B210" i="3"/>
  <c r="AQ210" i="3"/>
  <c r="A211" i="3"/>
  <c r="C210" i="3"/>
  <c r="G210" i="3"/>
  <c r="H210" i="3" s="1"/>
  <c r="BN210" i="3" s="1"/>
  <c r="F210" i="3"/>
  <c r="BM210" i="3" s="1"/>
  <c r="Q210" i="3"/>
  <c r="S210" i="3"/>
  <c r="O210" i="3"/>
  <c r="U210" i="3"/>
  <c r="AM210" i="3"/>
  <c r="AD210" i="3"/>
  <c r="AK210" i="3"/>
  <c r="AE210" i="3"/>
  <c r="M210" i="3"/>
  <c r="AF210" i="3"/>
  <c r="T210" i="3"/>
  <c r="R210" i="3"/>
  <c r="V210" i="3"/>
  <c r="P210" i="3"/>
  <c r="AY207" i="3"/>
  <c r="AO209" i="3"/>
  <c r="AT208" i="3"/>
  <c r="AV207" i="3"/>
  <c r="BF207" i="3" l="1"/>
  <c r="AX209" i="3"/>
  <c r="BB207" i="3"/>
  <c r="Y210" i="3"/>
  <c r="Z210" i="3" s="1"/>
  <c r="AO210" i="3"/>
  <c r="AQ211" i="3"/>
  <c r="AR211" i="3"/>
  <c r="B211" i="3"/>
  <c r="A212" i="3"/>
  <c r="D211" i="3"/>
  <c r="C211" i="3"/>
  <c r="G211" i="3"/>
  <c r="H211" i="3" s="1"/>
  <c r="BN211" i="3" s="1"/>
  <c r="F211" i="3"/>
  <c r="BM211" i="3" s="1"/>
  <c r="S211" i="3"/>
  <c r="Q211" i="3"/>
  <c r="O211" i="3"/>
  <c r="U211" i="3"/>
  <c r="AK211" i="3"/>
  <c r="AD211" i="3"/>
  <c r="AF211" i="3"/>
  <c r="AE211" i="3"/>
  <c r="M211" i="3"/>
  <c r="AM211" i="3"/>
  <c r="P211" i="3"/>
  <c r="R211" i="3"/>
  <c r="V211" i="3"/>
  <c r="T211" i="3"/>
  <c r="AN210" i="3"/>
  <c r="AG210" i="3"/>
  <c r="X210" i="3"/>
  <c r="BC207" i="3"/>
  <c r="AT209" i="3"/>
  <c r="AH210" i="3"/>
  <c r="AW209" i="3"/>
  <c r="BA208" i="3"/>
  <c r="AV208" i="3"/>
  <c r="BC208" i="3" s="1"/>
  <c r="AU209" i="3"/>
  <c r="BJ206" i="3"/>
  <c r="BK206" i="3" s="1"/>
  <c r="AY209" i="3" l="1"/>
  <c r="AN211" i="3"/>
  <c r="AX210" i="3"/>
  <c r="Y211" i="3"/>
  <c r="Z211" i="3" s="1"/>
  <c r="AG211" i="3"/>
  <c r="BD207" i="3"/>
  <c r="BG207" i="3"/>
  <c r="BH207" i="3" s="1"/>
  <c r="BI207" i="3" s="1"/>
  <c r="AH211" i="3"/>
  <c r="BA209" i="3"/>
  <c r="AV209" i="3"/>
  <c r="BC209" i="3" s="1"/>
  <c r="AO211" i="3"/>
  <c r="AW211" i="3" s="1"/>
  <c r="AW210" i="3"/>
  <c r="AY210" i="3" s="1"/>
  <c r="AT210" i="3"/>
  <c r="X211" i="3"/>
  <c r="AU210" i="3"/>
  <c r="AT211" i="3"/>
  <c r="A213" i="3"/>
  <c r="B212" i="3"/>
  <c r="AR212" i="3"/>
  <c r="AQ212" i="3"/>
  <c r="C212" i="3"/>
  <c r="D212" i="3"/>
  <c r="G212" i="3"/>
  <c r="H212" i="3" s="1"/>
  <c r="BN212" i="3" s="1"/>
  <c r="F212" i="3"/>
  <c r="BM212" i="3" s="1"/>
  <c r="Q212" i="3"/>
  <c r="S212" i="3"/>
  <c r="O212" i="3"/>
  <c r="U212" i="3"/>
  <c r="AD212" i="3"/>
  <c r="AM212" i="3"/>
  <c r="M212" i="3"/>
  <c r="AK212" i="3"/>
  <c r="AE212" i="3"/>
  <c r="AF212" i="3"/>
  <c r="V212" i="3"/>
  <c r="T212" i="3"/>
  <c r="P212" i="3"/>
  <c r="R212" i="3"/>
  <c r="BD208" i="3"/>
  <c r="BG208" i="3"/>
  <c r="BH208" i="3" s="1"/>
  <c r="BI208" i="3" s="1"/>
  <c r="BF208" i="3"/>
  <c r="BJ207" i="3" s="1"/>
  <c r="BK207" i="3" s="1"/>
  <c r="BB208" i="3"/>
  <c r="BQ208" i="3"/>
  <c r="AU211" i="3"/>
  <c r="AO212" i="3" l="1"/>
  <c r="AG212" i="3"/>
  <c r="AN212" i="3"/>
  <c r="AV211" i="3"/>
  <c r="AV210" i="3"/>
  <c r="BC210" i="3" s="1"/>
  <c r="BA210" i="3"/>
  <c r="X212" i="3"/>
  <c r="AX211" i="3"/>
  <c r="BA211" i="3" s="1"/>
  <c r="AH212" i="3"/>
  <c r="AR213" i="3"/>
  <c r="AQ213" i="3"/>
  <c r="B213" i="3"/>
  <c r="A214" i="3"/>
  <c r="C213" i="3"/>
  <c r="D213" i="3"/>
  <c r="G213" i="3"/>
  <c r="H213" i="3" s="1"/>
  <c r="BN213" i="3" s="1"/>
  <c r="F213" i="3"/>
  <c r="BM213" i="3" s="1"/>
  <c r="S213" i="3"/>
  <c r="Q213" i="3"/>
  <c r="O213" i="3"/>
  <c r="U213" i="3"/>
  <c r="AM213" i="3"/>
  <c r="AD213" i="3"/>
  <c r="AF213" i="3"/>
  <c r="AK213" i="3"/>
  <c r="AE213" i="3"/>
  <c r="M213" i="3"/>
  <c r="V213" i="3"/>
  <c r="R213" i="3"/>
  <c r="T213" i="3"/>
  <c r="P213" i="3"/>
  <c r="BD209" i="3"/>
  <c r="BG209" i="3"/>
  <c r="BH209" i="3" s="1"/>
  <c r="BI209" i="3" s="1"/>
  <c r="BF209" i="3"/>
  <c r="BJ208" i="3" s="1"/>
  <c r="BK208" i="3" s="1"/>
  <c r="BQ209" i="3"/>
  <c r="BB209" i="3"/>
  <c r="Y212" i="3"/>
  <c r="Z212" i="3" s="1"/>
  <c r="AX212" i="3" l="1"/>
  <c r="AG213" i="3"/>
  <c r="AO213" i="3"/>
  <c r="Y213" i="3"/>
  <c r="Z213" i="3" s="1"/>
  <c r="BQ211" i="3"/>
  <c r="BB211" i="3"/>
  <c r="BF211" i="3"/>
  <c r="AR214" i="3"/>
  <c r="A215" i="3"/>
  <c r="B214" i="3"/>
  <c r="AQ214" i="3"/>
  <c r="C214" i="3"/>
  <c r="D214" i="3"/>
  <c r="G214" i="3"/>
  <c r="H214" i="3" s="1"/>
  <c r="BN214" i="3" s="1"/>
  <c r="F214" i="3"/>
  <c r="BM214" i="3" s="1"/>
  <c r="Q214" i="3"/>
  <c r="S214" i="3"/>
  <c r="O214" i="3"/>
  <c r="U214" i="3"/>
  <c r="AM214" i="3"/>
  <c r="AD214" i="3"/>
  <c r="AE214" i="3"/>
  <c r="AF214" i="3"/>
  <c r="M214" i="3"/>
  <c r="AK214" i="3"/>
  <c r="V214" i="3"/>
  <c r="R214" i="3"/>
  <c r="T214" i="3"/>
  <c r="P214" i="3"/>
  <c r="X213" i="3"/>
  <c r="AT212" i="3"/>
  <c r="AN213" i="3"/>
  <c r="AU212" i="3"/>
  <c r="AH213" i="3"/>
  <c r="AY211" i="3"/>
  <c r="BC211" i="3" s="1"/>
  <c r="BF210" i="3"/>
  <c r="BJ209" i="3" s="1"/>
  <c r="BK209" i="3" s="1"/>
  <c r="BQ210" i="3"/>
  <c r="BB210" i="3"/>
  <c r="BD210" i="3"/>
  <c r="BG210" i="3"/>
  <c r="BH210" i="3" s="1"/>
  <c r="BI210" i="3" s="1"/>
  <c r="AW212" i="3"/>
  <c r="AY212" i="3" s="1"/>
  <c r="AU213" i="3" l="1"/>
  <c r="AT213" i="3"/>
  <c r="AO214" i="3"/>
  <c r="AW213" i="3"/>
  <c r="AG214" i="3"/>
  <c r="BA212" i="3"/>
  <c r="AV212" i="3"/>
  <c r="BC212" i="3" s="1"/>
  <c r="Y214" i="3"/>
  <c r="Z214" i="3" s="1"/>
  <c r="BD211" i="3"/>
  <c r="BG211" i="3"/>
  <c r="BH211" i="3" s="1"/>
  <c r="BI211" i="3" s="1"/>
  <c r="AH214" i="3"/>
  <c r="AQ215" i="3"/>
  <c r="B215" i="3"/>
  <c r="A216" i="3"/>
  <c r="AR215" i="3"/>
  <c r="D215" i="3"/>
  <c r="C215" i="3"/>
  <c r="F215" i="3"/>
  <c r="BM215" i="3" s="1"/>
  <c r="G215" i="3"/>
  <c r="H215" i="3" s="1"/>
  <c r="BN215" i="3" s="1"/>
  <c r="S215" i="3"/>
  <c r="Q215" i="3"/>
  <c r="O215" i="3"/>
  <c r="U215" i="3"/>
  <c r="AE215" i="3"/>
  <c r="AK215" i="3"/>
  <c r="AD215" i="3"/>
  <c r="AF215" i="3"/>
  <c r="AM215" i="3"/>
  <c r="M215" i="3"/>
  <c r="V215" i="3"/>
  <c r="P215" i="3"/>
  <c r="R215" i="3"/>
  <c r="T215" i="3"/>
  <c r="AN214" i="3"/>
  <c r="X214" i="3"/>
  <c r="BJ210" i="3"/>
  <c r="BK210" i="3" s="1"/>
  <c r="AX213" i="3"/>
  <c r="AY213" i="3" s="1"/>
  <c r="AV213" i="3" l="1"/>
  <c r="BC213" i="3" s="1"/>
  <c r="AN215" i="3"/>
  <c r="AH215" i="3"/>
  <c r="Y215" i="3"/>
  <c r="Z215" i="3" s="1"/>
  <c r="AX214" i="3"/>
  <c r="AO215" i="3"/>
  <c r="X215" i="3"/>
  <c r="A217" i="3"/>
  <c r="AR216" i="3"/>
  <c r="AQ216" i="3"/>
  <c r="B216" i="3"/>
  <c r="C216" i="3"/>
  <c r="D216" i="3"/>
  <c r="F216" i="3"/>
  <c r="BM216" i="3" s="1"/>
  <c r="G216" i="3"/>
  <c r="H216" i="3" s="1"/>
  <c r="BN216" i="3" s="1"/>
  <c r="Q216" i="3"/>
  <c r="S216" i="3"/>
  <c r="O216" i="3"/>
  <c r="U216" i="3"/>
  <c r="AK216" i="3"/>
  <c r="AD216" i="3"/>
  <c r="M216" i="3"/>
  <c r="AE216" i="3"/>
  <c r="AF216" i="3"/>
  <c r="AM216" i="3"/>
  <c r="T216" i="3"/>
  <c r="R216" i="3"/>
  <c r="P216" i="3"/>
  <c r="V216" i="3"/>
  <c r="AU214" i="3"/>
  <c r="AG215" i="3"/>
  <c r="AW214" i="3"/>
  <c r="AT214" i="3"/>
  <c r="BA213" i="3"/>
  <c r="BD212" i="3"/>
  <c r="BG212" i="3"/>
  <c r="BH212" i="3" s="1"/>
  <c r="BI212" i="3" s="1"/>
  <c r="BB212" i="3"/>
  <c r="BQ212" i="3"/>
  <c r="BF212" i="3"/>
  <c r="BJ211" i="3" s="1"/>
  <c r="BK211" i="3" s="1"/>
  <c r="Y216" i="3" l="1"/>
  <c r="Z216" i="3" s="1"/>
  <c r="AY214" i="3"/>
  <c r="AW215" i="3"/>
  <c r="AN216" i="3"/>
  <c r="AX215" i="3"/>
  <c r="AU215" i="3"/>
  <c r="AG216" i="3"/>
  <c r="AO216" i="3"/>
  <c r="AV214" i="3"/>
  <c r="BA214" i="3"/>
  <c r="BD213" i="3"/>
  <c r="BG213" i="3"/>
  <c r="BH213" i="3" s="1"/>
  <c r="BI213" i="3" s="1"/>
  <c r="AH216" i="3"/>
  <c r="AR217" i="3"/>
  <c r="B217" i="3"/>
  <c r="A218" i="3"/>
  <c r="AQ217" i="3"/>
  <c r="D217" i="3"/>
  <c r="C217" i="3"/>
  <c r="F217" i="3"/>
  <c r="BM217" i="3" s="1"/>
  <c r="G217" i="3"/>
  <c r="H217" i="3" s="1"/>
  <c r="BN217" i="3" s="1"/>
  <c r="Q217" i="3"/>
  <c r="S217" i="3"/>
  <c r="O217" i="3"/>
  <c r="U217" i="3"/>
  <c r="AM217" i="3"/>
  <c r="M217" i="3"/>
  <c r="AK217" i="3"/>
  <c r="AD217" i="3"/>
  <c r="AF217" i="3"/>
  <c r="AE217" i="3"/>
  <c r="V217" i="3"/>
  <c r="R217" i="3"/>
  <c r="P217" i="3"/>
  <c r="T217" i="3"/>
  <c r="AT215" i="3"/>
  <c r="X216" i="3"/>
  <c r="BQ213" i="3"/>
  <c r="BB213" i="3"/>
  <c r="BF213" i="3"/>
  <c r="BJ212" i="3" s="1"/>
  <c r="BK212" i="3" s="1"/>
  <c r="BC214" i="3" l="1"/>
  <c r="BD214" i="3" s="1"/>
  <c r="AY215" i="3"/>
  <c r="AX216" i="3"/>
  <c r="AO217" i="3"/>
  <c r="AG217" i="3"/>
  <c r="AW216" i="3"/>
  <c r="AV215" i="3"/>
  <c r="BA215" i="3"/>
  <c r="AH217" i="3"/>
  <c r="AU217" i="3" s="1"/>
  <c r="X217" i="3"/>
  <c r="AN217" i="3"/>
  <c r="AQ218" i="3"/>
  <c r="A219" i="3"/>
  <c r="AR218" i="3"/>
  <c r="B218" i="3"/>
  <c r="C218" i="3"/>
  <c r="D218" i="3"/>
  <c r="G218" i="3"/>
  <c r="H218" i="3" s="1"/>
  <c r="BN218" i="3" s="1"/>
  <c r="F218" i="3"/>
  <c r="BM218" i="3" s="1"/>
  <c r="Q218" i="3"/>
  <c r="S218" i="3"/>
  <c r="O218" i="3"/>
  <c r="U218" i="3"/>
  <c r="AM218" i="3"/>
  <c r="M218" i="3"/>
  <c r="AE218" i="3"/>
  <c r="AF218" i="3"/>
  <c r="AD218" i="3"/>
  <c r="AK218" i="3"/>
  <c r="R218" i="3"/>
  <c r="V218" i="3"/>
  <c r="P218" i="3"/>
  <c r="T218" i="3"/>
  <c r="AU216" i="3"/>
  <c r="Y217" i="3"/>
  <c r="Z217" i="3" s="1"/>
  <c r="BB214" i="3"/>
  <c r="BQ214" i="3"/>
  <c r="BF214" i="3"/>
  <c r="BJ213" i="3" s="1"/>
  <c r="BK213" i="3" s="1"/>
  <c r="AT216" i="3"/>
  <c r="BG214" i="3" l="1"/>
  <c r="BH214" i="3" s="1"/>
  <c r="BI214" i="3" s="1"/>
  <c r="BC215" i="3"/>
  <c r="BG215" i="3" s="1"/>
  <c r="BH215" i="3" s="1"/>
  <c r="BI215" i="3" s="1"/>
  <c r="AY216" i="3"/>
  <c r="AO218" i="3"/>
  <c r="AT217" i="3"/>
  <c r="AW217" i="3"/>
  <c r="AG218" i="3"/>
  <c r="AN218" i="3"/>
  <c r="AV217" i="3"/>
  <c r="AH218" i="3"/>
  <c r="Y218" i="3"/>
  <c r="Z218" i="3" s="1"/>
  <c r="AV216" i="3"/>
  <c r="BC216" i="3" s="1"/>
  <c r="BA216" i="3"/>
  <c r="AU218" i="3"/>
  <c r="AX217" i="3"/>
  <c r="AY217" i="3" s="1"/>
  <c r="B219" i="3"/>
  <c r="A220" i="3"/>
  <c r="AQ219" i="3"/>
  <c r="AR219" i="3"/>
  <c r="C219" i="3"/>
  <c r="D219" i="3"/>
  <c r="G219" i="3"/>
  <c r="H219" i="3" s="1"/>
  <c r="BN219" i="3" s="1"/>
  <c r="F219" i="3"/>
  <c r="BM219" i="3" s="1"/>
  <c r="S219" i="3"/>
  <c r="Q219" i="3"/>
  <c r="O219" i="3"/>
  <c r="U219" i="3"/>
  <c r="AD219" i="3"/>
  <c r="AE219" i="3"/>
  <c r="AM219" i="3"/>
  <c r="AK219" i="3"/>
  <c r="AF219" i="3"/>
  <c r="M219" i="3"/>
  <c r="T219" i="3"/>
  <c r="V219" i="3"/>
  <c r="P219" i="3"/>
  <c r="R219" i="3"/>
  <c r="BB215" i="3"/>
  <c r="BF215" i="3"/>
  <c r="BJ214" i="3" s="1"/>
  <c r="BK214" i="3" s="1"/>
  <c r="BQ215" i="3"/>
  <c r="X218" i="3"/>
  <c r="BD215" i="3" l="1"/>
  <c r="AX218" i="3"/>
  <c r="AW218" i="3"/>
  <c r="AT218" i="3"/>
  <c r="AV218" i="3" s="1"/>
  <c r="AO219" i="3"/>
  <c r="X219" i="3"/>
  <c r="BF216" i="3"/>
  <c r="BJ215" i="3" s="1"/>
  <c r="BK215" i="3" s="1"/>
  <c r="BB216" i="3"/>
  <c r="BQ216" i="3"/>
  <c r="AH219" i="3"/>
  <c r="AG219" i="3"/>
  <c r="AR220" i="3"/>
  <c r="AQ220" i="3"/>
  <c r="A221" i="3"/>
  <c r="B220" i="3"/>
  <c r="C220" i="3"/>
  <c r="D220" i="3"/>
  <c r="G220" i="3"/>
  <c r="H220" i="3" s="1"/>
  <c r="BN220" i="3" s="1"/>
  <c r="F220" i="3"/>
  <c r="BM220" i="3" s="1"/>
  <c r="Q220" i="3"/>
  <c r="S220" i="3"/>
  <c r="O220" i="3"/>
  <c r="U220" i="3"/>
  <c r="AE220" i="3"/>
  <c r="AM220" i="3"/>
  <c r="AK220" i="3"/>
  <c r="AF220" i="3"/>
  <c r="M220" i="3"/>
  <c r="AD220" i="3"/>
  <c r="R220" i="3"/>
  <c r="T220" i="3"/>
  <c r="V220" i="3"/>
  <c r="P220" i="3"/>
  <c r="AN219" i="3"/>
  <c r="BD216" i="3"/>
  <c r="BG216" i="3"/>
  <c r="BH216" i="3" s="1"/>
  <c r="BI216" i="3" s="1"/>
  <c r="BC217" i="3"/>
  <c r="BA217" i="3"/>
  <c r="Y219" i="3"/>
  <c r="Z219" i="3" s="1"/>
  <c r="AY218" i="3" l="1"/>
  <c r="BC218" i="3" s="1"/>
  <c r="BA218" i="3"/>
  <c r="BB218" i="3" s="1"/>
  <c r="AO220" i="3"/>
  <c r="AT219" i="3"/>
  <c r="Y220" i="3"/>
  <c r="Z220" i="3" s="1"/>
  <c r="AR221" i="3"/>
  <c r="B221" i="3"/>
  <c r="AQ221" i="3"/>
  <c r="A222" i="3"/>
  <c r="D221" i="3"/>
  <c r="C221" i="3"/>
  <c r="F221" i="3"/>
  <c r="BM221" i="3" s="1"/>
  <c r="G221" i="3"/>
  <c r="H221" i="3" s="1"/>
  <c r="BN221" i="3" s="1"/>
  <c r="Q221" i="3"/>
  <c r="S221" i="3"/>
  <c r="O221" i="3"/>
  <c r="U221" i="3"/>
  <c r="AD221" i="3"/>
  <c r="AK221" i="3"/>
  <c r="AE221" i="3"/>
  <c r="AM221" i="3"/>
  <c r="M221" i="3"/>
  <c r="AF221" i="3"/>
  <c r="P221" i="3"/>
  <c r="T221" i="3"/>
  <c r="R221" i="3"/>
  <c r="V221" i="3"/>
  <c r="X220" i="3"/>
  <c r="AG220" i="3"/>
  <c r="AX219" i="3"/>
  <c r="BQ217" i="3"/>
  <c r="BF217" i="3"/>
  <c r="BJ216" i="3" s="1"/>
  <c r="BK216" i="3" s="1"/>
  <c r="BB217" i="3"/>
  <c r="AH220" i="3"/>
  <c r="AN220" i="3"/>
  <c r="AW219" i="3"/>
  <c r="BD217" i="3"/>
  <c r="BG217" i="3"/>
  <c r="BH217" i="3" s="1"/>
  <c r="BI217" i="3" s="1"/>
  <c r="AU219" i="3"/>
  <c r="BD218" i="3" l="1"/>
  <c r="BG218" i="3"/>
  <c r="BH218" i="3" s="1"/>
  <c r="BI218" i="3" s="1"/>
  <c r="BQ218" i="3"/>
  <c r="BF218" i="3"/>
  <c r="AN221" i="3"/>
  <c r="AW220" i="3"/>
  <c r="BJ217" i="3"/>
  <c r="BK217" i="3" s="1"/>
  <c r="AH221" i="3"/>
  <c r="BA219" i="3"/>
  <c r="BQ219" i="3" s="1"/>
  <c r="AY219" i="3"/>
  <c r="Y221" i="3"/>
  <c r="Z221" i="3" s="1"/>
  <c r="AO221" i="3"/>
  <c r="AV219" i="3"/>
  <c r="BC219" i="3" s="1"/>
  <c r="X221" i="3"/>
  <c r="AX220" i="3"/>
  <c r="AG221" i="3"/>
  <c r="AT220" i="3"/>
  <c r="B222" i="3"/>
  <c r="AQ222" i="3"/>
  <c r="A223" i="3"/>
  <c r="D222" i="3"/>
  <c r="AR222" i="3"/>
  <c r="C222" i="3"/>
  <c r="F222" i="3"/>
  <c r="BM222" i="3" s="1"/>
  <c r="G222" i="3"/>
  <c r="H222" i="3" s="1"/>
  <c r="BN222" i="3" s="1"/>
  <c r="Q222" i="3"/>
  <c r="S222" i="3"/>
  <c r="O222" i="3"/>
  <c r="U222" i="3"/>
  <c r="AM222" i="3"/>
  <c r="AK222" i="3"/>
  <c r="M222" i="3"/>
  <c r="AF222" i="3"/>
  <c r="AE222" i="3"/>
  <c r="AD222" i="3"/>
  <c r="P222" i="3"/>
  <c r="T222" i="3"/>
  <c r="V222" i="3"/>
  <c r="R222" i="3"/>
  <c r="AU220" i="3"/>
  <c r="AW221" i="3" l="1"/>
  <c r="BB219" i="3"/>
  <c r="BF219" i="3"/>
  <c r="BJ218" i="3" s="1"/>
  <c r="BK218" i="3" s="1"/>
  <c r="AO222" i="3"/>
  <c r="AY220" i="3"/>
  <c r="AG222" i="3"/>
  <c r="AN222" i="3"/>
  <c r="B223" i="3"/>
  <c r="A224" i="3"/>
  <c r="AR223" i="3"/>
  <c r="C223" i="3"/>
  <c r="AQ223" i="3"/>
  <c r="D223" i="3"/>
  <c r="F223" i="3"/>
  <c r="BM223" i="3" s="1"/>
  <c r="G223" i="3"/>
  <c r="H223" i="3" s="1"/>
  <c r="BN223" i="3" s="1"/>
  <c r="Q223" i="3"/>
  <c r="S223" i="3"/>
  <c r="O223" i="3"/>
  <c r="U223" i="3"/>
  <c r="AK223" i="3"/>
  <c r="AD223" i="3"/>
  <c r="AE223" i="3"/>
  <c r="AM223" i="3"/>
  <c r="M223" i="3"/>
  <c r="AF223" i="3"/>
  <c r="T223" i="3"/>
  <c r="P223" i="3"/>
  <c r="R223" i="3"/>
  <c r="V223" i="3"/>
  <c r="X222" i="3"/>
  <c r="Y222" i="3"/>
  <c r="Z222" i="3" s="1"/>
  <c r="AV220" i="3"/>
  <c r="BA220" i="3"/>
  <c r="AT221" i="3"/>
  <c r="BD219" i="3"/>
  <c r="BG219" i="3"/>
  <c r="BH219" i="3" s="1"/>
  <c r="BI219" i="3" s="1"/>
  <c r="AU221" i="3"/>
  <c r="AX221" i="3"/>
  <c r="AH222" i="3"/>
  <c r="AY221" i="3" l="1"/>
  <c r="BC220" i="3"/>
  <c r="AN223" i="3"/>
  <c r="AX222" i="3"/>
  <c r="AT222" i="3"/>
  <c r="BB220" i="3"/>
  <c r="BF220" i="3"/>
  <c r="BJ219" i="3" s="1"/>
  <c r="BK219" i="3" s="1"/>
  <c r="BQ220" i="3"/>
  <c r="AO223" i="3"/>
  <c r="X223" i="3"/>
  <c r="BD220" i="3"/>
  <c r="BG220" i="3"/>
  <c r="BH220" i="3" s="1"/>
  <c r="BI220" i="3" s="1"/>
  <c r="AH223" i="3"/>
  <c r="Y223" i="3"/>
  <c r="Z223" i="3" s="1"/>
  <c r="AG223" i="3"/>
  <c r="AQ224" i="3"/>
  <c r="C224" i="3"/>
  <c r="A225" i="3"/>
  <c r="B224" i="3"/>
  <c r="AR224" i="3"/>
  <c r="D224" i="3"/>
  <c r="G224" i="3"/>
  <c r="H224" i="3" s="1"/>
  <c r="BN224" i="3" s="1"/>
  <c r="F224" i="3"/>
  <c r="BM224" i="3" s="1"/>
  <c r="Q224" i="3"/>
  <c r="S224" i="3"/>
  <c r="O224" i="3"/>
  <c r="U224" i="3"/>
  <c r="AM224" i="3"/>
  <c r="M224" i="3"/>
  <c r="AD224" i="3"/>
  <c r="AE224" i="3"/>
  <c r="AK224" i="3"/>
  <c r="AF224" i="3"/>
  <c r="P224" i="3"/>
  <c r="V224" i="3"/>
  <c r="R224" i="3"/>
  <c r="T224" i="3"/>
  <c r="AU222" i="3"/>
  <c r="AV221" i="3"/>
  <c r="BA221" i="3"/>
  <c r="AW222" i="3"/>
  <c r="AY222" i="3" s="1"/>
  <c r="BC221" i="3" l="1"/>
  <c r="BD221" i="3" s="1"/>
  <c r="AO224" i="3"/>
  <c r="AW223" i="3"/>
  <c r="AU223" i="3"/>
  <c r="BA222" i="3"/>
  <c r="BF222" i="3" s="1"/>
  <c r="AN224" i="3"/>
  <c r="AH224" i="3"/>
  <c r="AT223" i="3"/>
  <c r="AV222" i="3"/>
  <c r="BC222" i="3" s="1"/>
  <c r="B225" i="3"/>
  <c r="AQ225" i="3"/>
  <c r="AR225" i="3"/>
  <c r="A226" i="3"/>
  <c r="D225" i="3"/>
  <c r="C225" i="3"/>
  <c r="F225" i="3"/>
  <c r="BM225" i="3" s="1"/>
  <c r="G225" i="3"/>
  <c r="H225" i="3" s="1"/>
  <c r="BN225" i="3" s="1"/>
  <c r="Q225" i="3"/>
  <c r="S225" i="3"/>
  <c r="O225" i="3"/>
  <c r="U225" i="3"/>
  <c r="AD225" i="3"/>
  <c r="AE225" i="3"/>
  <c r="AK225" i="3"/>
  <c r="AF225" i="3"/>
  <c r="M225" i="3"/>
  <c r="AM225" i="3"/>
  <c r="T225" i="3"/>
  <c r="V225" i="3"/>
  <c r="P225" i="3"/>
  <c r="R225" i="3"/>
  <c r="AX223" i="3"/>
  <c r="BB221" i="3"/>
  <c r="BQ221" i="3"/>
  <c r="BF221" i="3"/>
  <c r="BJ220" i="3" s="1"/>
  <c r="BK220" i="3" s="1"/>
  <c r="X224" i="3"/>
  <c r="Y224" i="3"/>
  <c r="Z224" i="3" s="1"/>
  <c r="AG224" i="3"/>
  <c r="AU224" i="3" l="1"/>
  <c r="BG221" i="3"/>
  <c r="BH221" i="3" s="1"/>
  <c r="BI221" i="3" s="1"/>
  <c r="AY223" i="3"/>
  <c r="AN225" i="3"/>
  <c r="BQ222" i="3"/>
  <c r="BB222" i="3"/>
  <c r="AT224" i="3"/>
  <c r="AV224" i="3" s="1"/>
  <c r="X225" i="3"/>
  <c r="Y225" i="3"/>
  <c r="Z225" i="3" s="1"/>
  <c r="AG225" i="3"/>
  <c r="AH225" i="3"/>
  <c r="AO225" i="3"/>
  <c r="BD222" i="3"/>
  <c r="BG222" i="3"/>
  <c r="BH222" i="3" s="1"/>
  <c r="BI222" i="3" s="1"/>
  <c r="AR226" i="3"/>
  <c r="AQ226" i="3"/>
  <c r="C226" i="3"/>
  <c r="B226" i="3"/>
  <c r="A227" i="3"/>
  <c r="D226" i="3"/>
  <c r="F226" i="3"/>
  <c r="BM226" i="3" s="1"/>
  <c r="G226" i="3"/>
  <c r="H226" i="3" s="1"/>
  <c r="BN226" i="3" s="1"/>
  <c r="Q226" i="3"/>
  <c r="S226" i="3"/>
  <c r="O226" i="3"/>
  <c r="U226" i="3"/>
  <c r="AM226" i="3"/>
  <c r="AK226" i="3"/>
  <c r="AD226" i="3"/>
  <c r="AF226" i="3"/>
  <c r="AE226" i="3"/>
  <c r="M226" i="3"/>
  <c r="P226" i="3"/>
  <c r="T226" i="3"/>
  <c r="V226" i="3"/>
  <c r="R226" i="3"/>
  <c r="BA223" i="3"/>
  <c r="AV223" i="3"/>
  <c r="BC223" i="3" s="1"/>
  <c r="AW224" i="3"/>
  <c r="AX224" i="3"/>
  <c r="BJ221" i="3"/>
  <c r="BK221" i="3" s="1"/>
  <c r="AG226" i="3" l="1"/>
  <c r="AY224" i="3"/>
  <c r="AO226" i="3"/>
  <c r="BA224" i="3"/>
  <c r="BF224" i="3" s="1"/>
  <c r="AN226" i="3"/>
  <c r="AW225" i="3"/>
  <c r="AX225" i="3"/>
  <c r="AT225" i="3"/>
  <c r="AU225" i="3"/>
  <c r="AR227" i="3"/>
  <c r="D227" i="3"/>
  <c r="C227" i="3"/>
  <c r="A228" i="3"/>
  <c r="AQ227" i="3"/>
  <c r="B227" i="3"/>
  <c r="G227" i="3"/>
  <c r="H227" i="3" s="1"/>
  <c r="BN227" i="3" s="1"/>
  <c r="F227" i="3"/>
  <c r="BM227" i="3" s="1"/>
  <c r="Q227" i="3"/>
  <c r="S227" i="3"/>
  <c r="O227" i="3"/>
  <c r="U227" i="3"/>
  <c r="AK227" i="3"/>
  <c r="M227" i="3"/>
  <c r="AE227" i="3"/>
  <c r="AD227" i="3"/>
  <c r="AM227" i="3"/>
  <c r="AF227" i="3"/>
  <c r="R227" i="3"/>
  <c r="P227" i="3"/>
  <c r="V227" i="3"/>
  <c r="T227" i="3"/>
  <c r="AH226" i="3"/>
  <c r="AU226" i="3" s="1"/>
  <c r="X226" i="3"/>
  <c r="BG223" i="3"/>
  <c r="BH223" i="3" s="1"/>
  <c r="BI223" i="3" s="1"/>
  <c r="BD223" i="3"/>
  <c r="BQ223" i="3"/>
  <c r="BF223" i="3"/>
  <c r="BJ222" i="3" s="1"/>
  <c r="BK222" i="3" s="1"/>
  <c r="BB223" i="3"/>
  <c r="Y226" i="3"/>
  <c r="Z226" i="3" s="1"/>
  <c r="BC224" i="3"/>
  <c r="AW226" i="3" l="1"/>
  <c r="BB224" i="3"/>
  <c r="BQ224" i="3"/>
  <c r="AN227" i="3"/>
  <c r="AX226" i="3"/>
  <c r="AY226" i="3" s="1"/>
  <c r="Y227" i="3"/>
  <c r="Z227" i="3" s="1"/>
  <c r="AO227" i="3"/>
  <c r="AV225" i="3"/>
  <c r="BA225" i="3"/>
  <c r="BD224" i="3"/>
  <c r="BG224" i="3"/>
  <c r="BH224" i="3" s="1"/>
  <c r="BI224" i="3" s="1"/>
  <c r="AG227" i="3"/>
  <c r="AW227" i="3" s="1"/>
  <c r="B228" i="3"/>
  <c r="AQ228" i="3"/>
  <c r="D228" i="3"/>
  <c r="C228" i="3"/>
  <c r="A229" i="3"/>
  <c r="AR228" i="3"/>
  <c r="G228" i="3"/>
  <c r="H228" i="3" s="1"/>
  <c r="BN228" i="3" s="1"/>
  <c r="F228" i="3"/>
  <c r="BM228" i="3" s="1"/>
  <c r="Q228" i="3"/>
  <c r="S228" i="3"/>
  <c r="O228" i="3"/>
  <c r="U228" i="3"/>
  <c r="AK228" i="3"/>
  <c r="AD228" i="3"/>
  <c r="M228" i="3"/>
  <c r="AE228" i="3"/>
  <c r="AF228" i="3"/>
  <c r="AM228" i="3"/>
  <c r="V228" i="3"/>
  <c r="P228" i="3"/>
  <c r="T228" i="3"/>
  <c r="R228" i="3"/>
  <c r="AY225" i="3"/>
  <c r="X227" i="3"/>
  <c r="AH227" i="3"/>
  <c r="AT226" i="3"/>
  <c r="BJ223" i="3"/>
  <c r="BK223" i="3" s="1"/>
  <c r="AN228" i="3" l="1"/>
  <c r="Y228" i="3"/>
  <c r="Z228" i="3" s="1"/>
  <c r="D229" i="3"/>
  <c r="AR229" i="3"/>
  <c r="B229" i="3"/>
  <c r="AQ229" i="3"/>
  <c r="C229" i="3"/>
  <c r="A230" i="3"/>
  <c r="G229" i="3"/>
  <c r="H229" i="3" s="1"/>
  <c r="BN229" i="3" s="1"/>
  <c r="F229" i="3"/>
  <c r="BM229" i="3" s="1"/>
  <c r="Q229" i="3"/>
  <c r="S229" i="3"/>
  <c r="O229" i="3"/>
  <c r="U229" i="3"/>
  <c r="AE229" i="3"/>
  <c r="AK229" i="3"/>
  <c r="AM229" i="3"/>
  <c r="AD229" i="3"/>
  <c r="AF229" i="3"/>
  <c r="M229" i="3"/>
  <c r="V229" i="3"/>
  <c r="R229" i="3"/>
  <c r="T229" i="3"/>
  <c r="P229" i="3"/>
  <c r="X228" i="3"/>
  <c r="AU227" i="3"/>
  <c r="AV226" i="3"/>
  <c r="BC226" i="3" s="1"/>
  <c r="BA226" i="3"/>
  <c r="AO228" i="3"/>
  <c r="BC225" i="3"/>
  <c r="AG228" i="3"/>
  <c r="AH228" i="3"/>
  <c r="BB225" i="3"/>
  <c r="BF225" i="3"/>
  <c r="BJ224" i="3" s="1"/>
  <c r="BK224" i="3" s="1"/>
  <c r="BQ225" i="3"/>
  <c r="AT227" i="3"/>
  <c r="AX227" i="3"/>
  <c r="AY227" i="3" s="1"/>
  <c r="AN229" i="3" l="1"/>
  <c r="AW228" i="3"/>
  <c r="AO229" i="3"/>
  <c r="AG229" i="3"/>
  <c r="AR230" i="3"/>
  <c r="A231" i="3"/>
  <c r="C230" i="3"/>
  <c r="AQ230" i="3"/>
  <c r="D230" i="3"/>
  <c r="B230" i="3"/>
  <c r="F230" i="3"/>
  <c r="BM230" i="3" s="1"/>
  <c r="G230" i="3"/>
  <c r="H230" i="3" s="1"/>
  <c r="BN230" i="3" s="1"/>
  <c r="Q230" i="3"/>
  <c r="S230" i="3"/>
  <c r="O230" i="3"/>
  <c r="U230" i="3"/>
  <c r="AK230" i="3"/>
  <c r="AM230" i="3"/>
  <c r="M230" i="3"/>
  <c r="AF230" i="3"/>
  <c r="AD230" i="3"/>
  <c r="AE230" i="3"/>
  <c r="T230" i="3"/>
  <c r="V230" i="3"/>
  <c r="P230" i="3"/>
  <c r="R230" i="3"/>
  <c r="BF226" i="3"/>
  <c r="BJ225" i="3" s="1"/>
  <c r="BK225" i="3" s="1"/>
  <c r="BQ226" i="3"/>
  <c r="BB226" i="3"/>
  <c r="BD226" i="3"/>
  <c r="BG226" i="3"/>
  <c r="BH226" i="3" s="1"/>
  <c r="BI226" i="3" s="1"/>
  <c r="Y229" i="3"/>
  <c r="Z229" i="3" s="1"/>
  <c r="BD225" i="3"/>
  <c r="BG225" i="3"/>
  <c r="BH225" i="3" s="1"/>
  <c r="BI225" i="3" s="1"/>
  <c r="AU228" i="3"/>
  <c r="AH229" i="3"/>
  <c r="X229" i="3"/>
  <c r="BA227" i="3"/>
  <c r="AV227" i="3"/>
  <c r="BC227" i="3" s="1"/>
  <c r="AT228" i="3"/>
  <c r="AX228" i="3"/>
  <c r="AY228" i="3" s="1"/>
  <c r="AG230" i="3" l="1"/>
  <c r="AX229" i="3"/>
  <c r="AN230" i="3"/>
  <c r="AU229" i="3"/>
  <c r="AT229" i="3"/>
  <c r="BA228" i="3"/>
  <c r="AV228" i="3"/>
  <c r="BC228" i="3" s="1"/>
  <c r="Y230" i="3"/>
  <c r="Z230" i="3" s="1"/>
  <c r="AO230" i="3"/>
  <c r="BD227" i="3"/>
  <c r="BG227" i="3"/>
  <c r="BH227" i="3" s="1"/>
  <c r="BI227" i="3" s="1"/>
  <c r="AH230" i="3"/>
  <c r="X230" i="3"/>
  <c r="A232" i="3"/>
  <c r="C231" i="3"/>
  <c r="AQ231" i="3"/>
  <c r="B231" i="3"/>
  <c r="AR231" i="3"/>
  <c r="D231" i="3"/>
  <c r="G231" i="3"/>
  <c r="H231" i="3" s="1"/>
  <c r="BN231" i="3" s="1"/>
  <c r="F231" i="3"/>
  <c r="BM231" i="3" s="1"/>
  <c r="Q231" i="3"/>
  <c r="S231" i="3"/>
  <c r="O231" i="3"/>
  <c r="U231" i="3"/>
  <c r="AM231" i="3"/>
  <c r="AE231" i="3"/>
  <c r="AK231" i="3"/>
  <c r="M231" i="3"/>
  <c r="AF231" i="3"/>
  <c r="AD231" i="3"/>
  <c r="R231" i="3"/>
  <c r="T231" i="3"/>
  <c r="V231" i="3"/>
  <c r="P231" i="3"/>
  <c r="BQ227" i="3"/>
  <c r="BF227" i="3"/>
  <c r="BB227" i="3"/>
  <c r="AW229" i="3"/>
  <c r="AY229" i="3" s="1"/>
  <c r="AX230" i="3" l="1"/>
  <c r="AU230" i="3"/>
  <c r="AH231" i="3"/>
  <c r="AV229" i="3"/>
  <c r="AN231" i="3"/>
  <c r="AO231" i="3"/>
  <c r="AG231" i="3"/>
  <c r="BD228" i="3"/>
  <c r="BG228" i="3"/>
  <c r="BH228" i="3" s="1"/>
  <c r="BI228" i="3" s="1"/>
  <c r="X231" i="3"/>
  <c r="AT231" i="3"/>
  <c r="D232" i="3"/>
  <c r="A233" i="3"/>
  <c r="B232" i="3"/>
  <c r="AR232" i="3"/>
  <c r="AQ232" i="3"/>
  <c r="C232" i="3"/>
  <c r="G232" i="3"/>
  <c r="H232" i="3" s="1"/>
  <c r="BN232" i="3" s="1"/>
  <c r="F232" i="3"/>
  <c r="BM232" i="3" s="1"/>
  <c r="Q232" i="3"/>
  <c r="S232" i="3"/>
  <c r="O232" i="3"/>
  <c r="U232" i="3"/>
  <c r="M232" i="3"/>
  <c r="AD232" i="3"/>
  <c r="AF232" i="3"/>
  <c r="AM232" i="3"/>
  <c r="AE232" i="3"/>
  <c r="AK232" i="3"/>
  <c r="AO232" i="3" s="1"/>
  <c r="P232" i="3"/>
  <c r="R232" i="3"/>
  <c r="V232" i="3"/>
  <c r="T232" i="3"/>
  <c r="AT230" i="3"/>
  <c r="BJ226" i="3"/>
  <c r="BK226" i="3" s="1"/>
  <c r="Y231" i="3"/>
  <c r="Z231" i="3" s="1"/>
  <c r="BA229" i="3"/>
  <c r="AW230" i="3"/>
  <c r="BF228" i="3"/>
  <c r="BJ227" i="3" s="1"/>
  <c r="BK227" i="3" s="1"/>
  <c r="BB228" i="3"/>
  <c r="BQ228" i="3"/>
  <c r="BC229" i="3"/>
  <c r="AY230" i="3" l="1"/>
  <c r="AG232" i="3"/>
  <c r="AW231" i="3"/>
  <c r="AU231" i="3"/>
  <c r="AV231" i="3" s="1"/>
  <c r="X232" i="3"/>
  <c r="AR233" i="3"/>
  <c r="B233" i="3"/>
  <c r="A234" i="3"/>
  <c r="C233" i="3"/>
  <c r="AQ233" i="3"/>
  <c r="D233" i="3"/>
  <c r="G233" i="3"/>
  <c r="H233" i="3" s="1"/>
  <c r="BN233" i="3" s="1"/>
  <c r="F233" i="3"/>
  <c r="BM233" i="3" s="1"/>
  <c r="Q233" i="3"/>
  <c r="S233" i="3"/>
  <c r="O233" i="3"/>
  <c r="U233" i="3"/>
  <c r="M233" i="3"/>
  <c r="AE233" i="3"/>
  <c r="AK233" i="3"/>
  <c r="AD233" i="3"/>
  <c r="AF233" i="3"/>
  <c r="AM233" i="3"/>
  <c r="R233" i="3"/>
  <c r="P233" i="3"/>
  <c r="T233" i="3"/>
  <c r="V233" i="3"/>
  <c r="Y232" i="3"/>
  <c r="Z232" i="3" s="1"/>
  <c r="AH232" i="3"/>
  <c r="BQ229" i="3"/>
  <c r="BB229" i="3"/>
  <c r="BF229" i="3"/>
  <c r="BJ228" i="3" s="1"/>
  <c r="BK228" i="3" s="1"/>
  <c r="AN232" i="3"/>
  <c r="BD229" i="3"/>
  <c r="BG229" i="3"/>
  <c r="BH229" i="3" s="1"/>
  <c r="BI229" i="3" s="1"/>
  <c r="AV230" i="3"/>
  <c r="BA230" i="3"/>
  <c r="AX231" i="3"/>
  <c r="AY231" i="3" s="1"/>
  <c r="BC230" i="3" l="1"/>
  <c r="BD230" i="3" s="1"/>
  <c r="BA231" i="3"/>
  <c r="BF231" i="3" s="1"/>
  <c r="AN233" i="3"/>
  <c r="Y233" i="3"/>
  <c r="Z233" i="3" s="1"/>
  <c r="AX232" i="3"/>
  <c r="BC231" i="3"/>
  <c r="X233" i="3"/>
  <c r="AG233" i="3"/>
  <c r="AO233" i="3"/>
  <c r="AR234" i="3"/>
  <c r="B234" i="3"/>
  <c r="AQ234" i="3"/>
  <c r="A235" i="3"/>
  <c r="D234" i="3"/>
  <c r="C234" i="3"/>
  <c r="F234" i="3"/>
  <c r="BM234" i="3" s="1"/>
  <c r="G234" i="3"/>
  <c r="H234" i="3" s="1"/>
  <c r="BN234" i="3" s="1"/>
  <c r="S234" i="3"/>
  <c r="Q234" i="3"/>
  <c r="O234" i="3"/>
  <c r="U234" i="3"/>
  <c r="AD234" i="3"/>
  <c r="M234" i="3"/>
  <c r="AK234" i="3"/>
  <c r="AM234" i="3"/>
  <c r="AE234" i="3"/>
  <c r="AF234" i="3"/>
  <c r="R234" i="3"/>
  <c r="V234" i="3"/>
  <c r="T234" i="3"/>
  <c r="P234" i="3"/>
  <c r="AT232" i="3"/>
  <c r="AH233" i="3"/>
  <c r="BF230" i="3"/>
  <c r="BJ229" i="3" s="1"/>
  <c r="BK229" i="3" s="1"/>
  <c r="BB230" i="3"/>
  <c r="BQ230" i="3"/>
  <c r="AU232" i="3"/>
  <c r="AW232" i="3"/>
  <c r="AY232" i="3" s="1"/>
  <c r="AT233" i="3" l="1"/>
  <c r="BQ231" i="3"/>
  <c r="BB231" i="3"/>
  <c r="BG230" i="3"/>
  <c r="BH230" i="3" s="1"/>
  <c r="BI230" i="3" s="1"/>
  <c r="AU233" i="3"/>
  <c r="AV233" i="3" s="1"/>
  <c r="BJ230" i="3"/>
  <c r="BK230" i="3" s="1"/>
  <c r="AN234" i="3"/>
  <c r="AV232" i="3"/>
  <c r="BC232" i="3" s="1"/>
  <c r="BA232" i="3"/>
  <c r="AO234" i="3"/>
  <c r="AG234" i="3"/>
  <c r="AH234" i="3"/>
  <c r="B235" i="3"/>
  <c r="A236" i="3"/>
  <c r="C235" i="3"/>
  <c r="AQ235" i="3"/>
  <c r="AR235" i="3"/>
  <c r="D235" i="3"/>
  <c r="F235" i="3"/>
  <c r="BM235" i="3" s="1"/>
  <c r="G235" i="3"/>
  <c r="H235" i="3" s="1"/>
  <c r="BN235" i="3" s="1"/>
  <c r="Q235" i="3"/>
  <c r="S235" i="3"/>
  <c r="O235" i="3"/>
  <c r="U235" i="3"/>
  <c r="M235" i="3"/>
  <c r="AM235" i="3"/>
  <c r="AD235" i="3"/>
  <c r="AF235" i="3"/>
  <c r="AK235" i="3"/>
  <c r="AO235" i="3" s="1"/>
  <c r="AE235" i="3"/>
  <c r="P235" i="3"/>
  <c r="T235" i="3"/>
  <c r="V235" i="3"/>
  <c r="R235" i="3"/>
  <c r="AX233" i="3"/>
  <c r="Y234" i="3"/>
  <c r="Z234" i="3" s="1"/>
  <c r="X234" i="3"/>
  <c r="AW233" i="3"/>
  <c r="BD231" i="3"/>
  <c r="BG231" i="3"/>
  <c r="BH231" i="3" s="1"/>
  <c r="BI231" i="3" s="1"/>
  <c r="AX234" i="3" l="1"/>
  <c r="AG235" i="3"/>
  <c r="Y235" i="3"/>
  <c r="Z235" i="3" s="1"/>
  <c r="AH235" i="3"/>
  <c r="AT235" i="3" s="1"/>
  <c r="A237" i="3"/>
  <c r="C236" i="3"/>
  <c r="AR236" i="3"/>
  <c r="AQ236" i="3"/>
  <c r="B236" i="3"/>
  <c r="D236" i="3"/>
  <c r="F236" i="3"/>
  <c r="BM236" i="3" s="1"/>
  <c r="G236" i="3"/>
  <c r="H236" i="3" s="1"/>
  <c r="BN236" i="3" s="1"/>
  <c r="Q236" i="3"/>
  <c r="S236" i="3"/>
  <c r="O236" i="3"/>
  <c r="U236" i="3"/>
  <c r="AD236" i="3"/>
  <c r="AE236" i="3"/>
  <c r="AM236" i="3"/>
  <c r="M236" i="3"/>
  <c r="AF236" i="3"/>
  <c r="AK236" i="3"/>
  <c r="R236" i="3"/>
  <c r="V236" i="3"/>
  <c r="T236" i="3"/>
  <c r="P236" i="3"/>
  <c r="AT234" i="3"/>
  <c r="AU234" i="3"/>
  <c r="X235" i="3"/>
  <c r="AW234" i="3"/>
  <c r="BQ232" i="3"/>
  <c r="BF232" i="3"/>
  <c r="BJ231" i="3" s="1"/>
  <c r="BK231" i="3" s="1"/>
  <c r="BB232" i="3"/>
  <c r="AN235" i="3"/>
  <c r="AY233" i="3"/>
  <c r="BC233" i="3" s="1"/>
  <c r="BA233" i="3"/>
  <c r="BD232" i="3"/>
  <c r="BG232" i="3"/>
  <c r="BH232" i="3" s="1"/>
  <c r="BI232" i="3" s="1"/>
  <c r="AO236" i="3" l="1"/>
  <c r="AW235" i="3"/>
  <c r="AY234" i="3"/>
  <c r="AU235" i="3"/>
  <c r="AG236" i="3"/>
  <c r="BD233" i="3"/>
  <c r="BG233" i="3"/>
  <c r="BH233" i="3" s="1"/>
  <c r="BI233" i="3" s="1"/>
  <c r="AH236" i="3"/>
  <c r="BA234" i="3"/>
  <c r="AV234" i="3"/>
  <c r="BC234" i="3" s="1"/>
  <c r="AN236" i="3"/>
  <c r="BF233" i="3"/>
  <c r="BJ232" i="3" s="1"/>
  <c r="BK232" i="3" s="1"/>
  <c r="BB233" i="3"/>
  <c r="BQ233" i="3"/>
  <c r="Y236" i="3"/>
  <c r="Z236" i="3" s="1"/>
  <c r="AV235" i="3"/>
  <c r="X236" i="3"/>
  <c r="AR237" i="3"/>
  <c r="AQ237" i="3"/>
  <c r="B237" i="3"/>
  <c r="D237" i="3"/>
  <c r="A238" i="3"/>
  <c r="C237" i="3"/>
  <c r="G237" i="3"/>
  <c r="H237" i="3" s="1"/>
  <c r="BN237" i="3" s="1"/>
  <c r="F237" i="3"/>
  <c r="BM237" i="3" s="1"/>
  <c r="Q237" i="3"/>
  <c r="S237" i="3"/>
  <c r="O237" i="3"/>
  <c r="U237" i="3"/>
  <c r="AD237" i="3"/>
  <c r="AF237" i="3"/>
  <c r="M237" i="3"/>
  <c r="AM237" i="3"/>
  <c r="AK237" i="3"/>
  <c r="AE237" i="3"/>
  <c r="P237" i="3"/>
  <c r="T237" i="3"/>
  <c r="V237" i="3"/>
  <c r="R237" i="3"/>
  <c r="AX235" i="3"/>
  <c r="AY235" i="3" l="1"/>
  <c r="BC235" i="3" s="1"/>
  <c r="AU236" i="3"/>
  <c r="AT236" i="3"/>
  <c r="AV236" i="3" s="1"/>
  <c r="AO237" i="3"/>
  <c r="AH237" i="3"/>
  <c r="Y237" i="3"/>
  <c r="Z237" i="3" s="1"/>
  <c r="X237" i="3"/>
  <c r="BD234" i="3"/>
  <c r="BG234" i="3"/>
  <c r="BH234" i="3" s="1"/>
  <c r="BI234" i="3" s="1"/>
  <c r="B238" i="3"/>
  <c r="AQ238" i="3"/>
  <c r="A239" i="3"/>
  <c r="D238" i="3"/>
  <c r="AR238" i="3"/>
  <c r="C238" i="3"/>
  <c r="F238" i="3"/>
  <c r="G238" i="3"/>
  <c r="H238" i="3" s="1"/>
  <c r="BN238" i="3" s="1"/>
  <c r="Q238" i="3"/>
  <c r="S238" i="3"/>
  <c r="O238" i="3"/>
  <c r="U238" i="3"/>
  <c r="AM238" i="3"/>
  <c r="AK238" i="3"/>
  <c r="AE238" i="3"/>
  <c r="AD238" i="3"/>
  <c r="AF238" i="3"/>
  <c r="M238" i="3"/>
  <c r="P238" i="3"/>
  <c r="V238" i="3"/>
  <c r="T238" i="3"/>
  <c r="R238" i="3"/>
  <c r="BA235" i="3"/>
  <c r="AG237" i="3"/>
  <c r="BQ234" i="3"/>
  <c r="BF234" i="3"/>
  <c r="BJ233" i="3" s="1"/>
  <c r="BK233" i="3" s="1"/>
  <c r="BB234" i="3"/>
  <c r="AW236" i="3"/>
  <c r="AX236" i="3"/>
  <c r="AN237" i="3"/>
  <c r="AU237" i="3" l="1"/>
  <c r="BM238" i="3"/>
  <c r="AY236" i="3"/>
  <c r="BC236" i="3" s="1"/>
  <c r="AN238" i="3"/>
  <c r="AT237" i="3"/>
  <c r="AV237" i="3" s="1"/>
  <c r="BA236" i="3"/>
  <c r="BF236" i="3" s="1"/>
  <c r="AH238" i="3"/>
  <c r="X238" i="3"/>
  <c r="AO238" i="3"/>
  <c r="Y238" i="3"/>
  <c r="Z238" i="3" s="1"/>
  <c r="B239" i="3"/>
  <c r="A240" i="3"/>
  <c r="AR239" i="3"/>
  <c r="D239" i="3"/>
  <c r="AQ239" i="3"/>
  <c r="C239" i="3"/>
  <c r="F239" i="3"/>
  <c r="G239" i="3"/>
  <c r="H239" i="3" s="1"/>
  <c r="BN239" i="3" s="1"/>
  <c r="Q239" i="3"/>
  <c r="S239" i="3"/>
  <c r="O239" i="3"/>
  <c r="U239" i="3"/>
  <c r="AM239" i="3"/>
  <c r="AK239" i="3"/>
  <c r="M239" i="3"/>
  <c r="AF239" i="3"/>
  <c r="AE239" i="3"/>
  <c r="AD239" i="3"/>
  <c r="T239" i="3"/>
  <c r="V239" i="3"/>
  <c r="P239" i="3"/>
  <c r="R239" i="3"/>
  <c r="AG238" i="3"/>
  <c r="BF235" i="3"/>
  <c r="BJ234" i="3" s="1"/>
  <c r="BK234" i="3" s="1"/>
  <c r="BQ235" i="3"/>
  <c r="BB235" i="3"/>
  <c r="BD235" i="3"/>
  <c r="BG235" i="3"/>
  <c r="BH235" i="3" s="1"/>
  <c r="BI235" i="3" s="1"/>
  <c r="AW237" i="3"/>
  <c r="AX237" i="3"/>
  <c r="BM239" i="3" l="1"/>
  <c r="BB236" i="3"/>
  <c r="BQ236" i="3"/>
  <c r="AG239" i="3"/>
  <c r="AW238" i="3"/>
  <c r="AO239" i="3"/>
  <c r="AY237" i="3"/>
  <c r="BC237" i="3" s="1"/>
  <c r="X239" i="3"/>
  <c r="Y239" i="3"/>
  <c r="Z239" i="3" s="1"/>
  <c r="AQ240" i="3"/>
  <c r="D240" i="3"/>
  <c r="A241" i="3"/>
  <c r="B240" i="3"/>
  <c r="AR240" i="3"/>
  <c r="C240" i="3"/>
  <c r="F240" i="3"/>
  <c r="BM240" i="3" s="1"/>
  <c r="G240" i="3"/>
  <c r="H240" i="3" s="1"/>
  <c r="BN240" i="3" s="1"/>
  <c r="Q240" i="3"/>
  <c r="S240" i="3"/>
  <c r="O240" i="3"/>
  <c r="U240" i="3"/>
  <c r="AD240" i="3"/>
  <c r="AM240" i="3"/>
  <c r="AE240" i="3"/>
  <c r="AK240" i="3"/>
  <c r="AF240" i="3"/>
  <c r="M240" i="3"/>
  <c r="T240" i="3"/>
  <c r="R240" i="3"/>
  <c r="V240" i="3"/>
  <c r="P240" i="3"/>
  <c r="AH239" i="3"/>
  <c r="BA237" i="3"/>
  <c r="AT238" i="3"/>
  <c r="AN239" i="3"/>
  <c r="AU238" i="3"/>
  <c r="AX238" i="3"/>
  <c r="BD236" i="3"/>
  <c r="BG236" i="3"/>
  <c r="BH236" i="3" s="1"/>
  <c r="BI236" i="3" s="1"/>
  <c r="BJ235" i="3"/>
  <c r="BK235" i="3" s="1"/>
  <c r="AU239" i="3" l="1"/>
  <c r="AO240" i="3"/>
  <c r="AY238" i="3"/>
  <c r="BA238" i="3"/>
  <c r="AV238" i="3"/>
  <c r="AG240" i="3"/>
  <c r="BF237" i="3"/>
  <c r="BJ236" i="3" s="1"/>
  <c r="BK236" i="3" s="1"/>
  <c r="BB237" i="3"/>
  <c r="BQ237" i="3"/>
  <c r="B241" i="3"/>
  <c r="AQ241" i="3"/>
  <c r="AR241" i="3"/>
  <c r="A242" i="3"/>
  <c r="C241" i="3"/>
  <c r="D241" i="3"/>
  <c r="F241" i="3"/>
  <c r="BM241" i="3" s="1"/>
  <c r="G241" i="3"/>
  <c r="H241" i="3" s="1"/>
  <c r="BN241" i="3" s="1"/>
  <c r="Q241" i="3"/>
  <c r="S241" i="3"/>
  <c r="O241" i="3"/>
  <c r="U241" i="3"/>
  <c r="AD241" i="3"/>
  <c r="AK241" i="3"/>
  <c r="AM241" i="3"/>
  <c r="M241" i="3"/>
  <c r="AF241" i="3"/>
  <c r="AE241" i="3"/>
  <c r="R241" i="3"/>
  <c r="T241" i="3"/>
  <c r="P241" i="3"/>
  <c r="V241" i="3"/>
  <c r="AX239" i="3"/>
  <c r="AH240" i="3"/>
  <c r="AT239" i="3"/>
  <c r="BD237" i="3"/>
  <c r="BG237" i="3"/>
  <c r="BH237" i="3" s="1"/>
  <c r="BI237" i="3" s="1"/>
  <c r="X240" i="3"/>
  <c r="Y240" i="3"/>
  <c r="Z240" i="3" s="1"/>
  <c r="AN240" i="3"/>
  <c r="AW239" i="3"/>
  <c r="AG241" i="3" l="1"/>
  <c r="AY239" i="3"/>
  <c r="BC238" i="3"/>
  <c r="AX240" i="3"/>
  <c r="AN241" i="3"/>
  <c r="AO241" i="3"/>
  <c r="AH241" i="3"/>
  <c r="AU240" i="3"/>
  <c r="AT240" i="3"/>
  <c r="Y241" i="3"/>
  <c r="Z241" i="3" s="1"/>
  <c r="AV239" i="3"/>
  <c r="BA239" i="3"/>
  <c r="AR242" i="3"/>
  <c r="AQ242" i="3"/>
  <c r="B242" i="3"/>
  <c r="A243" i="3"/>
  <c r="C242" i="3"/>
  <c r="D242" i="3"/>
  <c r="G242" i="3"/>
  <c r="H242" i="3" s="1"/>
  <c r="BN242" i="3" s="1"/>
  <c r="F242" i="3"/>
  <c r="BM242" i="3" s="1"/>
  <c r="Q242" i="3"/>
  <c r="S242" i="3"/>
  <c r="O242" i="3"/>
  <c r="U242" i="3"/>
  <c r="M242" i="3"/>
  <c r="AM242" i="3"/>
  <c r="AD242" i="3"/>
  <c r="AK242" i="3"/>
  <c r="AF242" i="3"/>
  <c r="AE242" i="3"/>
  <c r="P242" i="3"/>
  <c r="V242" i="3"/>
  <c r="R242" i="3"/>
  <c r="T242" i="3"/>
  <c r="X241" i="3"/>
  <c r="AW240" i="3"/>
  <c r="BD238" i="3"/>
  <c r="BG238" i="3"/>
  <c r="BH238" i="3" s="1"/>
  <c r="BI238" i="3" s="1"/>
  <c r="BF238" i="3"/>
  <c r="BJ237" i="3" s="1"/>
  <c r="BK237" i="3" s="1"/>
  <c r="BB238" i="3"/>
  <c r="BQ238" i="3"/>
  <c r="AU241" i="3" l="1"/>
  <c r="AY240" i="3"/>
  <c r="AX241" i="3"/>
  <c r="BC239" i="3"/>
  <c r="BD239" i="3" s="1"/>
  <c r="AT241" i="3"/>
  <c r="AV241" i="3" s="1"/>
  <c r="AG242" i="3"/>
  <c r="AN242" i="3"/>
  <c r="BB239" i="3"/>
  <c r="BF239" i="3"/>
  <c r="BJ238" i="3" s="1"/>
  <c r="BK238" i="3" s="1"/>
  <c r="BQ239" i="3"/>
  <c r="AR243" i="3"/>
  <c r="D243" i="3"/>
  <c r="C243" i="3"/>
  <c r="AQ243" i="3"/>
  <c r="B243" i="3"/>
  <c r="A244" i="3"/>
  <c r="G243" i="3"/>
  <c r="H243" i="3" s="1"/>
  <c r="BN243" i="3" s="1"/>
  <c r="F243" i="3"/>
  <c r="BM243" i="3" s="1"/>
  <c r="Q243" i="3"/>
  <c r="S243" i="3"/>
  <c r="O243" i="3"/>
  <c r="U243" i="3"/>
  <c r="AD243" i="3"/>
  <c r="AK243" i="3"/>
  <c r="AM243" i="3"/>
  <c r="M243" i="3"/>
  <c r="AE243" i="3"/>
  <c r="AF243" i="3"/>
  <c r="R243" i="3"/>
  <c r="P243" i="3"/>
  <c r="V243" i="3"/>
  <c r="T243" i="3"/>
  <c r="AO242" i="3"/>
  <c r="AH242" i="3"/>
  <c r="X242" i="3"/>
  <c r="Y242" i="3"/>
  <c r="Z242" i="3" s="1"/>
  <c r="BA240" i="3"/>
  <c r="AV240" i="3"/>
  <c r="BC240" i="3" s="1"/>
  <c r="AW241" i="3"/>
  <c r="AY241" i="3" s="1"/>
  <c r="BG239" i="3" l="1"/>
  <c r="BH239" i="3" s="1"/>
  <c r="BI239" i="3" s="1"/>
  <c r="BA241" i="3"/>
  <c r="BB241" i="3" s="1"/>
  <c r="AX242" i="3"/>
  <c r="AN243" i="3"/>
  <c r="AU242" i="3"/>
  <c r="X243" i="3"/>
  <c r="AO243" i="3"/>
  <c r="B244" i="3"/>
  <c r="AQ244" i="3"/>
  <c r="D244" i="3"/>
  <c r="C244" i="3"/>
  <c r="A245" i="3"/>
  <c r="AR244" i="3"/>
  <c r="G244" i="3"/>
  <c r="H244" i="3" s="1"/>
  <c r="BN244" i="3" s="1"/>
  <c r="F244" i="3"/>
  <c r="BM244" i="3" s="1"/>
  <c r="Q244" i="3"/>
  <c r="S244" i="3"/>
  <c r="O244" i="3"/>
  <c r="U244" i="3"/>
  <c r="AM244" i="3"/>
  <c r="M244" i="3"/>
  <c r="AE244" i="3"/>
  <c r="AK244" i="3"/>
  <c r="AF244" i="3"/>
  <c r="AD244" i="3"/>
  <c r="T244" i="3"/>
  <c r="R244" i="3"/>
  <c r="V244" i="3"/>
  <c r="P244" i="3"/>
  <c r="BD240" i="3"/>
  <c r="BG240" i="3"/>
  <c r="BH240" i="3" s="1"/>
  <c r="BI240" i="3" s="1"/>
  <c r="BC241" i="3"/>
  <c r="BB240" i="3"/>
  <c r="BQ240" i="3"/>
  <c r="BF240" i="3"/>
  <c r="BJ239" i="3" s="1"/>
  <c r="BK239" i="3" s="1"/>
  <c r="AH243" i="3"/>
  <c r="AG243" i="3"/>
  <c r="Y243" i="3"/>
  <c r="Z243" i="3" s="1"/>
  <c r="AT242" i="3"/>
  <c r="AW242" i="3"/>
  <c r="AO244" i="3" l="1"/>
  <c r="AY242" i="3"/>
  <c r="BF241" i="3"/>
  <c r="BJ240" i="3" s="1"/>
  <c r="BK240" i="3" s="1"/>
  <c r="BQ241" i="3"/>
  <c r="Y244" i="3"/>
  <c r="Z244" i="3" s="1"/>
  <c r="AU243" i="3"/>
  <c r="BD241" i="3"/>
  <c r="BG241" i="3"/>
  <c r="BH241" i="3" s="1"/>
  <c r="BI241" i="3" s="1"/>
  <c r="AG244" i="3"/>
  <c r="AU244" i="3" s="1"/>
  <c r="AW243" i="3"/>
  <c r="D245" i="3"/>
  <c r="AR245" i="3"/>
  <c r="B245" i="3"/>
  <c r="C245" i="3"/>
  <c r="AQ245" i="3"/>
  <c r="A246" i="3"/>
  <c r="G245" i="3"/>
  <c r="H245" i="3" s="1"/>
  <c r="BN245" i="3" s="1"/>
  <c r="F245" i="3"/>
  <c r="BM245" i="3" s="1"/>
  <c r="Q245" i="3"/>
  <c r="S245" i="3"/>
  <c r="O245" i="3"/>
  <c r="U245" i="3"/>
  <c r="AK245" i="3"/>
  <c r="AD245" i="3"/>
  <c r="AM245" i="3"/>
  <c r="AE245" i="3"/>
  <c r="AF245" i="3"/>
  <c r="M245" i="3"/>
  <c r="V245" i="3"/>
  <c r="P245" i="3"/>
  <c r="R245" i="3"/>
  <c r="T245" i="3"/>
  <c r="AT243" i="3"/>
  <c r="AX243" i="3"/>
  <c r="AN244" i="3"/>
  <c r="BA242" i="3"/>
  <c r="AV242" i="3"/>
  <c r="AH244" i="3"/>
  <c r="X244" i="3"/>
  <c r="BC242" i="3" l="1"/>
  <c r="AN245" i="3"/>
  <c r="AY243" i="3"/>
  <c r="AT244" i="3"/>
  <c r="AV244" i="3" s="1"/>
  <c r="AG245" i="3"/>
  <c r="AR246" i="3"/>
  <c r="A247" i="3"/>
  <c r="C246" i="3"/>
  <c r="B246" i="3"/>
  <c r="AQ246" i="3"/>
  <c r="D246" i="3"/>
  <c r="F246" i="3"/>
  <c r="BM246" i="3" s="1"/>
  <c r="G246" i="3"/>
  <c r="H246" i="3" s="1"/>
  <c r="BN246" i="3" s="1"/>
  <c r="Q246" i="3"/>
  <c r="S246" i="3"/>
  <c r="O246" i="3"/>
  <c r="U246" i="3"/>
  <c r="AM246" i="3"/>
  <c r="AK246" i="3"/>
  <c r="M246" i="3"/>
  <c r="AD246" i="3"/>
  <c r="AF246" i="3"/>
  <c r="AE246" i="3"/>
  <c r="R246" i="3"/>
  <c r="T246" i="3"/>
  <c r="V246" i="3"/>
  <c r="P246" i="3"/>
  <c r="Y245" i="3"/>
  <c r="Z245" i="3" s="1"/>
  <c r="AO245" i="3"/>
  <c r="AV243" i="3"/>
  <c r="BA243" i="3"/>
  <c r="X245" i="3"/>
  <c r="BQ242" i="3"/>
  <c r="BF242" i="3"/>
  <c r="BJ241" i="3" s="1"/>
  <c r="BK241" i="3" s="1"/>
  <c r="BB242" i="3"/>
  <c r="BD242" i="3"/>
  <c r="BG242" i="3"/>
  <c r="BH242" i="3" s="1"/>
  <c r="BI242" i="3" s="1"/>
  <c r="AH245" i="3"/>
  <c r="AU245" i="3" s="1"/>
  <c r="AW244" i="3"/>
  <c r="AX244" i="3"/>
  <c r="BC243" i="3" l="1"/>
  <c r="BD243" i="3" s="1"/>
  <c r="AO246" i="3"/>
  <c r="AG246" i="3"/>
  <c r="AN246" i="3"/>
  <c r="BQ243" i="3"/>
  <c r="BF243" i="3"/>
  <c r="BJ242" i="3" s="1"/>
  <c r="BK242" i="3" s="1"/>
  <c r="BB243" i="3"/>
  <c r="AX245" i="3"/>
  <c r="AH246" i="3"/>
  <c r="AX246" i="3" s="1"/>
  <c r="X246" i="3"/>
  <c r="AT245" i="3"/>
  <c r="A248" i="3"/>
  <c r="D247" i="3"/>
  <c r="AQ247" i="3"/>
  <c r="B247" i="3"/>
  <c r="AR247" i="3"/>
  <c r="C247" i="3"/>
  <c r="F247" i="3"/>
  <c r="BM247" i="3" s="1"/>
  <c r="G247" i="3"/>
  <c r="H247" i="3" s="1"/>
  <c r="BN247" i="3" s="1"/>
  <c r="S247" i="3"/>
  <c r="Q247" i="3"/>
  <c r="O247" i="3"/>
  <c r="U247" i="3"/>
  <c r="AM247" i="3"/>
  <c r="AD247" i="3"/>
  <c r="AK247" i="3"/>
  <c r="M247" i="3"/>
  <c r="AF247" i="3"/>
  <c r="AE247" i="3"/>
  <c r="P247" i="3"/>
  <c r="R247" i="3"/>
  <c r="T247" i="3"/>
  <c r="V247" i="3"/>
  <c r="Y246" i="3"/>
  <c r="Z246" i="3" s="1"/>
  <c r="AY244" i="3"/>
  <c r="BC244" i="3" s="1"/>
  <c r="AW245" i="3"/>
  <c r="BA244" i="3"/>
  <c r="BG243" i="3" l="1"/>
  <c r="BH243" i="3" s="1"/>
  <c r="BI243" i="3" s="1"/>
  <c r="AO247" i="3"/>
  <c r="AN247" i="3"/>
  <c r="AY245" i="3"/>
  <c r="X247" i="3"/>
  <c r="AH247" i="3"/>
  <c r="BA245" i="3"/>
  <c r="AV245" i="3"/>
  <c r="BC245" i="3" s="1"/>
  <c r="BF244" i="3"/>
  <c r="BJ243" i="3" s="1"/>
  <c r="BK243" i="3" s="1"/>
  <c r="BQ244" i="3"/>
  <c r="BB244" i="3"/>
  <c r="AU246" i="3"/>
  <c r="AT246" i="3"/>
  <c r="AW246" i="3"/>
  <c r="AY246" i="3" s="1"/>
  <c r="C248" i="3"/>
  <c r="D248" i="3"/>
  <c r="A249" i="3"/>
  <c r="B248" i="3"/>
  <c r="AR248" i="3"/>
  <c r="AQ248" i="3"/>
  <c r="F248" i="3"/>
  <c r="BM248" i="3" s="1"/>
  <c r="G248" i="3"/>
  <c r="H248" i="3" s="1"/>
  <c r="BN248" i="3" s="1"/>
  <c r="Q248" i="3"/>
  <c r="S248" i="3"/>
  <c r="O248" i="3"/>
  <c r="U248" i="3"/>
  <c r="M248" i="3"/>
  <c r="AM248" i="3"/>
  <c r="AD248" i="3"/>
  <c r="AK248" i="3"/>
  <c r="AE248" i="3"/>
  <c r="AF248" i="3"/>
  <c r="R248" i="3"/>
  <c r="V248" i="3"/>
  <c r="T248" i="3"/>
  <c r="P248" i="3"/>
  <c r="AG247" i="3"/>
  <c r="BG244" i="3"/>
  <c r="BH244" i="3" s="1"/>
  <c r="BI244" i="3" s="1"/>
  <c r="BD244" i="3"/>
  <c r="Y247" i="3"/>
  <c r="Z247" i="3" s="1"/>
  <c r="AO248" i="3" l="1"/>
  <c r="AX247" i="3"/>
  <c r="AH248" i="3"/>
  <c r="X248" i="3"/>
  <c r="AU247" i="3"/>
  <c r="AG248" i="3"/>
  <c r="AT248" i="3" s="1"/>
  <c r="AR249" i="3"/>
  <c r="B249" i="3"/>
  <c r="A250" i="3"/>
  <c r="D249" i="3"/>
  <c r="AQ249" i="3"/>
  <c r="C249" i="3"/>
  <c r="F249" i="3"/>
  <c r="BM249" i="3" s="1"/>
  <c r="G249" i="3"/>
  <c r="H249" i="3" s="1"/>
  <c r="BN249" i="3" s="1"/>
  <c r="S249" i="3"/>
  <c r="Q249" i="3"/>
  <c r="O249" i="3"/>
  <c r="U249" i="3"/>
  <c r="M249" i="3"/>
  <c r="AK249" i="3"/>
  <c r="AE249" i="3"/>
  <c r="AD249" i="3"/>
  <c r="AM249" i="3"/>
  <c r="AF249" i="3"/>
  <c r="P249" i="3"/>
  <c r="T249" i="3"/>
  <c r="V249" i="3"/>
  <c r="R249" i="3"/>
  <c r="AN248" i="3"/>
  <c r="Y248" i="3"/>
  <c r="Z248" i="3" s="1"/>
  <c r="AT247" i="3"/>
  <c r="BA246" i="3"/>
  <c r="AV246" i="3"/>
  <c r="BC246" i="3" s="1"/>
  <c r="BG245" i="3"/>
  <c r="BH245" i="3" s="1"/>
  <c r="BI245" i="3" s="1"/>
  <c r="BD245" i="3"/>
  <c r="BB245" i="3"/>
  <c r="BQ245" i="3"/>
  <c r="BF245" i="3"/>
  <c r="BJ244" i="3" s="1"/>
  <c r="BK244" i="3" s="1"/>
  <c r="AW247" i="3"/>
  <c r="AN249" i="3" l="1"/>
  <c r="AU248" i="3"/>
  <c r="AV248" i="3" s="1"/>
  <c r="AX248" i="3"/>
  <c r="AY247" i="3"/>
  <c r="AV247" i="3"/>
  <c r="BA247" i="3"/>
  <c r="AH249" i="3"/>
  <c r="X249" i="3"/>
  <c r="AG249" i="3"/>
  <c r="AU249" i="3" s="1"/>
  <c r="Y249" i="3"/>
  <c r="Z249" i="3" s="1"/>
  <c r="AO249" i="3"/>
  <c r="BF246" i="3"/>
  <c r="BJ245" i="3" s="1"/>
  <c r="BK245" i="3" s="1"/>
  <c r="BB246" i="3"/>
  <c r="BQ246" i="3"/>
  <c r="AR250" i="3"/>
  <c r="B250" i="3"/>
  <c r="AQ250" i="3"/>
  <c r="A251" i="3"/>
  <c r="D250" i="3"/>
  <c r="C250" i="3"/>
  <c r="F250" i="3"/>
  <c r="BM250" i="3" s="1"/>
  <c r="G250" i="3"/>
  <c r="H250" i="3" s="1"/>
  <c r="BN250" i="3" s="1"/>
  <c r="Q250" i="3"/>
  <c r="S250" i="3"/>
  <c r="O250" i="3"/>
  <c r="U250" i="3"/>
  <c r="AD250" i="3"/>
  <c r="AM250" i="3"/>
  <c r="AE250" i="3"/>
  <c r="AF250" i="3"/>
  <c r="M250" i="3"/>
  <c r="AK250" i="3"/>
  <c r="P250" i="3"/>
  <c r="T250" i="3"/>
  <c r="V250" i="3"/>
  <c r="R250" i="3"/>
  <c r="BD246" i="3"/>
  <c r="BG246" i="3"/>
  <c r="BH246" i="3" s="1"/>
  <c r="BI246" i="3" s="1"/>
  <c r="AW248" i="3"/>
  <c r="AY248" i="3" l="1"/>
  <c r="BC247" i="3"/>
  <c r="BD247" i="3" s="1"/>
  <c r="AO250" i="3"/>
  <c r="AT249" i="3"/>
  <c r="AV249" i="3" s="1"/>
  <c r="AH250" i="3"/>
  <c r="AG250" i="3"/>
  <c r="X250" i="3"/>
  <c r="AX249" i="3"/>
  <c r="BA248" i="3"/>
  <c r="B251" i="3"/>
  <c r="A252" i="3"/>
  <c r="C251" i="3"/>
  <c r="AQ251" i="3"/>
  <c r="AR251" i="3"/>
  <c r="D251" i="3"/>
  <c r="G251" i="3"/>
  <c r="H251" i="3" s="1"/>
  <c r="BN251" i="3" s="1"/>
  <c r="F251" i="3"/>
  <c r="BM251" i="3" s="1"/>
  <c r="Q251" i="3"/>
  <c r="S251" i="3"/>
  <c r="O251" i="3"/>
  <c r="U251" i="3"/>
  <c r="M251" i="3"/>
  <c r="AM251" i="3"/>
  <c r="AK251" i="3"/>
  <c r="AD251" i="3"/>
  <c r="AE251" i="3"/>
  <c r="AF251" i="3"/>
  <c r="P251" i="3"/>
  <c r="T251" i="3"/>
  <c r="R251" i="3"/>
  <c r="V251" i="3"/>
  <c r="AW249" i="3"/>
  <c r="BC248" i="3"/>
  <c r="AN250" i="3"/>
  <c r="BF247" i="3"/>
  <c r="BJ246" i="3" s="1"/>
  <c r="BK246" i="3" s="1"/>
  <c r="BB247" i="3"/>
  <c r="BQ247" i="3"/>
  <c r="Y250" i="3"/>
  <c r="Z250" i="3" s="1"/>
  <c r="BG247" i="3" l="1"/>
  <c r="BH247" i="3" s="1"/>
  <c r="BI247" i="3" s="1"/>
  <c r="BA249" i="3"/>
  <c r="AT250" i="3"/>
  <c r="AO251" i="3"/>
  <c r="AG251" i="3"/>
  <c r="BF249" i="3"/>
  <c r="BQ249" i="3"/>
  <c r="BB249" i="3"/>
  <c r="A253" i="3"/>
  <c r="C252" i="3"/>
  <c r="B252" i="3"/>
  <c r="AR252" i="3"/>
  <c r="AQ252" i="3"/>
  <c r="D252" i="3"/>
  <c r="G252" i="3"/>
  <c r="H252" i="3" s="1"/>
  <c r="BN252" i="3" s="1"/>
  <c r="F252" i="3"/>
  <c r="BM252" i="3" s="1"/>
  <c r="Q252" i="3"/>
  <c r="S252" i="3"/>
  <c r="O252" i="3"/>
  <c r="U252" i="3"/>
  <c r="AM252" i="3"/>
  <c r="AK252" i="3"/>
  <c r="AD252" i="3"/>
  <c r="AE252" i="3"/>
  <c r="AF252" i="3"/>
  <c r="M252" i="3"/>
  <c r="R252" i="3"/>
  <c r="V252" i="3"/>
  <c r="T252" i="3"/>
  <c r="P252" i="3"/>
  <c r="BB248" i="3"/>
  <c r="BQ248" i="3"/>
  <c r="BF248" i="3"/>
  <c r="BJ247" i="3" s="1"/>
  <c r="BK247" i="3" s="1"/>
  <c r="AY249" i="3"/>
  <c r="BC249" i="3" s="1"/>
  <c r="AW250" i="3"/>
  <c r="AH251" i="3"/>
  <c r="X251" i="3"/>
  <c r="Y251" i="3"/>
  <c r="Z251" i="3" s="1"/>
  <c r="AN251" i="3"/>
  <c r="AU250" i="3"/>
  <c r="BD248" i="3"/>
  <c r="BG248" i="3"/>
  <c r="BH248" i="3" s="1"/>
  <c r="BI248" i="3" s="1"/>
  <c r="AX250" i="3"/>
  <c r="AV250" i="3" l="1"/>
  <c r="AU251" i="3"/>
  <c r="BA250" i="3"/>
  <c r="BB250" i="3" s="1"/>
  <c r="AN252" i="3"/>
  <c r="AT251" i="3"/>
  <c r="AV251" i="3" s="1"/>
  <c r="AG252" i="3"/>
  <c r="BD249" i="3"/>
  <c r="BG249" i="3"/>
  <c r="BH249" i="3" s="1"/>
  <c r="BI249" i="3" s="1"/>
  <c r="BC250" i="3"/>
  <c r="Y252" i="3"/>
  <c r="Z252" i="3" s="1"/>
  <c r="AO252" i="3"/>
  <c r="AR253" i="3"/>
  <c r="B253" i="3"/>
  <c r="AQ253" i="3"/>
  <c r="A254" i="3"/>
  <c r="C253" i="3"/>
  <c r="D253" i="3"/>
  <c r="F253" i="3"/>
  <c r="BM253" i="3" s="1"/>
  <c r="G253" i="3"/>
  <c r="H253" i="3" s="1"/>
  <c r="BN253" i="3" s="1"/>
  <c r="Q253" i="3"/>
  <c r="S253" i="3"/>
  <c r="O253" i="3"/>
  <c r="U253" i="3"/>
  <c r="AK253" i="3"/>
  <c r="AD253" i="3"/>
  <c r="AE253" i="3"/>
  <c r="AM253" i="3"/>
  <c r="M253" i="3"/>
  <c r="AF253" i="3"/>
  <c r="T253" i="3"/>
  <c r="R253" i="3"/>
  <c r="P253" i="3"/>
  <c r="V253" i="3"/>
  <c r="AH252" i="3"/>
  <c r="AY250" i="3"/>
  <c r="X252" i="3"/>
  <c r="AX251" i="3"/>
  <c r="AW251" i="3"/>
  <c r="BJ248" i="3"/>
  <c r="BK248" i="3" s="1"/>
  <c r="AN253" i="3" l="1"/>
  <c r="BF250" i="3"/>
  <c r="BJ249" i="3" s="1"/>
  <c r="BK249" i="3" s="1"/>
  <c r="BQ250" i="3"/>
  <c r="Y253" i="3"/>
  <c r="Z253" i="3" s="1"/>
  <c r="AX252" i="3"/>
  <c r="AG253" i="3"/>
  <c r="AY251" i="3"/>
  <c r="BC251" i="3" s="1"/>
  <c r="X253" i="3"/>
  <c r="AO253" i="3"/>
  <c r="B254" i="3"/>
  <c r="AQ254" i="3"/>
  <c r="A255" i="3"/>
  <c r="D254" i="3"/>
  <c r="AR254" i="3"/>
  <c r="C254" i="3"/>
  <c r="G254" i="3"/>
  <c r="H254" i="3" s="1"/>
  <c r="BN254" i="3" s="1"/>
  <c r="F254" i="3"/>
  <c r="BM254" i="3" s="1"/>
  <c r="Q254" i="3"/>
  <c r="S254" i="3"/>
  <c r="O254" i="3"/>
  <c r="U254" i="3"/>
  <c r="M254" i="3"/>
  <c r="AM254" i="3"/>
  <c r="AF254" i="3"/>
  <c r="AD254" i="3"/>
  <c r="AE254" i="3"/>
  <c r="AK254" i="3"/>
  <c r="T254" i="3"/>
  <c r="R254" i="3"/>
  <c r="V254" i="3"/>
  <c r="P254" i="3"/>
  <c r="BA251" i="3"/>
  <c r="AU252" i="3"/>
  <c r="AH253" i="3"/>
  <c r="AT252" i="3"/>
  <c r="BD250" i="3"/>
  <c r="BG250" i="3"/>
  <c r="BH250" i="3" s="1"/>
  <c r="BI250" i="3" s="1"/>
  <c r="AW252" i="3"/>
  <c r="AY252" i="3" l="1"/>
  <c r="AO254" i="3"/>
  <c r="AX253" i="3"/>
  <c r="AG254" i="3"/>
  <c r="BB251" i="3"/>
  <c r="BF251" i="3"/>
  <c r="BJ250" i="3" s="1"/>
  <c r="BK250" i="3" s="1"/>
  <c r="BQ251" i="3"/>
  <c r="Y254" i="3"/>
  <c r="Z254" i="3" s="1"/>
  <c r="BD251" i="3"/>
  <c r="BG251" i="3"/>
  <c r="BH251" i="3" s="1"/>
  <c r="BI251" i="3" s="1"/>
  <c r="AN254" i="3"/>
  <c r="AW254" i="3" s="1"/>
  <c r="X254" i="3"/>
  <c r="B255" i="3"/>
  <c r="A256" i="3"/>
  <c r="AR255" i="3"/>
  <c r="D255" i="3"/>
  <c r="AQ255" i="3"/>
  <c r="C255" i="3"/>
  <c r="F255" i="3"/>
  <c r="BM255" i="3" s="1"/>
  <c r="G255" i="3"/>
  <c r="H255" i="3" s="1"/>
  <c r="BN255" i="3" s="1"/>
  <c r="S255" i="3"/>
  <c r="Q255" i="3"/>
  <c r="O255" i="3"/>
  <c r="U255" i="3"/>
  <c r="AD255" i="3"/>
  <c r="AM255" i="3"/>
  <c r="M255" i="3"/>
  <c r="AF255" i="3"/>
  <c r="AE255" i="3"/>
  <c r="AK255" i="3"/>
  <c r="T255" i="3"/>
  <c r="P255" i="3"/>
  <c r="R255" i="3"/>
  <c r="V255" i="3"/>
  <c r="BA252" i="3"/>
  <c r="AV252" i="3"/>
  <c r="AH254" i="3"/>
  <c r="AU253" i="3"/>
  <c r="AT253" i="3"/>
  <c r="AW253" i="3"/>
  <c r="AY253" i="3" s="1"/>
  <c r="BC252" i="3" l="1"/>
  <c r="BD252" i="3" s="1"/>
  <c r="AO255" i="3"/>
  <c r="AG255" i="3"/>
  <c r="Y255" i="3"/>
  <c r="Z255" i="3" s="1"/>
  <c r="X255" i="3"/>
  <c r="AQ256" i="3"/>
  <c r="C256" i="3"/>
  <c r="AR256" i="3"/>
  <c r="A257" i="3"/>
  <c r="B256" i="3"/>
  <c r="D256" i="3"/>
  <c r="G256" i="3"/>
  <c r="H256" i="3" s="1"/>
  <c r="BN256" i="3" s="1"/>
  <c r="F256" i="3"/>
  <c r="BM256" i="3" s="1"/>
  <c r="S256" i="3"/>
  <c r="Q256" i="3"/>
  <c r="O256" i="3"/>
  <c r="U256" i="3"/>
  <c r="AM256" i="3"/>
  <c r="AD256" i="3"/>
  <c r="AK256" i="3"/>
  <c r="M256" i="3"/>
  <c r="AE256" i="3"/>
  <c r="AF256" i="3"/>
  <c r="P256" i="3"/>
  <c r="V256" i="3"/>
  <c r="T256" i="3"/>
  <c r="R256" i="3"/>
  <c r="BA253" i="3"/>
  <c r="AV253" i="3"/>
  <c r="BC253" i="3" s="1"/>
  <c r="AX254" i="3"/>
  <c r="AY254" i="3" s="1"/>
  <c r="AH255" i="3"/>
  <c r="BF252" i="3"/>
  <c r="BJ251" i="3" s="1"/>
  <c r="BK251" i="3" s="1"/>
  <c r="BB252" i="3"/>
  <c r="BQ252" i="3"/>
  <c r="AN255" i="3"/>
  <c r="AU254" i="3"/>
  <c r="AT254" i="3"/>
  <c r="BG252" i="3" l="1"/>
  <c r="BH252" i="3" s="1"/>
  <c r="BI252" i="3" s="1"/>
  <c r="AX255" i="3"/>
  <c r="AO256" i="3"/>
  <c r="BQ253" i="3"/>
  <c r="BF253" i="3"/>
  <c r="BJ252" i="3" s="1"/>
  <c r="BK252" i="3" s="1"/>
  <c r="BB253" i="3"/>
  <c r="AH256" i="3"/>
  <c r="AU255" i="3"/>
  <c r="AN256" i="3"/>
  <c r="AV254" i="3"/>
  <c r="BC254" i="3" s="1"/>
  <c r="BA254" i="3"/>
  <c r="AT255" i="3"/>
  <c r="Y256" i="3"/>
  <c r="Z256" i="3" s="1"/>
  <c r="X256" i="3"/>
  <c r="BD253" i="3"/>
  <c r="BG253" i="3"/>
  <c r="BH253" i="3" s="1"/>
  <c r="BI253" i="3" s="1"/>
  <c r="AG256" i="3"/>
  <c r="B257" i="3"/>
  <c r="AQ257" i="3"/>
  <c r="AR257" i="3"/>
  <c r="C257" i="3"/>
  <c r="D257" i="3"/>
  <c r="A258" i="3"/>
  <c r="F257" i="3"/>
  <c r="BM257" i="3" s="1"/>
  <c r="G257" i="3"/>
  <c r="H257" i="3" s="1"/>
  <c r="BN257" i="3" s="1"/>
  <c r="S257" i="3"/>
  <c r="Q257" i="3"/>
  <c r="O257" i="3"/>
  <c r="U257" i="3"/>
  <c r="AM257" i="3"/>
  <c r="AD257" i="3"/>
  <c r="M257" i="3"/>
  <c r="AE257" i="3"/>
  <c r="AF257" i="3"/>
  <c r="AK257" i="3"/>
  <c r="P257" i="3"/>
  <c r="R257" i="3"/>
  <c r="T257" i="3"/>
  <c r="V257" i="3"/>
  <c r="AW255" i="3"/>
  <c r="AY255" i="3" s="1"/>
  <c r="AW256" i="3" l="1"/>
  <c r="AH257" i="3"/>
  <c r="AN257" i="3"/>
  <c r="AR258" i="3"/>
  <c r="AQ258" i="3"/>
  <c r="D258" i="3"/>
  <c r="C258" i="3"/>
  <c r="B258" i="3"/>
  <c r="A259" i="3"/>
  <c r="F258" i="3"/>
  <c r="BM258" i="3" s="1"/>
  <c r="G258" i="3"/>
  <c r="H258" i="3" s="1"/>
  <c r="BN258" i="3" s="1"/>
  <c r="Q258" i="3"/>
  <c r="S258" i="3"/>
  <c r="O258" i="3"/>
  <c r="U258" i="3"/>
  <c r="M258" i="3"/>
  <c r="AD258" i="3"/>
  <c r="AM258" i="3"/>
  <c r="AK258" i="3"/>
  <c r="AE258" i="3"/>
  <c r="AF258" i="3"/>
  <c r="V258" i="3"/>
  <c r="P258" i="3"/>
  <c r="R258" i="3"/>
  <c r="T258" i="3"/>
  <c r="X257" i="3"/>
  <c r="Y257" i="3"/>
  <c r="Z257" i="3" s="1"/>
  <c r="BQ254" i="3"/>
  <c r="BF254" i="3"/>
  <c r="BJ253" i="3" s="1"/>
  <c r="BK253" i="3" s="1"/>
  <c r="BB254" i="3"/>
  <c r="BD254" i="3"/>
  <c r="BG254" i="3"/>
  <c r="BH254" i="3" s="1"/>
  <c r="BI254" i="3" s="1"/>
  <c r="AT256" i="3"/>
  <c r="AV255" i="3"/>
  <c r="BC255" i="3" s="1"/>
  <c r="BA255" i="3"/>
  <c r="AX256" i="3"/>
  <c r="AU256" i="3"/>
  <c r="AO257" i="3"/>
  <c r="AG257" i="3"/>
  <c r="AY256" i="3" l="1"/>
  <c r="AO258" i="3"/>
  <c r="AW257" i="3"/>
  <c r="AU257" i="3"/>
  <c r="AG258" i="3"/>
  <c r="AH258" i="3"/>
  <c r="AU258" i="3" s="1"/>
  <c r="AN258" i="3"/>
  <c r="AV256" i="3"/>
  <c r="BA256" i="3"/>
  <c r="X258" i="3"/>
  <c r="Y258" i="3"/>
  <c r="Z258" i="3" s="1"/>
  <c r="AR259" i="3"/>
  <c r="C259" i="3"/>
  <c r="D259" i="3"/>
  <c r="AQ259" i="3"/>
  <c r="B259" i="3"/>
  <c r="A260" i="3"/>
  <c r="G259" i="3"/>
  <c r="H259" i="3" s="1"/>
  <c r="BN259" i="3" s="1"/>
  <c r="F259" i="3"/>
  <c r="BM259" i="3" s="1"/>
  <c r="Q259" i="3"/>
  <c r="S259" i="3"/>
  <c r="O259" i="3"/>
  <c r="U259" i="3"/>
  <c r="AK259" i="3"/>
  <c r="M259" i="3"/>
  <c r="AD259" i="3"/>
  <c r="AM259" i="3"/>
  <c r="AF259" i="3"/>
  <c r="AE259" i="3"/>
  <c r="P259" i="3"/>
  <c r="R259" i="3"/>
  <c r="V259" i="3"/>
  <c r="T259" i="3"/>
  <c r="AX257" i="3"/>
  <c r="AT257" i="3"/>
  <c r="BQ255" i="3"/>
  <c r="BF255" i="3"/>
  <c r="BJ254" i="3" s="1"/>
  <c r="BK254" i="3" s="1"/>
  <c r="BB255" i="3"/>
  <c r="BD255" i="3"/>
  <c r="BG255" i="3"/>
  <c r="BH255" i="3" s="1"/>
  <c r="BI255" i="3" s="1"/>
  <c r="AT258" i="3"/>
  <c r="BC256" i="3" l="1"/>
  <c r="AY257" i="3"/>
  <c r="AW258" i="3"/>
  <c r="AO259" i="3"/>
  <c r="AG259" i="3"/>
  <c r="AV258" i="3"/>
  <c r="X259" i="3"/>
  <c r="AN259" i="3"/>
  <c r="Y259" i="3"/>
  <c r="Z259" i="3" s="1"/>
  <c r="AH259" i="3"/>
  <c r="BB256" i="3"/>
  <c r="BF256" i="3"/>
  <c r="BJ255" i="3" s="1"/>
  <c r="BK255" i="3" s="1"/>
  <c r="BQ256" i="3"/>
  <c r="BD256" i="3"/>
  <c r="BG256" i="3"/>
  <c r="BH256" i="3" s="1"/>
  <c r="BI256" i="3" s="1"/>
  <c r="BA257" i="3"/>
  <c r="AV257" i="3"/>
  <c r="BC257" i="3" s="1"/>
  <c r="B260" i="3"/>
  <c r="AQ260" i="3"/>
  <c r="C260" i="3"/>
  <c r="D260" i="3"/>
  <c r="A261" i="3"/>
  <c r="AR260" i="3"/>
  <c r="F260" i="3"/>
  <c r="BM260" i="3" s="1"/>
  <c r="G260" i="3"/>
  <c r="H260" i="3" s="1"/>
  <c r="BN260" i="3" s="1"/>
  <c r="Q260" i="3"/>
  <c r="S260" i="3"/>
  <c r="O260" i="3"/>
  <c r="U260" i="3"/>
  <c r="AM260" i="3"/>
  <c r="AE260" i="3"/>
  <c r="AF260" i="3"/>
  <c r="M260" i="3"/>
  <c r="AK260" i="3"/>
  <c r="AD260" i="3"/>
  <c r="P260" i="3"/>
  <c r="R260" i="3"/>
  <c r="V260" i="3"/>
  <c r="T260" i="3"/>
  <c r="AX258" i="3"/>
  <c r="AY258" i="3" s="1"/>
  <c r="AX259" i="3" l="1"/>
  <c r="X260" i="3"/>
  <c r="AG260" i="3"/>
  <c r="AN260" i="3"/>
  <c r="D261" i="3"/>
  <c r="AR261" i="3"/>
  <c r="B261" i="3"/>
  <c r="AQ261" i="3"/>
  <c r="A262" i="3"/>
  <c r="C261" i="3"/>
  <c r="G261" i="3"/>
  <c r="H261" i="3" s="1"/>
  <c r="BN261" i="3" s="1"/>
  <c r="F261" i="3"/>
  <c r="BM261" i="3" s="1"/>
  <c r="Q261" i="3"/>
  <c r="S261" i="3"/>
  <c r="O261" i="3"/>
  <c r="U261" i="3"/>
  <c r="AK261" i="3"/>
  <c r="AM261" i="3"/>
  <c r="AE261" i="3"/>
  <c r="AD261" i="3"/>
  <c r="M261" i="3"/>
  <c r="AF261" i="3"/>
  <c r="T261" i="3"/>
  <c r="V261" i="3"/>
  <c r="P261" i="3"/>
  <c r="R261" i="3"/>
  <c r="Y260" i="3"/>
  <c r="Z260" i="3" s="1"/>
  <c r="BF257" i="3"/>
  <c r="BJ256" i="3" s="1"/>
  <c r="BK256" i="3" s="1"/>
  <c r="BQ257" i="3"/>
  <c r="BB257" i="3"/>
  <c r="AT259" i="3"/>
  <c r="AH260" i="3"/>
  <c r="BA258" i="3"/>
  <c r="AU259" i="3"/>
  <c r="BC258" i="3"/>
  <c r="BD257" i="3"/>
  <c r="BG257" i="3"/>
  <c r="BH257" i="3" s="1"/>
  <c r="BI257" i="3" s="1"/>
  <c r="AO260" i="3"/>
  <c r="AW259" i="3"/>
  <c r="AY259" i="3" s="1"/>
  <c r="AN261" i="3" l="1"/>
  <c r="BB258" i="3"/>
  <c r="BQ258" i="3"/>
  <c r="BF258" i="3"/>
  <c r="BJ257" i="3" s="1"/>
  <c r="BK257" i="3" s="1"/>
  <c r="AW260" i="3"/>
  <c r="AX260" i="3"/>
  <c r="AG261" i="3"/>
  <c r="AT260" i="3"/>
  <c r="AU260" i="3"/>
  <c r="AH261" i="3"/>
  <c r="AU261" i="3" s="1"/>
  <c r="X261" i="3"/>
  <c r="AO261" i="3"/>
  <c r="BA259" i="3"/>
  <c r="AV259" i="3"/>
  <c r="BC259" i="3" s="1"/>
  <c r="AR262" i="3"/>
  <c r="A263" i="3"/>
  <c r="C262" i="3"/>
  <c r="B262" i="3"/>
  <c r="AQ262" i="3"/>
  <c r="D262" i="3"/>
  <c r="F262" i="3"/>
  <c r="BM262" i="3" s="1"/>
  <c r="G262" i="3"/>
  <c r="H262" i="3" s="1"/>
  <c r="BN262" i="3" s="1"/>
  <c r="S262" i="3"/>
  <c r="Q262" i="3"/>
  <c r="O262" i="3"/>
  <c r="U262" i="3"/>
  <c r="AK262" i="3"/>
  <c r="M262" i="3"/>
  <c r="AF262" i="3"/>
  <c r="AD262" i="3"/>
  <c r="AM262" i="3"/>
  <c r="AN262" i="3" s="1"/>
  <c r="AE262" i="3"/>
  <c r="T262" i="3"/>
  <c r="V262" i="3"/>
  <c r="P262" i="3"/>
  <c r="R262" i="3"/>
  <c r="BD258" i="3"/>
  <c r="BG258" i="3"/>
  <c r="BH258" i="3" s="1"/>
  <c r="BI258" i="3" s="1"/>
  <c r="Y261" i="3"/>
  <c r="Z261" i="3" s="1"/>
  <c r="AT261" i="3" l="1"/>
  <c r="AV261" i="3" s="1"/>
  <c r="AG262" i="3"/>
  <c r="AY260" i="3"/>
  <c r="BB259" i="3"/>
  <c r="BF259" i="3"/>
  <c r="BJ258" i="3" s="1"/>
  <c r="BK258" i="3" s="1"/>
  <c r="BQ259" i="3"/>
  <c r="AH262" i="3"/>
  <c r="AU262" i="3" s="1"/>
  <c r="A264" i="3"/>
  <c r="C263" i="3"/>
  <c r="AQ263" i="3"/>
  <c r="B263" i="3"/>
  <c r="AR263" i="3"/>
  <c r="D263" i="3"/>
  <c r="G263" i="3"/>
  <c r="H263" i="3" s="1"/>
  <c r="BN263" i="3" s="1"/>
  <c r="F263" i="3"/>
  <c r="BM263" i="3" s="1"/>
  <c r="Q263" i="3"/>
  <c r="S263" i="3"/>
  <c r="O263" i="3"/>
  <c r="U263" i="3"/>
  <c r="AK263" i="3"/>
  <c r="M263" i="3"/>
  <c r="AM263" i="3"/>
  <c r="AD263" i="3"/>
  <c r="AF263" i="3"/>
  <c r="AE263" i="3"/>
  <c r="T263" i="3"/>
  <c r="P263" i="3"/>
  <c r="V263" i="3"/>
  <c r="R263" i="3"/>
  <c r="AO262" i="3"/>
  <c r="BD259" i="3"/>
  <c r="BG259" i="3"/>
  <c r="BH259" i="3" s="1"/>
  <c r="BI259" i="3" s="1"/>
  <c r="AW261" i="3"/>
  <c r="X262" i="3"/>
  <c r="AX261" i="3"/>
  <c r="AV260" i="3"/>
  <c r="BA260" i="3"/>
  <c r="Y262" i="3"/>
  <c r="Z262" i="3" s="1"/>
  <c r="BA261" i="3" l="1"/>
  <c r="AG263" i="3"/>
  <c r="AN263" i="3"/>
  <c r="AT262" i="3"/>
  <c r="BC260" i="3"/>
  <c r="BD260" i="3" s="1"/>
  <c r="BF261" i="3"/>
  <c r="BB261" i="3"/>
  <c r="BQ261" i="3"/>
  <c r="AH263" i="3"/>
  <c r="AV262" i="3"/>
  <c r="AO263" i="3"/>
  <c r="AW263" i="3" s="1"/>
  <c r="AT263" i="3"/>
  <c r="AU263" i="3"/>
  <c r="C264" i="3"/>
  <c r="AR264" i="3"/>
  <c r="B264" i="3"/>
  <c r="A265" i="3"/>
  <c r="AQ264" i="3"/>
  <c r="D264" i="3"/>
  <c r="G264" i="3"/>
  <c r="H264" i="3" s="1"/>
  <c r="BN264" i="3" s="1"/>
  <c r="F264" i="3"/>
  <c r="BM264" i="3" s="1"/>
  <c r="S264" i="3"/>
  <c r="Q264" i="3"/>
  <c r="O264" i="3"/>
  <c r="U264" i="3"/>
  <c r="AM264" i="3"/>
  <c r="AK264" i="3"/>
  <c r="AD264" i="3"/>
  <c r="M264" i="3"/>
  <c r="AE264" i="3"/>
  <c r="AF264" i="3"/>
  <c r="V264" i="3"/>
  <c r="P264" i="3"/>
  <c r="T264" i="3"/>
  <c r="R264" i="3"/>
  <c r="Y263" i="3"/>
  <c r="Z263" i="3" s="1"/>
  <c r="X263" i="3"/>
  <c r="BB260" i="3"/>
  <c r="BQ260" i="3"/>
  <c r="BF260" i="3"/>
  <c r="BJ259" i="3" s="1"/>
  <c r="BK259" i="3" s="1"/>
  <c r="AY261" i="3"/>
  <c r="BC261" i="3" s="1"/>
  <c r="AX262" i="3"/>
  <c r="AW262" i="3"/>
  <c r="BA262" i="3" l="1"/>
  <c r="AO264" i="3"/>
  <c r="BG260" i="3"/>
  <c r="BH260" i="3" s="1"/>
  <c r="BI260" i="3" s="1"/>
  <c r="AN264" i="3"/>
  <c r="Y264" i="3"/>
  <c r="Z264" i="3" s="1"/>
  <c r="BQ262" i="3"/>
  <c r="BF262" i="3"/>
  <c r="BJ261" i="3" s="1"/>
  <c r="BB262" i="3"/>
  <c r="BD261" i="3"/>
  <c r="BG261" i="3"/>
  <c r="BH261" i="3" s="1"/>
  <c r="BI261" i="3" s="1"/>
  <c r="AH264" i="3"/>
  <c r="AG264" i="3"/>
  <c r="X264" i="3"/>
  <c r="AV263" i="3"/>
  <c r="AY262" i="3"/>
  <c r="BC262" i="3" s="1"/>
  <c r="AX263" i="3"/>
  <c r="AY263" i="3" s="1"/>
  <c r="AR265" i="3"/>
  <c r="B265" i="3"/>
  <c r="A266" i="3"/>
  <c r="D265" i="3"/>
  <c r="C265" i="3"/>
  <c r="AQ265" i="3"/>
  <c r="F265" i="3"/>
  <c r="BM265" i="3" s="1"/>
  <c r="G265" i="3"/>
  <c r="H265" i="3" s="1"/>
  <c r="BN265" i="3" s="1"/>
  <c r="S265" i="3"/>
  <c r="Q265" i="3"/>
  <c r="O265" i="3"/>
  <c r="U265" i="3"/>
  <c r="AE265" i="3"/>
  <c r="AK265" i="3"/>
  <c r="AM265" i="3"/>
  <c r="M265" i="3"/>
  <c r="AD265" i="3"/>
  <c r="AF265" i="3"/>
  <c r="V265" i="3"/>
  <c r="P265" i="3"/>
  <c r="T265" i="3"/>
  <c r="R265" i="3"/>
  <c r="BJ260" i="3"/>
  <c r="BK260" i="3" s="1"/>
  <c r="BK261" i="3" l="1"/>
  <c r="AN265" i="3"/>
  <c r="AT264" i="3"/>
  <c r="AW264" i="3"/>
  <c r="AH265" i="3"/>
  <c r="AU264" i="3"/>
  <c r="BD262" i="3"/>
  <c r="BG262" i="3"/>
  <c r="BH262" i="3" s="1"/>
  <c r="BI262" i="3" s="1"/>
  <c r="AO265" i="3"/>
  <c r="AX265" i="3" s="1"/>
  <c r="X265" i="3"/>
  <c r="AR266" i="3"/>
  <c r="B266" i="3"/>
  <c r="AQ266" i="3"/>
  <c r="C266" i="3"/>
  <c r="D266" i="3"/>
  <c r="A267" i="3"/>
  <c r="G266" i="3"/>
  <c r="H266" i="3" s="1"/>
  <c r="BN266" i="3" s="1"/>
  <c r="F266" i="3"/>
  <c r="BM266" i="3" s="1"/>
  <c r="Q266" i="3"/>
  <c r="S266" i="3"/>
  <c r="O266" i="3"/>
  <c r="U266" i="3"/>
  <c r="AM266" i="3"/>
  <c r="AD266" i="3"/>
  <c r="AK266" i="3"/>
  <c r="M266" i="3"/>
  <c r="AF266" i="3"/>
  <c r="AE266" i="3"/>
  <c r="R266" i="3"/>
  <c r="P266" i="3"/>
  <c r="T266" i="3"/>
  <c r="V266" i="3"/>
  <c r="BC263" i="3"/>
  <c r="BA263" i="3"/>
  <c r="AX264" i="3"/>
  <c r="AG265" i="3"/>
  <c r="Y265" i="3"/>
  <c r="Z265" i="3" s="1"/>
  <c r="AO266" i="3" l="1"/>
  <c r="AU265" i="3"/>
  <c r="AY264" i="3"/>
  <c r="AT265" i="3"/>
  <c r="AV265" i="3" s="1"/>
  <c r="Y266" i="3"/>
  <c r="Z266" i="3" s="1"/>
  <c r="BA264" i="3"/>
  <c r="BB264" i="3" s="1"/>
  <c r="AV264" i="3"/>
  <c r="AW265" i="3"/>
  <c r="BA265" i="3" s="1"/>
  <c r="B267" i="3"/>
  <c r="A268" i="3"/>
  <c r="C267" i="3"/>
  <c r="AQ267" i="3"/>
  <c r="AR267" i="3"/>
  <c r="D267" i="3"/>
  <c r="G267" i="3"/>
  <c r="H267" i="3" s="1"/>
  <c r="BN267" i="3" s="1"/>
  <c r="F267" i="3"/>
  <c r="BM267" i="3" s="1"/>
  <c r="Q267" i="3"/>
  <c r="S267" i="3"/>
  <c r="O267" i="3"/>
  <c r="U267" i="3"/>
  <c r="AK267" i="3"/>
  <c r="AD267" i="3"/>
  <c r="AM267" i="3"/>
  <c r="AE267" i="3"/>
  <c r="M267" i="3"/>
  <c r="AF267" i="3"/>
  <c r="T267" i="3"/>
  <c r="V267" i="3"/>
  <c r="R267" i="3"/>
  <c r="P267" i="3"/>
  <c r="AG266" i="3"/>
  <c r="AH266" i="3"/>
  <c r="BD263" i="3"/>
  <c r="BG263" i="3"/>
  <c r="BH263" i="3" s="1"/>
  <c r="BI263" i="3" s="1"/>
  <c r="AN266" i="3"/>
  <c r="X266" i="3"/>
  <c r="BF263" i="3"/>
  <c r="BJ262" i="3" s="1"/>
  <c r="BK262" i="3" s="1"/>
  <c r="BQ263" i="3"/>
  <c r="BB263" i="3"/>
  <c r="BC264" i="3" l="1"/>
  <c r="AY265" i="3"/>
  <c r="BQ264" i="3"/>
  <c r="BF264" i="3"/>
  <c r="BJ263" i="3" s="1"/>
  <c r="BK263" i="3" s="1"/>
  <c r="AN267" i="3"/>
  <c r="AU266" i="3"/>
  <c r="BF265" i="3"/>
  <c r="BQ265" i="3"/>
  <c r="BB265" i="3"/>
  <c r="AG267" i="3"/>
  <c r="X267" i="3"/>
  <c r="Y267" i="3"/>
  <c r="Z267" i="3" s="1"/>
  <c r="AX266" i="3"/>
  <c r="AH267" i="3"/>
  <c r="AT267" i="3" s="1"/>
  <c r="AT266" i="3"/>
  <c r="BD264" i="3"/>
  <c r="BG264" i="3"/>
  <c r="BH264" i="3" s="1"/>
  <c r="BI264" i="3" s="1"/>
  <c r="AW266" i="3"/>
  <c r="AO267" i="3"/>
  <c r="A269" i="3"/>
  <c r="D268" i="3"/>
  <c r="AR268" i="3"/>
  <c r="AQ268" i="3"/>
  <c r="C268" i="3"/>
  <c r="B268" i="3"/>
  <c r="G268" i="3"/>
  <c r="H268" i="3" s="1"/>
  <c r="BN268" i="3" s="1"/>
  <c r="F268" i="3"/>
  <c r="BM268" i="3" s="1"/>
  <c r="Q268" i="3"/>
  <c r="S268" i="3"/>
  <c r="O268" i="3"/>
  <c r="U268" i="3"/>
  <c r="AM268" i="3"/>
  <c r="AD268" i="3"/>
  <c r="AE268" i="3"/>
  <c r="AK268" i="3"/>
  <c r="AF268" i="3"/>
  <c r="M268" i="3"/>
  <c r="V268" i="3"/>
  <c r="T268" i="3"/>
  <c r="P268" i="3"/>
  <c r="R268" i="3"/>
  <c r="BC265" i="3"/>
  <c r="AU267" i="3" l="1"/>
  <c r="BJ264" i="3"/>
  <c r="BK264" i="3" s="1"/>
  <c r="AY266" i="3"/>
  <c r="AO268" i="3"/>
  <c r="AG268" i="3"/>
  <c r="AV267" i="3"/>
  <c r="Y268" i="3"/>
  <c r="Z268" i="3" s="1"/>
  <c r="AN268" i="3"/>
  <c r="AV266" i="3"/>
  <c r="BC266" i="3" s="1"/>
  <c r="BA266" i="3"/>
  <c r="BD265" i="3"/>
  <c r="BG265" i="3"/>
  <c r="BH265" i="3" s="1"/>
  <c r="BI265" i="3" s="1"/>
  <c r="AW268" i="3"/>
  <c r="AR269" i="3"/>
  <c r="B269" i="3"/>
  <c r="AQ269" i="3"/>
  <c r="A270" i="3"/>
  <c r="D269" i="3"/>
  <c r="C269" i="3"/>
  <c r="G269" i="3"/>
  <c r="H269" i="3" s="1"/>
  <c r="BN269" i="3" s="1"/>
  <c r="F269" i="3"/>
  <c r="BM269" i="3" s="1"/>
  <c r="Q269" i="3"/>
  <c r="S269" i="3"/>
  <c r="O269" i="3"/>
  <c r="U269" i="3"/>
  <c r="AE269" i="3"/>
  <c r="AM269" i="3"/>
  <c r="M269" i="3"/>
  <c r="AD269" i="3"/>
  <c r="AF269" i="3"/>
  <c r="AK269" i="3"/>
  <c r="P269" i="3"/>
  <c r="V269" i="3"/>
  <c r="T269" i="3"/>
  <c r="R269" i="3"/>
  <c r="X268" i="3"/>
  <c r="AX267" i="3"/>
  <c r="AW267" i="3"/>
  <c r="AH268" i="3"/>
  <c r="AO269" i="3" l="1"/>
  <c r="AH269" i="3"/>
  <c r="BA267" i="3"/>
  <c r="BB267" i="3" s="1"/>
  <c r="X269" i="3"/>
  <c r="AX268" i="3"/>
  <c r="AY268" i="3" s="1"/>
  <c r="B270" i="3"/>
  <c r="AQ270" i="3"/>
  <c r="A271" i="3"/>
  <c r="D270" i="3"/>
  <c r="AR270" i="3"/>
  <c r="C270" i="3"/>
  <c r="G270" i="3"/>
  <c r="H270" i="3" s="1"/>
  <c r="BN270" i="3" s="1"/>
  <c r="F270" i="3"/>
  <c r="BM270" i="3" s="1"/>
  <c r="Q270" i="3"/>
  <c r="S270" i="3"/>
  <c r="O270" i="3"/>
  <c r="U270" i="3"/>
  <c r="AK270" i="3"/>
  <c r="AM270" i="3"/>
  <c r="AN270" i="3" s="1"/>
  <c r="M270" i="3"/>
  <c r="AD270" i="3"/>
  <c r="AE270" i="3"/>
  <c r="AF270" i="3"/>
  <c r="R270" i="3"/>
  <c r="T270" i="3"/>
  <c r="V270" i="3"/>
  <c r="P270" i="3"/>
  <c r="Y269" i="3"/>
  <c r="Z269" i="3" s="1"/>
  <c r="AG269" i="3"/>
  <c r="BD266" i="3"/>
  <c r="BG266" i="3"/>
  <c r="BH266" i="3" s="1"/>
  <c r="BI266" i="3" s="1"/>
  <c r="AN269" i="3"/>
  <c r="BQ266" i="3"/>
  <c r="BF266" i="3"/>
  <c r="BJ265" i="3" s="1"/>
  <c r="BK265" i="3" s="1"/>
  <c r="BB266" i="3"/>
  <c r="AT268" i="3"/>
  <c r="AU268" i="3"/>
  <c r="AY267" i="3"/>
  <c r="BC267" i="3" s="1"/>
  <c r="AU269" i="3" l="1"/>
  <c r="BQ267" i="3"/>
  <c r="BF267" i="3"/>
  <c r="AX269" i="3"/>
  <c r="BD267" i="3"/>
  <c r="BG267" i="3"/>
  <c r="BH267" i="3" s="1"/>
  <c r="BI267" i="3" s="1"/>
  <c r="Y270" i="3"/>
  <c r="Z270" i="3" s="1"/>
  <c r="X270" i="3"/>
  <c r="AW269" i="3"/>
  <c r="AY269" i="3" s="1"/>
  <c r="AG270" i="3"/>
  <c r="AO270" i="3"/>
  <c r="AT269" i="3"/>
  <c r="BJ266" i="3"/>
  <c r="BK266" i="3" s="1"/>
  <c r="AH270" i="3"/>
  <c r="B271" i="3"/>
  <c r="A272" i="3"/>
  <c r="AR271" i="3"/>
  <c r="C271" i="3"/>
  <c r="AQ271" i="3"/>
  <c r="D271" i="3"/>
  <c r="G271" i="3"/>
  <c r="H271" i="3" s="1"/>
  <c r="BN271" i="3" s="1"/>
  <c r="F271" i="3"/>
  <c r="BM271" i="3" s="1"/>
  <c r="Q271" i="3"/>
  <c r="S271" i="3"/>
  <c r="O271" i="3"/>
  <c r="U271" i="3"/>
  <c r="M271" i="3"/>
  <c r="AD271" i="3"/>
  <c r="AM271" i="3"/>
  <c r="AE271" i="3"/>
  <c r="AF271" i="3"/>
  <c r="AK271" i="3"/>
  <c r="T271" i="3"/>
  <c r="P271" i="3"/>
  <c r="V271" i="3"/>
  <c r="R271" i="3"/>
  <c r="BA268" i="3"/>
  <c r="AV268" i="3"/>
  <c r="BC268" i="3" s="1"/>
  <c r="AX270" i="3" l="1"/>
  <c r="AG271" i="3"/>
  <c r="AN271" i="3"/>
  <c r="AH271" i="3"/>
  <c r="AQ272" i="3"/>
  <c r="C272" i="3"/>
  <c r="A273" i="3"/>
  <c r="B272" i="3"/>
  <c r="AR272" i="3"/>
  <c r="D272" i="3"/>
  <c r="G272" i="3"/>
  <c r="H272" i="3" s="1"/>
  <c r="F272" i="3"/>
  <c r="BM272" i="3" s="1"/>
  <c r="Q272" i="3"/>
  <c r="S272" i="3"/>
  <c r="O272" i="3"/>
  <c r="U272" i="3"/>
  <c r="AD272" i="3"/>
  <c r="AM272" i="3"/>
  <c r="AE272" i="3"/>
  <c r="AK272" i="3"/>
  <c r="AF272" i="3"/>
  <c r="M272" i="3"/>
  <c r="V272" i="3"/>
  <c r="P272" i="3"/>
  <c r="T272" i="3"/>
  <c r="R272" i="3"/>
  <c r="AU270" i="3"/>
  <c r="AW270" i="3"/>
  <c r="BF268" i="3"/>
  <c r="BJ267" i="3" s="1"/>
  <c r="BK267" i="3" s="1"/>
  <c r="BQ268" i="3"/>
  <c r="BB268" i="3"/>
  <c r="X271" i="3"/>
  <c r="AT270" i="3"/>
  <c r="Y271" i="3"/>
  <c r="Z271" i="3" s="1"/>
  <c r="AV269" i="3"/>
  <c r="BC269" i="3" s="1"/>
  <c r="BA269" i="3"/>
  <c r="BD268" i="3"/>
  <c r="BG268" i="3"/>
  <c r="BH268" i="3" s="1"/>
  <c r="BI268" i="3" s="1"/>
  <c r="AO271" i="3"/>
  <c r="AW271" i="3" s="1"/>
  <c r="BN272" i="3" l="1"/>
  <c r="AY270" i="3"/>
  <c r="AU271" i="3"/>
  <c r="AO272" i="3"/>
  <c r="AT271" i="3"/>
  <c r="Y272" i="3"/>
  <c r="Z272" i="3" s="1"/>
  <c r="AH272" i="3"/>
  <c r="BF269" i="3"/>
  <c r="BJ268" i="3" s="1"/>
  <c r="BK268" i="3" s="1"/>
  <c r="BQ269" i="3"/>
  <c r="BB269" i="3"/>
  <c r="BD269" i="3"/>
  <c r="BG269" i="3"/>
  <c r="BH269" i="3" s="1"/>
  <c r="BI269" i="3" s="1"/>
  <c r="X272" i="3"/>
  <c r="AG272" i="3"/>
  <c r="AT272" i="3" s="1"/>
  <c r="AN272" i="3"/>
  <c r="B273" i="3"/>
  <c r="AQ273" i="3"/>
  <c r="AR273" i="3"/>
  <c r="A274" i="3"/>
  <c r="D273" i="3"/>
  <c r="C273" i="3"/>
  <c r="F273" i="3"/>
  <c r="BM273" i="3" s="1"/>
  <c r="G273" i="3"/>
  <c r="H273" i="3" s="1"/>
  <c r="BN273" i="3" s="1"/>
  <c r="Q273" i="3"/>
  <c r="S273" i="3"/>
  <c r="O273" i="3"/>
  <c r="U273" i="3"/>
  <c r="AK273" i="3"/>
  <c r="AM273" i="3"/>
  <c r="AD273" i="3"/>
  <c r="AE273" i="3"/>
  <c r="M273" i="3"/>
  <c r="AF273" i="3"/>
  <c r="V273" i="3"/>
  <c r="R273" i="3"/>
  <c r="T273" i="3"/>
  <c r="P273" i="3"/>
  <c r="AV271" i="3"/>
  <c r="BA270" i="3"/>
  <c r="AV270" i="3"/>
  <c r="BC270" i="3" s="1"/>
  <c r="AX271" i="3"/>
  <c r="BA271" i="3" s="1"/>
  <c r="AN273" i="3" l="1"/>
  <c r="AX272" i="3"/>
  <c r="AG273" i="3"/>
  <c r="Y273" i="3"/>
  <c r="Z273" i="3" s="1"/>
  <c r="BF271" i="3"/>
  <c r="BQ271" i="3"/>
  <c r="BB271" i="3"/>
  <c r="X273" i="3"/>
  <c r="AW272" i="3"/>
  <c r="AR274" i="3"/>
  <c r="AQ274" i="3"/>
  <c r="B274" i="3"/>
  <c r="A275" i="3"/>
  <c r="C274" i="3"/>
  <c r="D274" i="3"/>
  <c r="F274" i="3"/>
  <c r="BM274" i="3" s="1"/>
  <c r="G274" i="3"/>
  <c r="H274" i="3" s="1"/>
  <c r="BN274" i="3" s="1"/>
  <c r="Q274" i="3"/>
  <c r="S274" i="3"/>
  <c r="O274" i="3"/>
  <c r="U274" i="3"/>
  <c r="AM274" i="3"/>
  <c r="AK274" i="3"/>
  <c r="AD274" i="3"/>
  <c r="AF274" i="3"/>
  <c r="M274" i="3"/>
  <c r="AE274" i="3"/>
  <c r="P274" i="3"/>
  <c r="T274" i="3"/>
  <c r="R274" i="3"/>
  <c r="V274" i="3"/>
  <c r="AU272" i="3"/>
  <c r="AV272" i="3" s="1"/>
  <c r="BD270" i="3"/>
  <c r="BG270" i="3"/>
  <c r="BH270" i="3" s="1"/>
  <c r="BI270" i="3" s="1"/>
  <c r="AO273" i="3"/>
  <c r="AY271" i="3"/>
  <c r="BC271" i="3" s="1"/>
  <c r="AH273" i="3"/>
  <c r="AU273" i="3" s="1"/>
  <c r="BQ270" i="3"/>
  <c r="BB270" i="3"/>
  <c r="BF270" i="3"/>
  <c r="BJ269" i="3" s="1"/>
  <c r="BK269" i="3" s="1"/>
  <c r="AY272" i="3" l="1"/>
  <c r="BC272" i="3" s="1"/>
  <c r="AN274" i="3"/>
  <c r="BD271" i="3"/>
  <c r="BG271" i="3"/>
  <c r="BH271" i="3" s="1"/>
  <c r="BI271" i="3" s="1"/>
  <c r="Y274" i="3"/>
  <c r="Z274" i="3" s="1"/>
  <c r="AH274" i="3"/>
  <c r="AG274" i="3"/>
  <c r="X274" i="3"/>
  <c r="BA272" i="3"/>
  <c r="AO274" i="3"/>
  <c r="AR275" i="3"/>
  <c r="D275" i="3"/>
  <c r="C275" i="3"/>
  <c r="AQ275" i="3"/>
  <c r="B275" i="3"/>
  <c r="A276" i="3"/>
  <c r="G275" i="3"/>
  <c r="H275" i="3" s="1"/>
  <c r="BN275" i="3" s="1"/>
  <c r="F275" i="3"/>
  <c r="BM275" i="3" s="1"/>
  <c r="Q275" i="3"/>
  <c r="S275" i="3"/>
  <c r="O275" i="3"/>
  <c r="U275" i="3"/>
  <c r="AE275" i="3"/>
  <c r="M275" i="3"/>
  <c r="AK275" i="3"/>
  <c r="AM275" i="3"/>
  <c r="AF275" i="3"/>
  <c r="AD275" i="3"/>
  <c r="T275" i="3"/>
  <c r="V275" i="3"/>
  <c r="P275" i="3"/>
  <c r="R275" i="3"/>
  <c r="AW273" i="3"/>
  <c r="AX273" i="3"/>
  <c r="AT273" i="3"/>
  <c r="BJ270" i="3"/>
  <c r="BK270" i="3" s="1"/>
  <c r="BG272" i="3" l="1"/>
  <c r="BH272" i="3" s="1"/>
  <c r="BI272" i="3" s="1"/>
  <c r="BD272" i="3"/>
  <c r="AT274" i="3"/>
  <c r="AN275" i="3"/>
  <c r="AY273" i="3"/>
  <c r="AG275" i="3"/>
  <c r="B276" i="3"/>
  <c r="AQ276" i="3"/>
  <c r="C276" i="3"/>
  <c r="D276" i="3"/>
  <c r="A277" i="3"/>
  <c r="AR276" i="3"/>
  <c r="G276" i="3"/>
  <c r="H276" i="3" s="1"/>
  <c r="BN276" i="3" s="1"/>
  <c r="F276" i="3"/>
  <c r="BM276" i="3" s="1"/>
  <c r="S276" i="3"/>
  <c r="Q276" i="3"/>
  <c r="O276" i="3"/>
  <c r="U276" i="3"/>
  <c r="AK276" i="3"/>
  <c r="M276" i="3"/>
  <c r="AE276" i="3"/>
  <c r="AD276" i="3"/>
  <c r="AF276" i="3"/>
  <c r="AM276" i="3"/>
  <c r="R276" i="3"/>
  <c r="V276" i="3"/>
  <c r="P276" i="3"/>
  <c r="T276" i="3"/>
  <c r="Y275" i="3"/>
  <c r="Z275" i="3" s="1"/>
  <c r="AO275" i="3"/>
  <c r="AX274" i="3"/>
  <c r="AU274" i="3"/>
  <c r="X275" i="3"/>
  <c r="AW274" i="3"/>
  <c r="AH275" i="3"/>
  <c r="BF272" i="3"/>
  <c r="BJ271" i="3" s="1"/>
  <c r="BK271" i="3" s="1"/>
  <c r="BQ272" i="3"/>
  <c r="BB272" i="3"/>
  <c r="AV273" i="3"/>
  <c r="BC273" i="3" s="1"/>
  <c r="BA273" i="3"/>
  <c r="AV274" i="3" l="1"/>
  <c r="AN276" i="3"/>
  <c r="AU275" i="3"/>
  <c r="AT275" i="3"/>
  <c r="BA274" i="3"/>
  <c r="Y276" i="3"/>
  <c r="Z276" i="3" s="1"/>
  <c r="AV275" i="3"/>
  <c r="AG276" i="3"/>
  <c r="BQ274" i="3"/>
  <c r="BB274" i="3"/>
  <c r="BF274" i="3"/>
  <c r="AO276" i="3"/>
  <c r="BD273" i="3"/>
  <c r="BG273" i="3"/>
  <c r="BH273" i="3" s="1"/>
  <c r="BI273" i="3" s="1"/>
  <c r="AH276" i="3"/>
  <c r="X276" i="3"/>
  <c r="BQ273" i="3"/>
  <c r="BB273" i="3"/>
  <c r="BF273" i="3"/>
  <c r="BJ272" i="3" s="1"/>
  <c r="BK272" i="3" s="1"/>
  <c r="C277" i="3"/>
  <c r="AR277" i="3"/>
  <c r="D277" i="3"/>
  <c r="B277" i="3"/>
  <c r="AQ277" i="3"/>
  <c r="A278" i="3"/>
  <c r="G277" i="3"/>
  <c r="H277" i="3" s="1"/>
  <c r="BN277" i="3" s="1"/>
  <c r="F277" i="3"/>
  <c r="BM277" i="3" s="1"/>
  <c r="S277" i="3"/>
  <c r="Q277" i="3"/>
  <c r="O277" i="3"/>
  <c r="U277" i="3"/>
  <c r="AE277" i="3"/>
  <c r="AM277" i="3"/>
  <c r="AD277" i="3"/>
  <c r="M277" i="3"/>
  <c r="AF277" i="3"/>
  <c r="AK277" i="3"/>
  <c r="V277" i="3"/>
  <c r="P277" i="3"/>
  <c r="R277" i="3"/>
  <c r="T277" i="3"/>
  <c r="AX275" i="3"/>
  <c r="AY274" i="3"/>
  <c r="BC274" i="3" s="1"/>
  <c r="AW275" i="3"/>
  <c r="AX276" i="3" l="1"/>
  <c r="BA275" i="3"/>
  <c r="BB275" i="3" s="1"/>
  <c r="AG277" i="3"/>
  <c r="AN277" i="3"/>
  <c r="BD274" i="3"/>
  <c r="BG274" i="3"/>
  <c r="BH274" i="3" s="1"/>
  <c r="BI274" i="3" s="1"/>
  <c r="AU276" i="3"/>
  <c r="AR278" i="3"/>
  <c r="A279" i="3"/>
  <c r="D278" i="3"/>
  <c r="B278" i="3"/>
  <c r="AQ278" i="3"/>
  <c r="C278" i="3"/>
  <c r="G278" i="3"/>
  <c r="H278" i="3" s="1"/>
  <c r="BN278" i="3" s="1"/>
  <c r="F278" i="3"/>
  <c r="BM278" i="3" s="1"/>
  <c r="Q278" i="3"/>
  <c r="S278" i="3"/>
  <c r="O278" i="3"/>
  <c r="U278" i="3"/>
  <c r="AE278" i="3"/>
  <c r="AD278" i="3"/>
  <c r="AF278" i="3"/>
  <c r="M278" i="3"/>
  <c r="AM278" i="3"/>
  <c r="AK278" i="3"/>
  <c r="V278" i="3"/>
  <c r="T278" i="3"/>
  <c r="R278" i="3"/>
  <c r="P278" i="3"/>
  <c r="Y277" i="3"/>
  <c r="Z277" i="3" s="1"/>
  <c r="AY275" i="3"/>
  <c r="BC275" i="3" s="1"/>
  <c r="AW276" i="3"/>
  <c r="AT276" i="3"/>
  <c r="AO277" i="3"/>
  <c r="X277" i="3"/>
  <c r="BJ273" i="3"/>
  <c r="BK273" i="3" s="1"/>
  <c r="AH277" i="3"/>
  <c r="AY276" i="3" l="1"/>
  <c r="AX277" i="3"/>
  <c r="AO278" i="3"/>
  <c r="BF275" i="3"/>
  <c r="BJ274" i="3" s="1"/>
  <c r="BK274" i="3" s="1"/>
  <c r="BQ275" i="3"/>
  <c r="AW277" i="3"/>
  <c r="AH278" i="3"/>
  <c r="AN278" i="3"/>
  <c r="X278" i="3"/>
  <c r="Y278" i="3"/>
  <c r="Z278" i="3" s="1"/>
  <c r="AU277" i="3"/>
  <c r="AG278" i="3"/>
  <c r="AW278" i="3" s="1"/>
  <c r="AV276" i="3"/>
  <c r="BC276" i="3" s="1"/>
  <c r="BA276" i="3"/>
  <c r="BD275" i="3"/>
  <c r="BG275" i="3"/>
  <c r="BH275" i="3" s="1"/>
  <c r="BI275" i="3" s="1"/>
  <c r="A280" i="3"/>
  <c r="D279" i="3"/>
  <c r="B279" i="3"/>
  <c r="AR279" i="3"/>
  <c r="C279" i="3"/>
  <c r="AQ279" i="3"/>
  <c r="G279" i="3"/>
  <c r="H279" i="3" s="1"/>
  <c r="BN279" i="3" s="1"/>
  <c r="F279" i="3"/>
  <c r="BM279" i="3" s="1"/>
  <c r="Q279" i="3"/>
  <c r="S279" i="3"/>
  <c r="O279" i="3"/>
  <c r="U279" i="3"/>
  <c r="AK279" i="3"/>
  <c r="M279" i="3"/>
  <c r="AM279" i="3"/>
  <c r="AD279" i="3"/>
  <c r="AF279" i="3"/>
  <c r="AE279" i="3"/>
  <c r="T279" i="3"/>
  <c r="P279" i="3"/>
  <c r="V279" i="3"/>
  <c r="R279" i="3"/>
  <c r="AT277" i="3"/>
  <c r="AY277" i="3" l="1"/>
  <c r="AN279" i="3"/>
  <c r="AT278" i="3"/>
  <c r="AX278" i="3"/>
  <c r="AY278" i="3" s="1"/>
  <c r="AH279" i="3"/>
  <c r="X279" i="3"/>
  <c r="BQ276" i="3"/>
  <c r="BB276" i="3"/>
  <c r="BF276" i="3"/>
  <c r="BJ275" i="3" s="1"/>
  <c r="BK275" i="3" s="1"/>
  <c r="C280" i="3"/>
  <c r="A281" i="3"/>
  <c r="B280" i="3"/>
  <c r="AR280" i="3"/>
  <c r="AQ280" i="3"/>
  <c r="D280" i="3"/>
  <c r="G280" i="3"/>
  <c r="H280" i="3" s="1"/>
  <c r="BN280" i="3" s="1"/>
  <c r="F280" i="3"/>
  <c r="BM280" i="3" s="1"/>
  <c r="S280" i="3"/>
  <c r="Q280" i="3"/>
  <c r="O280" i="3"/>
  <c r="U280" i="3"/>
  <c r="AK280" i="3"/>
  <c r="AD280" i="3"/>
  <c r="AM280" i="3"/>
  <c r="AE280" i="3"/>
  <c r="M280" i="3"/>
  <c r="AF280" i="3"/>
  <c r="P280" i="3"/>
  <c r="V280" i="3"/>
  <c r="T280" i="3"/>
  <c r="R280" i="3"/>
  <c r="BD276" i="3"/>
  <c r="BG276" i="3"/>
  <c r="BH276" i="3" s="1"/>
  <c r="BI276" i="3" s="1"/>
  <c r="AV277" i="3"/>
  <c r="BA277" i="3"/>
  <c r="AO279" i="3"/>
  <c r="Y279" i="3"/>
  <c r="Z279" i="3" s="1"/>
  <c r="AG279" i="3"/>
  <c r="AU278" i="3"/>
  <c r="AV278" i="3" s="1"/>
  <c r="BC277" i="3" l="1"/>
  <c r="BC278" i="3"/>
  <c r="AN280" i="3"/>
  <c r="AW279" i="3"/>
  <c r="BD278" i="3"/>
  <c r="BG278" i="3"/>
  <c r="BH278" i="3" s="1"/>
  <c r="BI278" i="3" s="1"/>
  <c r="AH280" i="3"/>
  <c r="BB277" i="3"/>
  <c r="BF277" i="3"/>
  <c r="BJ276" i="3" s="1"/>
  <c r="BK276" i="3" s="1"/>
  <c r="BQ277" i="3"/>
  <c r="AO280" i="3"/>
  <c r="BA278" i="3"/>
  <c r="BD277" i="3"/>
  <c r="BG277" i="3"/>
  <c r="BH277" i="3" s="1"/>
  <c r="BI277" i="3" s="1"/>
  <c r="AG280" i="3"/>
  <c r="AR281" i="3"/>
  <c r="B281" i="3"/>
  <c r="A282" i="3"/>
  <c r="C281" i="3"/>
  <c r="AQ281" i="3"/>
  <c r="D281" i="3"/>
  <c r="F281" i="3"/>
  <c r="BM281" i="3" s="1"/>
  <c r="G281" i="3"/>
  <c r="H281" i="3" s="1"/>
  <c r="BN281" i="3" s="1"/>
  <c r="Q281" i="3"/>
  <c r="S281" i="3"/>
  <c r="O281" i="3"/>
  <c r="U281" i="3"/>
  <c r="AD281" i="3"/>
  <c r="AM281" i="3"/>
  <c r="AK281" i="3"/>
  <c r="AF281" i="3"/>
  <c r="M281" i="3"/>
  <c r="AE281" i="3"/>
  <c r="P281" i="3"/>
  <c r="T281" i="3"/>
  <c r="V281" i="3"/>
  <c r="R281" i="3"/>
  <c r="AU279" i="3"/>
  <c r="Y280" i="3"/>
  <c r="Z280" i="3" s="1"/>
  <c r="X280" i="3"/>
  <c r="AT279" i="3"/>
  <c r="AX279" i="3"/>
  <c r="AY279" i="3" s="1"/>
  <c r="AW280" i="3" l="1"/>
  <c r="AO281" i="3"/>
  <c r="AN281" i="3"/>
  <c r="AH281" i="3"/>
  <c r="BQ278" i="3"/>
  <c r="BB278" i="3"/>
  <c r="BF278" i="3"/>
  <c r="BJ277" i="3" s="1"/>
  <c r="BK277" i="3" s="1"/>
  <c r="AR282" i="3"/>
  <c r="B282" i="3"/>
  <c r="AQ282" i="3"/>
  <c r="A283" i="3"/>
  <c r="C282" i="3"/>
  <c r="D282" i="3"/>
  <c r="F282" i="3"/>
  <c r="BM282" i="3" s="1"/>
  <c r="G282" i="3"/>
  <c r="H282" i="3" s="1"/>
  <c r="BN282" i="3" s="1"/>
  <c r="Q282" i="3"/>
  <c r="S282" i="3"/>
  <c r="O282" i="3"/>
  <c r="U282" i="3"/>
  <c r="AM282" i="3"/>
  <c r="AD282" i="3"/>
  <c r="M282" i="3"/>
  <c r="AK282" i="3"/>
  <c r="AE282" i="3"/>
  <c r="AF282" i="3"/>
  <c r="V282" i="3"/>
  <c r="R282" i="3"/>
  <c r="T282" i="3"/>
  <c r="P282" i="3"/>
  <c r="AU280" i="3"/>
  <c r="AG281" i="3"/>
  <c r="AV279" i="3"/>
  <c r="BC279" i="3" s="1"/>
  <c r="BA279" i="3"/>
  <c r="AX280" i="3"/>
  <c r="X281" i="3"/>
  <c r="AT280" i="3"/>
  <c r="Y281" i="3"/>
  <c r="Z281" i="3" s="1"/>
  <c r="AO282" i="3" l="1"/>
  <c r="AY280" i="3"/>
  <c r="AW281" i="3"/>
  <c r="Y282" i="3"/>
  <c r="Z282" i="3" s="1"/>
  <c r="BD279" i="3"/>
  <c r="BG279" i="3"/>
  <c r="BH279" i="3" s="1"/>
  <c r="BI279" i="3" s="1"/>
  <c r="X282" i="3"/>
  <c r="AU281" i="3"/>
  <c r="BQ279" i="3"/>
  <c r="BB279" i="3"/>
  <c r="BF279" i="3"/>
  <c r="BJ278" i="3" s="1"/>
  <c r="BK278" i="3" s="1"/>
  <c r="AH282" i="3"/>
  <c r="B283" i="3"/>
  <c r="A284" i="3"/>
  <c r="D283" i="3"/>
  <c r="C283" i="3"/>
  <c r="AR283" i="3"/>
  <c r="AQ283" i="3"/>
  <c r="F283" i="3"/>
  <c r="BM283" i="3" s="1"/>
  <c r="G283" i="3"/>
  <c r="H283" i="3" s="1"/>
  <c r="BN283" i="3" s="1"/>
  <c r="Q283" i="3"/>
  <c r="S283" i="3"/>
  <c r="O283" i="3"/>
  <c r="U283" i="3"/>
  <c r="AK283" i="3"/>
  <c r="AE283" i="3"/>
  <c r="AF283" i="3"/>
  <c r="M283" i="3"/>
  <c r="AD283" i="3"/>
  <c r="AM283" i="3"/>
  <c r="T283" i="3"/>
  <c r="P283" i="3"/>
  <c r="R283" i="3"/>
  <c r="V283" i="3"/>
  <c r="BA280" i="3"/>
  <c r="AV280" i="3"/>
  <c r="BC280" i="3" s="1"/>
  <c r="AT281" i="3"/>
  <c r="AG282" i="3"/>
  <c r="AN282" i="3"/>
  <c r="AX281" i="3"/>
  <c r="AY281" i="3" s="1"/>
  <c r="AN283" i="3" l="1"/>
  <c r="AX282" i="3"/>
  <c r="AG283" i="3"/>
  <c r="AO283" i="3"/>
  <c r="AH283" i="3"/>
  <c r="AU283" i="3" s="1"/>
  <c r="A285" i="3"/>
  <c r="C284" i="3"/>
  <c r="D284" i="3"/>
  <c r="AQ284" i="3"/>
  <c r="B284" i="3"/>
  <c r="AR284" i="3"/>
  <c r="G284" i="3"/>
  <c r="H284" i="3" s="1"/>
  <c r="BN284" i="3" s="1"/>
  <c r="F284" i="3"/>
  <c r="BM284" i="3" s="1"/>
  <c r="Q284" i="3"/>
  <c r="S284" i="3"/>
  <c r="O284" i="3"/>
  <c r="U284" i="3"/>
  <c r="AM284" i="3"/>
  <c r="AD284" i="3"/>
  <c r="AK284" i="3"/>
  <c r="M284" i="3"/>
  <c r="AF284" i="3"/>
  <c r="AE284" i="3"/>
  <c r="R284" i="3"/>
  <c r="V284" i="3"/>
  <c r="P284" i="3"/>
  <c r="T284" i="3"/>
  <c r="AV281" i="3"/>
  <c r="BC281" i="3" s="1"/>
  <c r="BA281" i="3"/>
  <c r="X283" i="3"/>
  <c r="AT282" i="3"/>
  <c r="AW282" i="3"/>
  <c r="AU282" i="3"/>
  <c r="BD280" i="3"/>
  <c r="BG280" i="3"/>
  <c r="BH280" i="3" s="1"/>
  <c r="BI280" i="3" s="1"/>
  <c r="BF280" i="3"/>
  <c r="BJ279" i="3" s="1"/>
  <c r="BK279" i="3" s="1"/>
  <c r="BB280" i="3"/>
  <c r="BQ280" i="3"/>
  <c r="Y283" i="3"/>
  <c r="Z283" i="3" s="1"/>
  <c r="AX283" i="3" l="1"/>
  <c r="AY282" i="3"/>
  <c r="AO284" i="3"/>
  <c r="AG284" i="3"/>
  <c r="BD281" i="3"/>
  <c r="BG281" i="3"/>
  <c r="BH281" i="3" s="1"/>
  <c r="BI281" i="3" s="1"/>
  <c r="BQ281" i="3"/>
  <c r="BF281" i="3"/>
  <c r="BJ280" i="3" s="1"/>
  <c r="BK280" i="3" s="1"/>
  <c r="BB281" i="3"/>
  <c r="AH284" i="3"/>
  <c r="X284" i="3"/>
  <c r="AR285" i="3"/>
  <c r="B285" i="3"/>
  <c r="A286" i="3"/>
  <c r="C285" i="3"/>
  <c r="AQ285" i="3"/>
  <c r="D285" i="3"/>
  <c r="F285" i="3"/>
  <c r="BM285" i="3" s="1"/>
  <c r="G285" i="3"/>
  <c r="H285" i="3" s="1"/>
  <c r="BN285" i="3" s="1"/>
  <c r="S285" i="3"/>
  <c r="Q285" i="3"/>
  <c r="O285" i="3"/>
  <c r="U285" i="3"/>
  <c r="AM285" i="3"/>
  <c r="AD285" i="3"/>
  <c r="AK285" i="3"/>
  <c r="AF285" i="3"/>
  <c r="AE285" i="3"/>
  <c r="M285" i="3"/>
  <c r="T285" i="3"/>
  <c r="P285" i="3"/>
  <c r="R285" i="3"/>
  <c r="V285" i="3"/>
  <c r="AN284" i="3"/>
  <c r="Y284" i="3"/>
  <c r="Z284" i="3" s="1"/>
  <c r="AT283" i="3"/>
  <c r="BA282" i="3"/>
  <c r="AV282" i="3"/>
  <c r="BC282" i="3" s="1"/>
  <c r="AW283" i="3"/>
  <c r="AY283" i="3" s="1"/>
  <c r="AO285" i="3" l="1"/>
  <c r="AG285" i="3"/>
  <c r="AX284" i="3"/>
  <c r="B286" i="3"/>
  <c r="AQ286" i="3"/>
  <c r="A287" i="3"/>
  <c r="D286" i="3"/>
  <c r="AR286" i="3"/>
  <c r="C286" i="3"/>
  <c r="F286" i="3"/>
  <c r="BM286" i="3" s="1"/>
  <c r="G286" i="3"/>
  <c r="H286" i="3" s="1"/>
  <c r="BN286" i="3" s="1"/>
  <c r="Q286" i="3"/>
  <c r="S286" i="3"/>
  <c r="O286" i="3"/>
  <c r="U286" i="3"/>
  <c r="AK286" i="3"/>
  <c r="AD286" i="3"/>
  <c r="AM286" i="3"/>
  <c r="AE286" i="3"/>
  <c r="M286" i="3"/>
  <c r="AF286" i="3"/>
  <c r="P286" i="3"/>
  <c r="R286" i="3"/>
  <c r="T286" i="3"/>
  <c r="V286" i="3"/>
  <c r="AN285" i="3"/>
  <c r="BA283" i="3"/>
  <c r="AV283" i="3"/>
  <c r="BC283" i="3" s="1"/>
  <c r="BQ282" i="3"/>
  <c r="BF282" i="3"/>
  <c r="BJ281" i="3" s="1"/>
  <c r="BK281" i="3" s="1"/>
  <c r="BB282" i="3"/>
  <c r="AT284" i="3"/>
  <c r="Y285" i="3"/>
  <c r="Z285" i="3" s="1"/>
  <c r="X285" i="3"/>
  <c r="AU284" i="3"/>
  <c r="AH285" i="3"/>
  <c r="AT285" i="3" s="1"/>
  <c r="BD282" i="3"/>
  <c r="BG282" i="3"/>
  <c r="BH282" i="3" s="1"/>
  <c r="BI282" i="3" s="1"/>
  <c r="AW284" i="3"/>
  <c r="AY284" i="3" s="1"/>
  <c r="AN286" i="3" l="1"/>
  <c r="X286" i="3"/>
  <c r="BB283" i="3"/>
  <c r="BF283" i="3"/>
  <c r="BJ282" i="3" s="1"/>
  <c r="BK282" i="3" s="1"/>
  <c r="BQ283" i="3"/>
  <c r="BD283" i="3"/>
  <c r="BG283" i="3"/>
  <c r="BH283" i="3" s="1"/>
  <c r="BI283" i="3" s="1"/>
  <c r="AG286" i="3"/>
  <c r="AX285" i="3"/>
  <c r="Y286" i="3"/>
  <c r="Z286" i="3" s="1"/>
  <c r="AV284" i="3"/>
  <c r="BC284" i="3" s="1"/>
  <c r="BA284" i="3"/>
  <c r="AO286" i="3"/>
  <c r="AH286" i="3"/>
  <c r="AU286" i="3" s="1"/>
  <c r="B287" i="3"/>
  <c r="A288" i="3"/>
  <c r="AR287" i="3"/>
  <c r="D287" i="3"/>
  <c r="AQ287" i="3"/>
  <c r="C287" i="3"/>
  <c r="G287" i="3"/>
  <c r="H287" i="3" s="1"/>
  <c r="BN287" i="3" s="1"/>
  <c r="F287" i="3"/>
  <c r="Q287" i="3"/>
  <c r="S287" i="3"/>
  <c r="O287" i="3"/>
  <c r="U287" i="3"/>
  <c r="AD287" i="3"/>
  <c r="M287" i="3"/>
  <c r="AK287" i="3"/>
  <c r="AE287" i="3"/>
  <c r="AM287" i="3"/>
  <c r="AF287" i="3"/>
  <c r="V287" i="3"/>
  <c r="P287" i="3"/>
  <c r="T287" i="3"/>
  <c r="R287" i="3"/>
  <c r="AU285" i="3"/>
  <c r="AW285" i="3"/>
  <c r="BM287" i="3" l="1"/>
  <c r="AN287" i="3"/>
  <c r="AH287" i="3"/>
  <c r="BA285" i="3"/>
  <c r="BQ285" i="3" s="1"/>
  <c r="X287" i="3"/>
  <c r="BQ284" i="3"/>
  <c r="BB284" i="3"/>
  <c r="BF284" i="3"/>
  <c r="BJ283" i="3" s="1"/>
  <c r="BK283" i="3" s="1"/>
  <c r="AW286" i="3"/>
  <c r="AY286" i="3" s="1"/>
  <c r="Y287" i="3"/>
  <c r="Z287" i="3" s="1"/>
  <c r="AQ288" i="3"/>
  <c r="D288" i="3"/>
  <c r="A289" i="3"/>
  <c r="B288" i="3"/>
  <c r="C288" i="3"/>
  <c r="AR288" i="3"/>
  <c r="G288" i="3"/>
  <c r="H288" i="3" s="1"/>
  <c r="BN288" i="3" s="1"/>
  <c r="F288" i="3"/>
  <c r="BM288" i="3" s="1"/>
  <c r="Q288" i="3"/>
  <c r="S288" i="3"/>
  <c r="O288" i="3"/>
  <c r="U288" i="3"/>
  <c r="AM288" i="3"/>
  <c r="AD288" i="3"/>
  <c r="AE288" i="3"/>
  <c r="M288" i="3"/>
  <c r="AF288" i="3"/>
  <c r="AK288" i="3"/>
  <c r="R288" i="3"/>
  <c r="T288" i="3"/>
  <c r="V288" i="3"/>
  <c r="P288" i="3"/>
  <c r="AT286" i="3"/>
  <c r="BD284" i="3"/>
  <c r="BG284" i="3"/>
  <c r="BH284" i="3" s="1"/>
  <c r="BI284" i="3" s="1"/>
  <c r="AX286" i="3"/>
  <c r="AY285" i="3"/>
  <c r="AV285" i="3"/>
  <c r="AG287" i="3"/>
  <c r="AO287" i="3"/>
  <c r="AO288" i="3" l="1"/>
  <c r="BF285" i="3"/>
  <c r="BJ284" i="3" s="1"/>
  <c r="BK284" i="3" s="1"/>
  <c r="BB285" i="3"/>
  <c r="AW287" i="3"/>
  <c r="AY287" i="3" s="1"/>
  <c r="AG288" i="3"/>
  <c r="B289" i="3"/>
  <c r="AQ289" i="3"/>
  <c r="AR289" i="3"/>
  <c r="A290" i="3"/>
  <c r="D289" i="3"/>
  <c r="C289" i="3"/>
  <c r="G289" i="3"/>
  <c r="H289" i="3" s="1"/>
  <c r="BN289" i="3" s="1"/>
  <c r="F289" i="3"/>
  <c r="BM289" i="3" s="1"/>
  <c r="S289" i="3"/>
  <c r="Q289" i="3"/>
  <c r="O289" i="3"/>
  <c r="U289" i="3"/>
  <c r="AK289" i="3"/>
  <c r="AM289" i="3"/>
  <c r="AD289" i="3"/>
  <c r="AF289" i="3"/>
  <c r="AE289" i="3"/>
  <c r="M289" i="3"/>
  <c r="T289" i="3"/>
  <c r="V289" i="3"/>
  <c r="R289" i="3"/>
  <c r="P289" i="3"/>
  <c r="AN288" i="3"/>
  <c r="AH288" i="3"/>
  <c r="X288" i="3"/>
  <c r="AT287" i="3"/>
  <c r="AU287" i="3"/>
  <c r="AX287" i="3"/>
  <c r="Y288" i="3"/>
  <c r="Z288" i="3" s="1"/>
  <c r="BC285" i="3"/>
  <c r="AV286" i="3"/>
  <c r="BC286" i="3" s="1"/>
  <c r="BA286" i="3"/>
  <c r="AX288" i="3" l="1"/>
  <c r="AW288" i="3"/>
  <c r="AT288" i="3"/>
  <c r="AN289" i="3"/>
  <c r="AG289" i="3"/>
  <c r="AH289" i="3"/>
  <c r="AU289" i="3" s="1"/>
  <c r="X289" i="3"/>
  <c r="BQ286" i="3"/>
  <c r="BB286" i="3"/>
  <c r="BF286" i="3"/>
  <c r="BJ285" i="3" s="1"/>
  <c r="AY288" i="3"/>
  <c r="BD286" i="3"/>
  <c r="BG286" i="3"/>
  <c r="BH286" i="3" s="1"/>
  <c r="BI286" i="3" s="1"/>
  <c r="Y289" i="3"/>
  <c r="Z289" i="3" s="1"/>
  <c r="AO289" i="3"/>
  <c r="AW289" i="3" s="1"/>
  <c r="AT289" i="3"/>
  <c r="AV287" i="3"/>
  <c r="BC287" i="3" s="1"/>
  <c r="BA287" i="3"/>
  <c r="AU288" i="3"/>
  <c r="AV288" i="3" s="1"/>
  <c r="AR290" i="3"/>
  <c r="AQ290" i="3"/>
  <c r="B290" i="3"/>
  <c r="A291" i="3"/>
  <c r="C290" i="3"/>
  <c r="D290" i="3"/>
  <c r="G290" i="3"/>
  <c r="H290" i="3" s="1"/>
  <c r="BN290" i="3" s="1"/>
  <c r="F290" i="3"/>
  <c r="BM290" i="3" s="1"/>
  <c r="S290" i="3"/>
  <c r="Q290" i="3"/>
  <c r="O290" i="3"/>
  <c r="U290" i="3"/>
  <c r="AK290" i="3"/>
  <c r="M290" i="3"/>
  <c r="AF290" i="3"/>
  <c r="AE290" i="3"/>
  <c r="AD290" i="3"/>
  <c r="AM290" i="3"/>
  <c r="T290" i="3"/>
  <c r="R290" i="3"/>
  <c r="P290" i="3"/>
  <c r="V290" i="3"/>
  <c r="BD285" i="3"/>
  <c r="BG285" i="3"/>
  <c r="BH285" i="3" s="1"/>
  <c r="BI285" i="3" s="1"/>
  <c r="BC288" i="3" l="1"/>
  <c r="BK285" i="3"/>
  <c r="AO290" i="3"/>
  <c r="AH290" i="3"/>
  <c r="BD288" i="3"/>
  <c r="BG288" i="3"/>
  <c r="BH288" i="3" s="1"/>
  <c r="BI288" i="3" s="1"/>
  <c r="AR291" i="3"/>
  <c r="D291" i="3"/>
  <c r="C291" i="3"/>
  <c r="AQ291" i="3"/>
  <c r="B291" i="3"/>
  <c r="A292" i="3"/>
  <c r="G291" i="3"/>
  <c r="H291" i="3" s="1"/>
  <c r="BN291" i="3" s="1"/>
  <c r="F291" i="3"/>
  <c r="BM291" i="3" s="1"/>
  <c r="Q291" i="3"/>
  <c r="S291" i="3"/>
  <c r="O291" i="3"/>
  <c r="U291" i="3"/>
  <c r="AK291" i="3"/>
  <c r="AD291" i="3"/>
  <c r="AM291" i="3"/>
  <c r="AF291" i="3"/>
  <c r="M291" i="3"/>
  <c r="AE291" i="3"/>
  <c r="P291" i="3"/>
  <c r="R291" i="3"/>
  <c r="V291" i="3"/>
  <c r="T291" i="3"/>
  <c r="BD287" i="3"/>
  <c r="BG287" i="3"/>
  <c r="BH287" i="3" s="1"/>
  <c r="BI287" i="3" s="1"/>
  <c r="AV289" i="3"/>
  <c r="AN290" i="3"/>
  <c r="Y290" i="3"/>
  <c r="Z290" i="3" s="1"/>
  <c r="X290" i="3"/>
  <c r="BA288" i="3"/>
  <c r="BF287" i="3"/>
  <c r="BJ286" i="3" s="1"/>
  <c r="BK286" i="3" s="1"/>
  <c r="BB287" i="3"/>
  <c r="BQ287" i="3"/>
  <c r="AG290" i="3"/>
  <c r="AX289" i="3"/>
  <c r="AY289" i="3" s="1"/>
  <c r="AX290" i="3" l="1"/>
  <c r="AG291" i="3"/>
  <c r="AT290" i="3"/>
  <c r="AN291" i="3"/>
  <c r="BC289" i="3"/>
  <c r="BG289" i="3" s="1"/>
  <c r="BH289" i="3" s="1"/>
  <c r="BI289" i="3" s="1"/>
  <c r="BA289" i="3"/>
  <c r="BB289" i="3" s="1"/>
  <c r="AO291" i="3"/>
  <c r="AW290" i="3"/>
  <c r="AY290" i="3" s="1"/>
  <c r="AH291" i="3"/>
  <c r="B292" i="3"/>
  <c r="AQ292" i="3"/>
  <c r="C292" i="3"/>
  <c r="D292" i="3"/>
  <c r="A293" i="3"/>
  <c r="AR292" i="3"/>
  <c r="G292" i="3"/>
  <c r="H292" i="3" s="1"/>
  <c r="BN292" i="3" s="1"/>
  <c r="F292" i="3"/>
  <c r="BM292" i="3" s="1"/>
  <c r="Q292" i="3"/>
  <c r="S292" i="3"/>
  <c r="O292" i="3"/>
  <c r="U292" i="3"/>
  <c r="AE292" i="3"/>
  <c r="AD292" i="3"/>
  <c r="AM292" i="3"/>
  <c r="AF292" i="3"/>
  <c r="AK292" i="3"/>
  <c r="M292" i="3"/>
  <c r="T292" i="3"/>
  <c r="V292" i="3"/>
  <c r="P292" i="3"/>
  <c r="R292" i="3"/>
  <c r="X291" i="3"/>
  <c r="Y291" i="3"/>
  <c r="Z291" i="3" s="1"/>
  <c r="AU290" i="3"/>
  <c r="BF288" i="3"/>
  <c r="BJ287" i="3" s="1"/>
  <c r="BK287" i="3" s="1"/>
  <c r="BQ288" i="3"/>
  <c r="BB288" i="3"/>
  <c r="BF289" i="3" l="1"/>
  <c r="BQ289" i="3"/>
  <c r="AX291" i="3"/>
  <c r="BD289" i="3"/>
  <c r="AO292" i="3"/>
  <c r="BA290" i="3"/>
  <c r="BJ288" i="3"/>
  <c r="BK288" i="3" s="1"/>
  <c r="AV290" i="3"/>
  <c r="BC290" i="3" s="1"/>
  <c r="BG290" i="3" s="1"/>
  <c r="BH290" i="3" s="1"/>
  <c r="BI290" i="3" s="1"/>
  <c r="AT291" i="3"/>
  <c r="Y292" i="3"/>
  <c r="Z292" i="3" s="1"/>
  <c r="BB290" i="3"/>
  <c r="BQ290" i="3"/>
  <c r="BF290" i="3"/>
  <c r="BJ289" i="3" s="1"/>
  <c r="BK289" i="3" s="1"/>
  <c r="AN292" i="3"/>
  <c r="D293" i="3"/>
  <c r="AR293" i="3"/>
  <c r="AQ293" i="3"/>
  <c r="B293" i="3"/>
  <c r="A294" i="3"/>
  <c r="C293" i="3"/>
  <c r="F293" i="3"/>
  <c r="BM293" i="3" s="1"/>
  <c r="G293" i="3"/>
  <c r="H293" i="3" s="1"/>
  <c r="BN293" i="3" s="1"/>
  <c r="Q293" i="3"/>
  <c r="S293" i="3"/>
  <c r="O293" i="3"/>
  <c r="U293" i="3"/>
  <c r="AE293" i="3"/>
  <c r="AK293" i="3"/>
  <c r="AM293" i="3"/>
  <c r="AD293" i="3"/>
  <c r="AF293" i="3"/>
  <c r="M293" i="3"/>
  <c r="V293" i="3"/>
  <c r="T293" i="3"/>
  <c r="R293" i="3"/>
  <c r="P293" i="3"/>
  <c r="AH292" i="3"/>
  <c r="AW291" i="3"/>
  <c r="AY291" i="3" s="1"/>
  <c r="AG292" i="3"/>
  <c r="X292" i="3"/>
  <c r="AU291" i="3"/>
  <c r="AV291" i="3" l="1"/>
  <c r="BC291" i="3" s="1"/>
  <c r="AN293" i="3"/>
  <c r="BD290" i="3"/>
  <c r="AG293" i="3"/>
  <c r="AX292" i="3"/>
  <c r="AO293" i="3"/>
  <c r="AW292" i="3"/>
  <c r="AR294" i="3"/>
  <c r="A295" i="3"/>
  <c r="D294" i="3"/>
  <c r="AQ294" i="3"/>
  <c r="B294" i="3"/>
  <c r="C294" i="3"/>
  <c r="F294" i="3"/>
  <c r="BM294" i="3" s="1"/>
  <c r="G294" i="3"/>
  <c r="H294" i="3" s="1"/>
  <c r="BN294" i="3" s="1"/>
  <c r="Q294" i="3"/>
  <c r="S294" i="3"/>
  <c r="O294" i="3"/>
  <c r="U294" i="3"/>
  <c r="AM294" i="3"/>
  <c r="M294" i="3"/>
  <c r="AE294" i="3"/>
  <c r="AK294" i="3"/>
  <c r="AD294" i="3"/>
  <c r="AF294" i="3"/>
  <c r="R294" i="3"/>
  <c r="T294" i="3"/>
  <c r="P294" i="3"/>
  <c r="V294" i="3"/>
  <c r="X293" i="3"/>
  <c r="Y293" i="3"/>
  <c r="Z293" i="3" s="1"/>
  <c r="AH293" i="3"/>
  <c r="AT292" i="3"/>
  <c r="AU292" i="3"/>
  <c r="BA291" i="3"/>
  <c r="AY292" i="3" l="1"/>
  <c r="AX293" i="3"/>
  <c r="AN294" i="3"/>
  <c r="AO294" i="3"/>
  <c r="Y294" i="3"/>
  <c r="Z294" i="3" s="1"/>
  <c r="AH294" i="3"/>
  <c r="AT293" i="3"/>
  <c r="X294" i="3"/>
  <c r="A296" i="3"/>
  <c r="D295" i="3"/>
  <c r="AQ295" i="3"/>
  <c r="B295" i="3"/>
  <c r="AR295" i="3"/>
  <c r="C295" i="3"/>
  <c r="G295" i="3"/>
  <c r="H295" i="3" s="1"/>
  <c r="BN295" i="3" s="1"/>
  <c r="F295" i="3"/>
  <c r="BM295" i="3" s="1"/>
  <c r="Q295" i="3"/>
  <c r="S295" i="3"/>
  <c r="O295" i="3"/>
  <c r="U295" i="3"/>
  <c r="AK295" i="3"/>
  <c r="AE295" i="3"/>
  <c r="AD295" i="3"/>
  <c r="AF295" i="3"/>
  <c r="AM295" i="3"/>
  <c r="M295" i="3"/>
  <c r="T295" i="3"/>
  <c r="P295" i="3"/>
  <c r="R295" i="3"/>
  <c r="V295" i="3"/>
  <c r="AU293" i="3"/>
  <c r="AW293" i="3"/>
  <c r="AG294" i="3"/>
  <c r="BF291" i="3"/>
  <c r="BJ290" i="3" s="1"/>
  <c r="BK290" i="3" s="1"/>
  <c r="BQ291" i="3"/>
  <c r="BB291" i="3"/>
  <c r="AV292" i="3"/>
  <c r="BA292" i="3"/>
  <c r="BD291" i="3"/>
  <c r="BG291" i="3"/>
  <c r="BH291" i="3" s="1"/>
  <c r="BI291" i="3" s="1"/>
  <c r="BC292" i="3" l="1"/>
  <c r="AN295" i="3"/>
  <c r="AY293" i="3"/>
  <c r="Y295" i="3"/>
  <c r="Z295" i="3" s="1"/>
  <c r="AX294" i="3"/>
  <c r="X295" i="3"/>
  <c r="C296" i="3"/>
  <c r="AR296" i="3"/>
  <c r="AQ296" i="3"/>
  <c r="D296" i="3"/>
  <c r="A297" i="3"/>
  <c r="B296" i="3"/>
  <c r="G296" i="3"/>
  <c r="H296" i="3" s="1"/>
  <c r="BN296" i="3" s="1"/>
  <c r="F296" i="3"/>
  <c r="BM296" i="3" s="1"/>
  <c r="S296" i="3"/>
  <c r="Q296" i="3"/>
  <c r="O296" i="3"/>
  <c r="U296" i="3"/>
  <c r="AD296" i="3"/>
  <c r="AE296" i="3"/>
  <c r="AM296" i="3"/>
  <c r="AK296" i="3"/>
  <c r="M296" i="3"/>
  <c r="AF296" i="3"/>
  <c r="T296" i="3"/>
  <c r="P296" i="3"/>
  <c r="V296" i="3"/>
  <c r="R296" i="3"/>
  <c r="AV293" i="3"/>
  <c r="BA293" i="3"/>
  <c r="AT294" i="3"/>
  <c r="AO295" i="3"/>
  <c r="AH295" i="3"/>
  <c r="BD292" i="3"/>
  <c r="BG292" i="3"/>
  <c r="BH292" i="3" s="1"/>
  <c r="BI292" i="3" s="1"/>
  <c r="AW294" i="3"/>
  <c r="AU294" i="3"/>
  <c r="AG295" i="3"/>
  <c r="BB292" i="3"/>
  <c r="BQ292" i="3"/>
  <c r="BF292" i="3"/>
  <c r="BJ291" i="3" s="1"/>
  <c r="BK291" i="3" s="1"/>
  <c r="BC293" i="3" l="1"/>
  <c r="AH296" i="3"/>
  <c r="AY294" i="3"/>
  <c r="AX295" i="3"/>
  <c r="AN296" i="3"/>
  <c r="AU295" i="3"/>
  <c r="AR297" i="3"/>
  <c r="B297" i="3"/>
  <c r="D297" i="3"/>
  <c r="AQ297" i="3"/>
  <c r="C297" i="3"/>
  <c r="A298" i="3"/>
  <c r="F297" i="3"/>
  <c r="BM297" i="3" s="1"/>
  <c r="G297" i="3"/>
  <c r="H297" i="3" s="1"/>
  <c r="BN297" i="3" s="1"/>
  <c r="S297" i="3"/>
  <c r="Q297" i="3"/>
  <c r="O297" i="3"/>
  <c r="U297" i="3"/>
  <c r="AE297" i="3"/>
  <c r="M297" i="3"/>
  <c r="AK297" i="3"/>
  <c r="AM297" i="3"/>
  <c r="AD297" i="3"/>
  <c r="AF297" i="3"/>
  <c r="R297" i="3"/>
  <c r="V297" i="3"/>
  <c r="T297" i="3"/>
  <c r="P297" i="3"/>
  <c r="AW295" i="3"/>
  <c r="BA294" i="3"/>
  <c r="AV294" i="3"/>
  <c r="X296" i="3"/>
  <c r="Y296" i="3"/>
  <c r="Z296" i="3" s="1"/>
  <c r="BD293" i="3"/>
  <c r="BG293" i="3"/>
  <c r="BH293" i="3" s="1"/>
  <c r="BI293" i="3" s="1"/>
  <c r="AG296" i="3"/>
  <c r="AT295" i="3"/>
  <c r="BF293" i="3"/>
  <c r="BJ292" i="3" s="1"/>
  <c r="BK292" i="3" s="1"/>
  <c r="BB293" i="3"/>
  <c r="BQ293" i="3"/>
  <c r="AO296" i="3"/>
  <c r="BC294" i="3" l="1"/>
  <c r="AY295" i="3"/>
  <c r="AT296" i="3"/>
  <c r="AN297" i="3"/>
  <c r="BD294" i="3"/>
  <c r="BG294" i="3"/>
  <c r="BH294" i="3" s="1"/>
  <c r="BI294" i="3" s="1"/>
  <c r="AO297" i="3"/>
  <c r="X297" i="3"/>
  <c r="AH297" i="3"/>
  <c r="AT297" i="3" s="1"/>
  <c r="AR298" i="3"/>
  <c r="B298" i="3"/>
  <c r="AQ298" i="3"/>
  <c r="A299" i="3"/>
  <c r="C298" i="3"/>
  <c r="D298" i="3"/>
  <c r="G298" i="3"/>
  <c r="H298" i="3" s="1"/>
  <c r="BN298" i="3" s="1"/>
  <c r="F298" i="3"/>
  <c r="BM298" i="3" s="1"/>
  <c r="Q298" i="3"/>
  <c r="S298" i="3"/>
  <c r="O298" i="3"/>
  <c r="U298" i="3"/>
  <c r="AM298" i="3"/>
  <c r="AK298" i="3"/>
  <c r="AF298" i="3"/>
  <c r="AD298" i="3"/>
  <c r="M298" i="3"/>
  <c r="AE298" i="3"/>
  <c r="T298" i="3"/>
  <c r="P298" i="3"/>
  <c r="R298" i="3"/>
  <c r="V298" i="3"/>
  <c r="BB294" i="3"/>
  <c r="BF294" i="3"/>
  <c r="BJ293" i="3" s="1"/>
  <c r="BK293" i="3" s="1"/>
  <c r="BQ294" i="3"/>
  <c r="Y297" i="3"/>
  <c r="Z297" i="3" s="1"/>
  <c r="AW296" i="3"/>
  <c r="AU296" i="3"/>
  <c r="AG297" i="3"/>
  <c r="BA295" i="3"/>
  <c r="AV295" i="3"/>
  <c r="BC295" i="3" s="1"/>
  <c r="AX296" i="3"/>
  <c r="AO298" i="3" l="1"/>
  <c r="AG298" i="3"/>
  <c r="AY296" i="3"/>
  <c r="Y298" i="3"/>
  <c r="Z298" i="3" s="1"/>
  <c r="AW297" i="3"/>
  <c r="BA296" i="3"/>
  <c r="BB296" i="3" s="1"/>
  <c r="BG295" i="3"/>
  <c r="BH295" i="3" s="1"/>
  <c r="BI295" i="3" s="1"/>
  <c r="BD295" i="3"/>
  <c r="AX297" i="3"/>
  <c r="AN298" i="3"/>
  <c r="B299" i="3"/>
  <c r="D299" i="3"/>
  <c r="AQ299" i="3"/>
  <c r="A300" i="3"/>
  <c r="AR299" i="3"/>
  <c r="C299" i="3"/>
  <c r="F299" i="3"/>
  <c r="BM299" i="3" s="1"/>
  <c r="G299" i="3"/>
  <c r="H299" i="3" s="1"/>
  <c r="BN299" i="3" s="1"/>
  <c r="Q299" i="3"/>
  <c r="S299" i="3"/>
  <c r="O299" i="3"/>
  <c r="U299" i="3"/>
  <c r="AM299" i="3"/>
  <c r="AK299" i="3"/>
  <c r="M299" i="3"/>
  <c r="AD299" i="3"/>
  <c r="AF299" i="3"/>
  <c r="AE299" i="3"/>
  <c r="R299" i="3"/>
  <c r="V299" i="3"/>
  <c r="P299" i="3"/>
  <c r="T299" i="3"/>
  <c r="X298" i="3"/>
  <c r="BF295" i="3"/>
  <c r="BJ294" i="3" s="1"/>
  <c r="BK294" i="3" s="1"/>
  <c r="BB295" i="3"/>
  <c r="BQ295" i="3"/>
  <c r="AU297" i="3"/>
  <c r="AV297" i="3" s="1"/>
  <c r="AH298" i="3"/>
  <c r="AU298" i="3" s="1"/>
  <c r="AV296" i="3"/>
  <c r="BC296" i="3" s="1"/>
  <c r="AY297" i="3" l="1"/>
  <c r="BQ296" i="3"/>
  <c r="BF296" i="3"/>
  <c r="BJ295" i="3" s="1"/>
  <c r="BK295" i="3" s="1"/>
  <c r="AN299" i="3"/>
  <c r="AW298" i="3"/>
  <c r="BA297" i="3"/>
  <c r="BQ297" i="3" s="1"/>
  <c r="BC297" i="3"/>
  <c r="X299" i="3"/>
  <c r="AH299" i="3"/>
  <c r="AT298" i="3"/>
  <c r="AO299" i="3"/>
  <c r="AG299" i="3"/>
  <c r="BD296" i="3"/>
  <c r="BG296" i="3"/>
  <c r="BH296" i="3" s="1"/>
  <c r="BI296" i="3" s="1"/>
  <c r="A301" i="3"/>
  <c r="C300" i="3"/>
  <c r="B300" i="3"/>
  <c r="AR300" i="3"/>
  <c r="AQ300" i="3"/>
  <c r="D300" i="3"/>
  <c r="F300" i="3"/>
  <c r="BM300" i="3" s="1"/>
  <c r="G300" i="3"/>
  <c r="H300" i="3" s="1"/>
  <c r="Q300" i="3"/>
  <c r="S300" i="3"/>
  <c r="O300" i="3"/>
  <c r="U300" i="3"/>
  <c r="AM300" i="3"/>
  <c r="M300" i="3"/>
  <c r="AF300" i="3"/>
  <c r="AD300" i="3"/>
  <c r="AE300" i="3"/>
  <c r="AK300" i="3"/>
  <c r="V300" i="3"/>
  <c r="P300" i="3"/>
  <c r="R300" i="3"/>
  <c r="T300" i="3"/>
  <c r="Y299" i="3"/>
  <c r="Z299" i="3" s="1"/>
  <c r="AX298" i="3"/>
  <c r="AY298" i="3" l="1"/>
  <c r="BB297" i="3"/>
  <c r="BF297" i="3"/>
  <c r="BJ296" i="3" s="1"/>
  <c r="BK296" i="3" s="1"/>
  <c r="AO300" i="3"/>
  <c r="AW299" i="3"/>
  <c r="AG300" i="3"/>
  <c r="Y300" i="3"/>
  <c r="Z300" i="3" s="1"/>
  <c r="AU299" i="3"/>
  <c r="X300" i="3"/>
  <c r="BN300" i="3"/>
  <c r="AN300" i="3"/>
  <c r="AV298" i="3"/>
  <c r="BC298" i="3" s="1"/>
  <c r="BA298" i="3"/>
  <c r="AH300" i="3"/>
  <c r="AX299" i="3"/>
  <c r="AY299" i="3" s="1"/>
  <c r="AR301" i="3"/>
  <c r="A302" i="3"/>
  <c r="B301" i="3"/>
  <c r="AQ301" i="3"/>
  <c r="C301" i="3"/>
  <c r="D301" i="3"/>
  <c r="F301" i="3"/>
  <c r="BM301" i="3" s="1"/>
  <c r="G301" i="3"/>
  <c r="H301" i="3" s="1"/>
  <c r="BN301" i="3" s="1"/>
  <c r="Q301" i="3"/>
  <c r="S301" i="3"/>
  <c r="O301" i="3"/>
  <c r="U301" i="3"/>
  <c r="AD301" i="3"/>
  <c r="M301" i="3"/>
  <c r="AM301" i="3"/>
  <c r="AK301" i="3"/>
  <c r="AE301" i="3"/>
  <c r="AF301" i="3"/>
  <c r="P301" i="3"/>
  <c r="T301" i="3"/>
  <c r="V301" i="3"/>
  <c r="R301" i="3"/>
  <c r="AT299" i="3"/>
  <c r="BD297" i="3"/>
  <c r="BG297" i="3"/>
  <c r="BH297" i="3" s="1"/>
  <c r="BI297" i="3" s="1"/>
  <c r="AX300" i="3" l="1"/>
  <c r="AG301" i="3"/>
  <c r="AO301" i="3"/>
  <c r="X301" i="3"/>
  <c r="AH301" i="3"/>
  <c r="AT301" i="3" s="1"/>
  <c r="B302" i="3"/>
  <c r="AQ302" i="3"/>
  <c r="A303" i="3"/>
  <c r="D302" i="3"/>
  <c r="AR302" i="3"/>
  <c r="C302" i="3"/>
  <c r="F302" i="3"/>
  <c r="BM302" i="3" s="1"/>
  <c r="G302" i="3"/>
  <c r="H302" i="3" s="1"/>
  <c r="BN302" i="3" s="1"/>
  <c r="S302" i="3"/>
  <c r="Q302" i="3"/>
  <c r="O302" i="3"/>
  <c r="U302" i="3"/>
  <c r="AD302" i="3"/>
  <c r="AK302" i="3"/>
  <c r="M302" i="3"/>
  <c r="AM302" i="3"/>
  <c r="AF302" i="3"/>
  <c r="AE302" i="3"/>
  <c r="T302" i="3"/>
  <c r="P302" i="3"/>
  <c r="V302" i="3"/>
  <c r="R302" i="3"/>
  <c r="BB298" i="3"/>
  <c r="BQ298" i="3"/>
  <c r="BF298" i="3"/>
  <c r="BJ297" i="3" s="1"/>
  <c r="BK297" i="3" s="1"/>
  <c r="AT300" i="3"/>
  <c r="AU300" i="3"/>
  <c r="AN301" i="3"/>
  <c r="BD298" i="3"/>
  <c r="BG298" i="3"/>
  <c r="BH298" i="3" s="1"/>
  <c r="BI298" i="3" s="1"/>
  <c r="BA299" i="3"/>
  <c r="AV299" i="3"/>
  <c r="BC299" i="3" s="1"/>
  <c r="Y301" i="3"/>
  <c r="Z301" i="3" s="1"/>
  <c r="AW300" i="3"/>
  <c r="AY300" i="3" s="1"/>
  <c r="AN302" i="3" l="1"/>
  <c r="AG302" i="3"/>
  <c r="AW301" i="3"/>
  <c r="AU301" i="3"/>
  <c r="AV301" i="3" s="1"/>
  <c r="Y302" i="3"/>
  <c r="Z302" i="3" s="1"/>
  <c r="X302" i="3"/>
  <c r="AO302" i="3"/>
  <c r="BD299" i="3"/>
  <c r="BG299" i="3"/>
  <c r="BH299" i="3" s="1"/>
  <c r="BI299" i="3" s="1"/>
  <c r="B303" i="3"/>
  <c r="A304" i="3"/>
  <c r="AR303" i="3"/>
  <c r="D303" i="3"/>
  <c r="AQ303" i="3"/>
  <c r="C303" i="3"/>
  <c r="F303" i="3"/>
  <c r="BM303" i="3" s="1"/>
  <c r="G303" i="3"/>
  <c r="H303" i="3" s="1"/>
  <c r="BN303" i="3" s="1"/>
  <c r="S303" i="3"/>
  <c r="Q303" i="3"/>
  <c r="O303" i="3"/>
  <c r="U303" i="3"/>
  <c r="AM303" i="3"/>
  <c r="AK303" i="3"/>
  <c r="AE303" i="3"/>
  <c r="AD303" i="3"/>
  <c r="AF303" i="3"/>
  <c r="M303" i="3"/>
  <c r="R303" i="3"/>
  <c r="T303" i="3"/>
  <c r="P303" i="3"/>
  <c r="V303" i="3"/>
  <c r="BA300" i="3"/>
  <c r="AV300" i="3"/>
  <c r="BC300" i="3" s="1"/>
  <c r="AH302" i="3"/>
  <c r="AT302" i="3" s="1"/>
  <c r="BF299" i="3"/>
  <c r="BJ298" i="3" s="1"/>
  <c r="BK298" i="3" s="1"/>
  <c r="BB299" i="3"/>
  <c r="BQ299" i="3"/>
  <c r="AX301" i="3"/>
  <c r="AY301" i="3" s="1"/>
  <c r="AU302" i="3" l="1"/>
  <c r="BC301" i="3"/>
  <c r="Y303" i="3"/>
  <c r="Z303" i="3" s="1"/>
  <c r="AW302" i="3"/>
  <c r="AX302" i="3"/>
  <c r="BA301" i="3"/>
  <c r="BB301" i="3" s="1"/>
  <c r="AH303" i="3"/>
  <c r="AO303" i="3"/>
  <c r="BD301" i="3"/>
  <c r="BG301" i="3"/>
  <c r="BH301" i="3" s="1"/>
  <c r="BI301" i="3" s="1"/>
  <c r="AN303" i="3"/>
  <c r="AQ304" i="3"/>
  <c r="C304" i="3"/>
  <c r="D304" i="3"/>
  <c r="AR304" i="3"/>
  <c r="A305" i="3"/>
  <c r="B304" i="3"/>
  <c r="F304" i="3"/>
  <c r="BM304" i="3" s="1"/>
  <c r="G304" i="3"/>
  <c r="H304" i="3" s="1"/>
  <c r="BN304" i="3" s="1"/>
  <c r="Q304" i="3"/>
  <c r="S304" i="3"/>
  <c r="O304" i="3"/>
  <c r="U304" i="3"/>
  <c r="AM304" i="3"/>
  <c r="AK304" i="3"/>
  <c r="AE304" i="3"/>
  <c r="M304" i="3"/>
  <c r="AF304" i="3"/>
  <c r="AD304" i="3"/>
  <c r="P304" i="3"/>
  <c r="R304" i="3"/>
  <c r="V304" i="3"/>
  <c r="T304" i="3"/>
  <c r="X303" i="3"/>
  <c r="BD300" i="3"/>
  <c r="BG300" i="3"/>
  <c r="BH300" i="3" s="1"/>
  <c r="BI300" i="3" s="1"/>
  <c r="AV302" i="3"/>
  <c r="BB300" i="3"/>
  <c r="BF300" i="3"/>
  <c r="BJ299" i="3" s="1"/>
  <c r="BK299" i="3" s="1"/>
  <c r="BQ300" i="3"/>
  <c r="AG303" i="3"/>
  <c r="AY302" i="3" l="1"/>
  <c r="BA302" i="3"/>
  <c r="BF301" i="3"/>
  <c r="BJ300" i="3" s="1"/>
  <c r="BK300" i="3" s="1"/>
  <c r="BQ301" i="3"/>
  <c r="BC302" i="3"/>
  <c r="AO304" i="3"/>
  <c r="AT303" i="3"/>
  <c r="AW303" i="3"/>
  <c r="AX303" i="3"/>
  <c r="Y304" i="3"/>
  <c r="Z304" i="3" s="1"/>
  <c r="AN304" i="3"/>
  <c r="BQ302" i="3"/>
  <c r="BF302" i="3"/>
  <c r="BJ301" i="3" s="1"/>
  <c r="BK301" i="3" s="1"/>
  <c r="BB302" i="3"/>
  <c r="AG304" i="3"/>
  <c r="B305" i="3"/>
  <c r="AQ305" i="3"/>
  <c r="A306" i="3"/>
  <c r="C305" i="3"/>
  <c r="AR305" i="3"/>
  <c r="D305" i="3"/>
  <c r="G305" i="3"/>
  <c r="H305" i="3" s="1"/>
  <c r="BN305" i="3" s="1"/>
  <c r="F305" i="3"/>
  <c r="BM305" i="3" s="1"/>
  <c r="Q305" i="3"/>
  <c r="S305" i="3"/>
  <c r="O305" i="3"/>
  <c r="U305" i="3"/>
  <c r="AM305" i="3"/>
  <c r="AD305" i="3"/>
  <c r="AF305" i="3"/>
  <c r="AK305" i="3"/>
  <c r="M305" i="3"/>
  <c r="AE305" i="3"/>
  <c r="V305" i="3"/>
  <c r="R305" i="3"/>
  <c r="P305" i="3"/>
  <c r="T305" i="3"/>
  <c r="AH304" i="3"/>
  <c r="X304" i="3"/>
  <c r="AU303" i="3"/>
  <c r="BD302" i="3"/>
  <c r="BG302" i="3"/>
  <c r="BH302" i="3" s="1"/>
  <c r="BI302" i="3" s="1"/>
  <c r="AY303" i="3" l="1"/>
  <c r="AO305" i="3"/>
  <c r="AG305" i="3"/>
  <c r="BA303" i="3"/>
  <c r="BB303" i="3" s="1"/>
  <c r="AX304" i="3"/>
  <c r="X305" i="3"/>
  <c r="AU304" i="3"/>
  <c r="AW304" i="3"/>
  <c r="AY304" i="3" s="1"/>
  <c r="Y305" i="3"/>
  <c r="Z305" i="3" s="1"/>
  <c r="AN305" i="3"/>
  <c r="AH305" i="3"/>
  <c r="AR306" i="3"/>
  <c r="AQ306" i="3"/>
  <c r="B306" i="3"/>
  <c r="A307" i="3"/>
  <c r="D306" i="3"/>
  <c r="C306" i="3"/>
  <c r="F306" i="3"/>
  <c r="BM306" i="3" s="1"/>
  <c r="G306" i="3"/>
  <c r="H306" i="3" s="1"/>
  <c r="BN306" i="3" s="1"/>
  <c r="S306" i="3"/>
  <c r="Q306" i="3"/>
  <c r="O306" i="3"/>
  <c r="U306" i="3"/>
  <c r="M306" i="3"/>
  <c r="AM306" i="3"/>
  <c r="AD306" i="3"/>
  <c r="AK306" i="3"/>
  <c r="AO306" i="3" s="1"/>
  <c r="AF306" i="3"/>
  <c r="AE306" i="3"/>
  <c r="P306" i="3"/>
  <c r="T306" i="3"/>
  <c r="V306" i="3"/>
  <c r="R306" i="3"/>
  <c r="AV303" i="3"/>
  <c r="BC303" i="3" s="1"/>
  <c r="AT304" i="3"/>
  <c r="BF303" i="3" l="1"/>
  <c r="BJ302" i="3" s="1"/>
  <c r="BK302" i="3" s="1"/>
  <c r="BQ303" i="3"/>
  <c r="AG306" i="3"/>
  <c r="AX305" i="3"/>
  <c r="AN306" i="3"/>
  <c r="AR307" i="3"/>
  <c r="C307" i="3"/>
  <c r="D307" i="3"/>
  <c r="AQ307" i="3"/>
  <c r="B307" i="3"/>
  <c r="A308" i="3"/>
  <c r="F307" i="3"/>
  <c r="BM307" i="3" s="1"/>
  <c r="G307" i="3"/>
  <c r="H307" i="3" s="1"/>
  <c r="BN307" i="3" s="1"/>
  <c r="Q307" i="3"/>
  <c r="S307" i="3"/>
  <c r="O307" i="3"/>
  <c r="U307" i="3"/>
  <c r="AK307" i="3"/>
  <c r="AM307" i="3"/>
  <c r="AD307" i="3"/>
  <c r="M307" i="3"/>
  <c r="AE307" i="3"/>
  <c r="AF307" i="3"/>
  <c r="P307" i="3"/>
  <c r="R307" i="3"/>
  <c r="T307" i="3"/>
  <c r="V307" i="3"/>
  <c r="X306" i="3"/>
  <c r="BD303" i="3"/>
  <c r="BG303" i="3"/>
  <c r="BH303" i="3" s="1"/>
  <c r="BI303" i="3" s="1"/>
  <c r="AU305" i="3"/>
  <c r="AH306" i="3"/>
  <c r="AT305" i="3"/>
  <c r="BA304" i="3"/>
  <c r="AV304" i="3"/>
  <c r="BC304" i="3" s="1"/>
  <c r="AW305" i="3"/>
  <c r="Y306" i="3"/>
  <c r="Z306" i="3" s="1"/>
  <c r="AY305" i="3" l="1"/>
  <c r="AN307" i="3"/>
  <c r="Y307" i="3"/>
  <c r="Z307" i="3" s="1"/>
  <c r="AG307" i="3"/>
  <c r="AW306" i="3"/>
  <c r="AX306" i="3"/>
  <c r="AO307" i="3"/>
  <c r="AT306" i="3"/>
  <c r="BA305" i="3"/>
  <c r="AV305" i="3"/>
  <c r="BC305" i="3" s="1"/>
  <c r="AH307" i="3"/>
  <c r="AX307" i="3" s="1"/>
  <c r="X307" i="3"/>
  <c r="BQ304" i="3"/>
  <c r="BB304" i="3"/>
  <c r="BF304" i="3"/>
  <c r="BJ303" i="3" s="1"/>
  <c r="BK303" i="3" s="1"/>
  <c r="AU306" i="3"/>
  <c r="AQ308" i="3"/>
  <c r="D308" i="3"/>
  <c r="C308" i="3"/>
  <c r="A309" i="3"/>
  <c r="B308" i="3"/>
  <c r="AR308" i="3"/>
  <c r="F308" i="3"/>
  <c r="BM308" i="3" s="1"/>
  <c r="G308" i="3"/>
  <c r="H308" i="3" s="1"/>
  <c r="BN308" i="3" s="1"/>
  <c r="Q308" i="3"/>
  <c r="S308" i="3"/>
  <c r="O308" i="3"/>
  <c r="U308" i="3"/>
  <c r="AM308" i="3"/>
  <c r="AD308" i="3"/>
  <c r="M308" i="3"/>
  <c r="AE308" i="3"/>
  <c r="AK308" i="3"/>
  <c r="AF308" i="3"/>
  <c r="T308" i="3"/>
  <c r="V308" i="3"/>
  <c r="P308" i="3"/>
  <c r="R308" i="3"/>
  <c r="BD304" i="3"/>
  <c r="BG304" i="3"/>
  <c r="BH304" i="3" s="1"/>
  <c r="BI304" i="3" s="1"/>
  <c r="AW307" i="3" l="1"/>
  <c r="AY306" i="3"/>
  <c r="AG308" i="3"/>
  <c r="AU307" i="3"/>
  <c r="AT307" i="3"/>
  <c r="AV307" i="3" s="1"/>
  <c r="AN308" i="3"/>
  <c r="X308" i="3"/>
  <c r="C309" i="3"/>
  <c r="B309" i="3"/>
  <c r="D309" i="3"/>
  <c r="AQ309" i="3"/>
  <c r="AR309" i="3"/>
  <c r="A310" i="3"/>
  <c r="F309" i="3"/>
  <c r="BM309" i="3" s="1"/>
  <c r="G309" i="3"/>
  <c r="H309" i="3" s="1"/>
  <c r="S309" i="3"/>
  <c r="Q309" i="3"/>
  <c r="O309" i="3"/>
  <c r="U309" i="3"/>
  <c r="AD309" i="3"/>
  <c r="AK309" i="3"/>
  <c r="AM309" i="3"/>
  <c r="AE309" i="3"/>
  <c r="AF309" i="3"/>
  <c r="M309" i="3"/>
  <c r="T309" i="3"/>
  <c r="P309" i="3"/>
  <c r="V309" i="3"/>
  <c r="R309" i="3"/>
  <c r="BA306" i="3"/>
  <c r="AV306" i="3"/>
  <c r="BQ305" i="3"/>
  <c r="BF305" i="3"/>
  <c r="BJ304" i="3" s="1"/>
  <c r="BK304" i="3" s="1"/>
  <c r="BB305" i="3"/>
  <c r="BD305" i="3"/>
  <c r="BG305" i="3"/>
  <c r="BH305" i="3" s="1"/>
  <c r="BI305" i="3" s="1"/>
  <c r="AO308" i="3"/>
  <c r="AH308" i="3"/>
  <c r="AY307" i="3"/>
  <c r="Y308" i="3"/>
  <c r="Z308" i="3" s="1"/>
  <c r="BN309" i="3" l="1"/>
  <c r="BA307" i="3"/>
  <c r="BB307" i="3" s="1"/>
  <c r="AX308" i="3"/>
  <c r="BC306" i="3"/>
  <c r="BC307" i="3"/>
  <c r="AN309" i="3"/>
  <c r="AG309" i="3"/>
  <c r="BQ306" i="3"/>
  <c r="BB306" i="3"/>
  <c r="BF306" i="3"/>
  <c r="BJ305" i="3" s="1"/>
  <c r="BK305" i="3" s="1"/>
  <c r="BD307" i="3"/>
  <c r="BG307" i="3"/>
  <c r="BH307" i="3" s="1"/>
  <c r="BI307" i="3" s="1"/>
  <c r="BD306" i="3"/>
  <c r="BG306" i="3"/>
  <c r="BH306" i="3" s="1"/>
  <c r="BI306" i="3" s="1"/>
  <c r="AO309" i="3"/>
  <c r="AH309" i="3"/>
  <c r="X309" i="3"/>
  <c r="Y309" i="3"/>
  <c r="Z309" i="3" s="1"/>
  <c r="AW308" i="3"/>
  <c r="A311" i="3"/>
  <c r="D310" i="3"/>
  <c r="C310" i="3"/>
  <c r="AQ310" i="3"/>
  <c r="AR310" i="3"/>
  <c r="B310" i="3"/>
  <c r="F310" i="3"/>
  <c r="BM310" i="3" s="1"/>
  <c r="G310" i="3"/>
  <c r="H310" i="3" s="1"/>
  <c r="BN310" i="3" s="1"/>
  <c r="S310" i="3"/>
  <c r="Q310" i="3"/>
  <c r="O310" i="3"/>
  <c r="U310" i="3"/>
  <c r="AK310" i="3"/>
  <c r="M310" i="3"/>
  <c r="AF310" i="3"/>
  <c r="AD310" i="3"/>
  <c r="AE310" i="3"/>
  <c r="AM310" i="3"/>
  <c r="R310" i="3"/>
  <c r="P310" i="3"/>
  <c r="V310" i="3"/>
  <c r="T310" i="3"/>
  <c r="AU308" i="3"/>
  <c r="AT308" i="3"/>
  <c r="BF307" i="3" l="1"/>
  <c r="BQ307" i="3"/>
  <c r="BJ306" i="3"/>
  <c r="BK306" i="3" s="1"/>
  <c r="AY308" i="3"/>
  <c r="AX309" i="3"/>
  <c r="AO310" i="3"/>
  <c r="AT309" i="3"/>
  <c r="AG310" i="3"/>
  <c r="A312" i="3"/>
  <c r="D311" i="3"/>
  <c r="AQ311" i="3"/>
  <c r="B311" i="3"/>
  <c r="AR311" i="3"/>
  <c r="C311" i="3"/>
  <c r="G311" i="3"/>
  <c r="H311" i="3" s="1"/>
  <c r="BN311" i="3" s="1"/>
  <c r="F311" i="3"/>
  <c r="BM311" i="3" s="1"/>
  <c r="Q311" i="3"/>
  <c r="S311" i="3"/>
  <c r="O311" i="3"/>
  <c r="U311" i="3"/>
  <c r="AM311" i="3"/>
  <c r="M311" i="3"/>
  <c r="AK311" i="3"/>
  <c r="AD311" i="3"/>
  <c r="AF311" i="3"/>
  <c r="AE311" i="3"/>
  <c r="V311" i="3"/>
  <c r="P311" i="3"/>
  <c r="R311" i="3"/>
  <c r="T311" i="3"/>
  <c r="BA308" i="3"/>
  <c r="AV308" i="3"/>
  <c r="AW309" i="3"/>
  <c r="Y310" i="3"/>
  <c r="Z310" i="3" s="1"/>
  <c r="X310" i="3"/>
  <c r="AU309" i="3"/>
  <c r="AN310" i="3"/>
  <c r="AH310" i="3"/>
  <c r="BC308" i="3" l="1"/>
  <c r="AG311" i="3"/>
  <c r="AV309" i="3"/>
  <c r="AX310" i="3"/>
  <c r="AO311" i="3"/>
  <c r="BA309" i="3"/>
  <c r="BB309" i="3" s="1"/>
  <c r="AY309" i="3"/>
  <c r="BC309" i="3" s="1"/>
  <c r="BD308" i="3"/>
  <c r="BG308" i="3"/>
  <c r="BH308" i="3" s="1"/>
  <c r="BI308" i="3" s="1"/>
  <c r="AH311" i="3"/>
  <c r="Y311" i="3"/>
  <c r="Z311" i="3" s="1"/>
  <c r="BF308" i="3"/>
  <c r="BJ307" i="3" s="1"/>
  <c r="BK307" i="3" s="1"/>
  <c r="BB308" i="3"/>
  <c r="BQ308" i="3"/>
  <c r="X311" i="3"/>
  <c r="AU310" i="3"/>
  <c r="AW310" i="3"/>
  <c r="AY310" i="3" s="1"/>
  <c r="AN311" i="3"/>
  <c r="C312" i="3"/>
  <c r="AQ312" i="3"/>
  <c r="D312" i="3"/>
  <c r="A313" i="3"/>
  <c r="B312" i="3"/>
  <c r="AR312" i="3"/>
  <c r="G312" i="3"/>
  <c r="H312" i="3" s="1"/>
  <c r="BN312" i="3" s="1"/>
  <c r="F312" i="3"/>
  <c r="BM312" i="3" s="1"/>
  <c r="Q312" i="3"/>
  <c r="S312" i="3"/>
  <c r="O312" i="3"/>
  <c r="U312" i="3"/>
  <c r="M312" i="3"/>
  <c r="AD312" i="3"/>
  <c r="AE312" i="3"/>
  <c r="AM312" i="3"/>
  <c r="AK312" i="3"/>
  <c r="AF312" i="3"/>
  <c r="P312" i="3"/>
  <c r="T312" i="3"/>
  <c r="R312" i="3"/>
  <c r="V312" i="3"/>
  <c r="AT310" i="3"/>
  <c r="AU311" i="3" l="1"/>
  <c r="AT311" i="3"/>
  <c r="AV311" i="3" s="1"/>
  <c r="AW311" i="3"/>
  <c r="BF309" i="3"/>
  <c r="AO312" i="3"/>
  <c r="BQ309" i="3"/>
  <c r="AG312" i="3"/>
  <c r="AR313" i="3"/>
  <c r="B313" i="3"/>
  <c r="D313" i="3"/>
  <c r="A314" i="3"/>
  <c r="AQ313" i="3"/>
  <c r="C313" i="3"/>
  <c r="G313" i="3"/>
  <c r="H313" i="3" s="1"/>
  <c r="BN313" i="3" s="1"/>
  <c r="F313" i="3"/>
  <c r="BM313" i="3" s="1"/>
  <c r="Q313" i="3"/>
  <c r="S313" i="3"/>
  <c r="O313" i="3"/>
  <c r="U313" i="3"/>
  <c r="M313" i="3"/>
  <c r="AM313" i="3"/>
  <c r="AK313" i="3"/>
  <c r="AE313" i="3"/>
  <c r="AD313" i="3"/>
  <c r="AF313" i="3"/>
  <c r="R313" i="3"/>
  <c r="P313" i="3"/>
  <c r="V313" i="3"/>
  <c r="T313" i="3"/>
  <c r="X312" i="3"/>
  <c r="Y312" i="3"/>
  <c r="Z312" i="3" s="1"/>
  <c r="AV310" i="3"/>
  <c r="BC310" i="3" s="1"/>
  <c r="BA310" i="3"/>
  <c r="AX311" i="3"/>
  <c r="AH312" i="3"/>
  <c r="BD309" i="3"/>
  <c r="BG309" i="3"/>
  <c r="BH309" i="3" s="1"/>
  <c r="BI309" i="3" s="1"/>
  <c r="AN312" i="3"/>
  <c r="BJ308" i="3"/>
  <c r="BK308" i="3" s="1"/>
  <c r="AY311" i="3" l="1"/>
  <c r="BC311" i="3" s="1"/>
  <c r="AU312" i="3"/>
  <c r="BA311" i="3"/>
  <c r="BQ311" i="3" s="1"/>
  <c r="AT312" i="3"/>
  <c r="AW312" i="3"/>
  <c r="AO313" i="3"/>
  <c r="AN313" i="3"/>
  <c r="BF311" i="3"/>
  <c r="BB311" i="3"/>
  <c r="BQ310" i="3"/>
  <c r="BB310" i="3"/>
  <c r="BF310" i="3"/>
  <c r="BJ309" i="3" s="1"/>
  <c r="BK309" i="3" s="1"/>
  <c r="AV312" i="3"/>
  <c r="AH313" i="3"/>
  <c r="AX313" i="3" s="1"/>
  <c r="AR314" i="3"/>
  <c r="B314" i="3"/>
  <c r="AQ314" i="3"/>
  <c r="A315" i="3"/>
  <c r="D314" i="3"/>
  <c r="C314" i="3"/>
  <c r="F314" i="3"/>
  <c r="BM314" i="3" s="1"/>
  <c r="G314" i="3"/>
  <c r="H314" i="3" s="1"/>
  <c r="BN314" i="3" s="1"/>
  <c r="Q314" i="3"/>
  <c r="S314" i="3"/>
  <c r="O314" i="3"/>
  <c r="U314" i="3"/>
  <c r="AM314" i="3"/>
  <c r="AF314" i="3"/>
  <c r="AD314" i="3"/>
  <c r="AK314" i="3"/>
  <c r="AE314" i="3"/>
  <c r="M314" i="3"/>
  <c r="V314" i="3"/>
  <c r="R314" i="3"/>
  <c r="P314" i="3"/>
  <c r="T314" i="3"/>
  <c r="BD310" i="3"/>
  <c r="BG310" i="3"/>
  <c r="BH310" i="3" s="1"/>
  <c r="BI310" i="3" s="1"/>
  <c r="AG313" i="3"/>
  <c r="Y313" i="3"/>
  <c r="Z313" i="3" s="1"/>
  <c r="X313" i="3"/>
  <c r="AX312" i="3"/>
  <c r="BA312" i="3" s="1"/>
  <c r="BD311" i="3" l="1"/>
  <c r="BG311" i="3"/>
  <c r="BH311" i="3" s="1"/>
  <c r="BI311" i="3" s="1"/>
  <c r="AY312" i="3"/>
  <c r="BC312" i="3" s="1"/>
  <c r="AO314" i="3"/>
  <c r="Y314" i="3"/>
  <c r="Z314" i="3" s="1"/>
  <c r="AH314" i="3"/>
  <c r="AT314" i="3" s="1"/>
  <c r="BB312" i="3"/>
  <c r="BQ312" i="3"/>
  <c r="BF312" i="3"/>
  <c r="BJ311" i="3" s="1"/>
  <c r="BK311" i="3" s="1"/>
  <c r="B315" i="3"/>
  <c r="D315" i="3"/>
  <c r="AQ315" i="3"/>
  <c r="A316" i="3"/>
  <c r="AR315" i="3"/>
  <c r="C315" i="3"/>
  <c r="F315" i="3"/>
  <c r="BM315" i="3" s="1"/>
  <c r="G315" i="3"/>
  <c r="H315" i="3" s="1"/>
  <c r="BN315" i="3" s="1"/>
  <c r="Q315" i="3"/>
  <c r="S315" i="3"/>
  <c r="O315" i="3"/>
  <c r="U315" i="3"/>
  <c r="AM315" i="3"/>
  <c r="AK315" i="3"/>
  <c r="AD315" i="3"/>
  <c r="M315" i="3"/>
  <c r="AE315" i="3"/>
  <c r="AF315" i="3"/>
  <c r="T315" i="3"/>
  <c r="P315" i="3"/>
  <c r="V315" i="3"/>
  <c r="R315" i="3"/>
  <c r="AU313" i="3"/>
  <c r="X314" i="3"/>
  <c r="AW313" i="3"/>
  <c r="AY313" i="3" s="1"/>
  <c r="AG314" i="3"/>
  <c r="BJ310" i="3"/>
  <c r="BK310" i="3" s="1"/>
  <c r="AN314" i="3"/>
  <c r="AT313" i="3"/>
  <c r="AU314" i="3" l="1"/>
  <c r="AX314" i="3"/>
  <c r="AO315" i="3"/>
  <c r="Y315" i="3"/>
  <c r="Z315" i="3" s="1"/>
  <c r="AG315" i="3"/>
  <c r="AN315" i="3"/>
  <c r="X315" i="3"/>
  <c r="AV314" i="3"/>
  <c r="BA313" i="3"/>
  <c r="AV313" i="3"/>
  <c r="BC313" i="3" s="1"/>
  <c r="BD312" i="3"/>
  <c r="BG312" i="3"/>
  <c r="BH312" i="3" s="1"/>
  <c r="BI312" i="3" s="1"/>
  <c r="AH315" i="3"/>
  <c r="AX315" i="3" s="1"/>
  <c r="A317" i="3"/>
  <c r="D316" i="3"/>
  <c r="B316" i="3"/>
  <c r="AR316" i="3"/>
  <c r="AQ316" i="3"/>
  <c r="C316" i="3"/>
  <c r="G316" i="3"/>
  <c r="H316" i="3" s="1"/>
  <c r="BN316" i="3" s="1"/>
  <c r="F316" i="3"/>
  <c r="BM316" i="3" s="1"/>
  <c r="Q316" i="3"/>
  <c r="S316" i="3"/>
  <c r="O316" i="3"/>
  <c r="U316" i="3"/>
  <c r="AD316" i="3"/>
  <c r="AE316" i="3"/>
  <c r="AF316" i="3"/>
  <c r="AK316" i="3"/>
  <c r="M316" i="3"/>
  <c r="AM316" i="3"/>
  <c r="AN316" i="3" s="1"/>
  <c r="T316" i="3"/>
  <c r="V316" i="3"/>
  <c r="P316" i="3"/>
  <c r="R316" i="3"/>
  <c r="AW314" i="3"/>
  <c r="AY314" i="3" s="1"/>
  <c r="Y316" i="3" l="1"/>
  <c r="Z316" i="3" s="1"/>
  <c r="AG316" i="3"/>
  <c r="AO316" i="3"/>
  <c r="AH316" i="3"/>
  <c r="AT316" i="3" s="1"/>
  <c r="AR317" i="3"/>
  <c r="B317" i="3"/>
  <c r="C317" i="3"/>
  <c r="AQ317" i="3"/>
  <c r="A318" i="3"/>
  <c r="D317" i="3"/>
  <c r="G317" i="3"/>
  <c r="H317" i="3" s="1"/>
  <c r="BN317" i="3" s="1"/>
  <c r="F317" i="3"/>
  <c r="BM317" i="3" s="1"/>
  <c r="Q317" i="3"/>
  <c r="S317" i="3"/>
  <c r="O317" i="3"/>
  <c r="U317" i="3"/>
  <c r="AD317" i="3"/>
  <c r="AK317" i="3"/>
  <c r="AM317" i="3"/>
  <c r="M317" i="3"/>
  <c r="AE317" i="3"/>
  <c r="AF317" i="3"/>
  <c r="T317" i="3"/>
  <c r="P317" i="3"/>
  <c r="V317" i="3"/>
  <c r="R317" i="3"/>
  <c r="BD313" i="3"/>
  <c r="BG313" i="3"/>
  <c r="BH313" i="3" s="1"/>
  <c r="BI313" i="3" s="1"/>
  <c r="X316" i="3"/>
  <c r="AT315" i="3"/>
  <c r="AW315" i="3"/>
  <c r="AY315" i="3" s="1"/>
  <c r="AU315" i="3"/>
  <c r="BC314" i="3"/>
  <c r="BQ313" i="3"/>
  <c r="BB313" i="3"/>
  <c r="BF313" i="3"/>
  <c r="BJ312" i="3" s="1"/>
  <c r="BK312" i="3" s="1"/>
  <c r="BA314" i="3"/>
  <c r="AU316" i="3" l="1"/>
  <c r="AX316" i="3"/>
  <c r="AN317" i="3"/>
  <c r="Y317" i="3"/>
  <c r="Z317" i="3" s="1"/>
  <c r="AH317" i="3"/>
  <c r="AG317" i="3"/>
  <c r="AO317" i="3"/>
  <c r="BB314" i="3"/>
  <c r="BF314" i="3"/>
  <c r="BJ313" i="3" s="1"/>
  <c r="BK313" i="3" s="1"/>
  <c r="BQ314" i="3"/>
  <c r="AV316" i="3"/>
  <c r="AW317" i="3"/>
  <c r="B318" i="3"/>
  <c r="AQ318" i="3"/>
  <c r="A319" i="3"/>
  <c r="D318" i="3"/>
  <c r="AR318" i="3"/>
  <c r="C318" i="3"/>
  <c r="G318" i="3"/>
  <c r="H318" i="3" s="1"/>
  <c r="BN318" i="3" s="1"/>
  <c r="F318" i="3"/>
  <c r="BM318" i="3" s="1"/>
  <c r="Q318" i="3"/>
  <c r="S318" i="3"/>
  <c r="O318" i="3"/>
  <c r="U318" i="3"/>
  <c r="AD318" i="3"/>
  <c r="AE318" i="3"/>
  <c r="AK318" i="3"/>
  <c r="AM318" i="3"/>
  <c r="AF318" i="3"/>
  <c r="M318" i="3"/>
  <c r="V318" i="3"/>
  <c r="P318" i="3"/>
  <c r="T318" i="3"/>
  <c r="R318" i="3"/>
  <c r="AV315" i="3"/>
  <c r="BC315" i="3" s="1"/>
  <c r="BA315" i="3"/>
  <c r="X317" i="3"/>
  <c r="BD314" i="3"/>
  <c r="BG314" i="3"/>
  <c r="BH314" i="3" s="1"/>
  <c r="BI314" i="3" s="1"/>
  <c r="AW316" i="3"/>
  <c r="AT317" i="3" l="1"/>
  <c r="AX317" i="3"/>
  <c r="AY317" i="3" s="1"/>
  <c r="BA316" i="3"/>
  <c r="AN318" i="3"/>
  <c r="AU317" i="3"/>
  <c r="BA317" i="3" s="1"/>
  <c r="BF316" i="3"/>
  <c r="BQ316" i="3"/>
  <c r="BB316" i="3"/>
  <c r="AO318" i="3"/>
  <c r="B319" i="3"/>
  <c r="A320" i="3"/>
  <c r="AR319" i="3"/>
  <c r="AQ319" i="3"/>
  <c r="D319" i="3"/>
  <c r="C319" i="3"/>
  <c r="G319" i="3"/>
  <c r="H319" i="3" s="1"/>
  <c r="BN319" i="3" s="1"/>
  <c r="F319" i="3"/>
  <c r="BM319" i="3" s="1"/>
  <c r="Q319" i="3"/>
  <c r="S319" i="3"/>
  <c r="O319" i="3"/>
  <c r="U319" i="3"/>
  <c r="AK319" i="3"/>
  <c r="M319" i="3"/>
  <c r="AD319" i="3"/>
  <c r="AM319" i="3"/>
  <c r="AF319" i="3"/>
  <c r="AE319" i="3"/>
  <c r="V319" i="3"/>
  <c r="P319" i="3"/>
  <c r="R319" i="3"/>
  <c r="T319" i="3"/>
  <c r="AY316" i="3"/>
  <c r="BC316" i="3" s="1"/>
  <c r="AH318" i="3"/>
  <c r="X318" i="3"/>
  <c r="Y318" i="3"/>
  <c r="Z318" i="3" s="1"/>
  <c r="AG318" i="3"/>
  <c r="BB315" i="3"/>
  <c r="BF315" i="3"/>
  <c r="BJ314" i="3" s="1"/>
  <c r="BK314" i="3" s="1"/>
  <c r="BQ315" i="3"/>
  <c r="BD315" i="3"/>
  <c r="BG315" i="3"/>
  <c r="BH315" i="3" s="1"/>
  <c r="BI315" i="3" s="1"/>
  <c r="AV317" i="3" l="1"/>
  <c r="AX318" i="3"/>
  <c r="AN319" i="3"/>
  <c r="BC317" i="3"/>
  <c r="AG319" i="3"/>
  <c r="Y319" i="3"/>
  <c r="Z319" i="3" s="1"/>
  <c r="BD316" i="3"/>
  <c r="BG316" i="3"/>
  <c r="BH316" i="3" s="1"/>
  <c r="BI316" i="3" s="1"/>
  <c r="AH319" i="3"/>
  <c r="AT319" i="3" s="1"/>
  <c r="BD317" i="3"/>
  <c r="BG317" i="3"/>
  <c r="BH317" i="3" s="1"/>
  <c r="BI317" i="3" s="1"/>
  <c r="X319" i="3"/>
  <c r="BF317" i="3"/>
  <c r="BJ316" i="3" s="1"/>
  <c r="BK316" i="3" s="1"/>
  <c r="BQ317" i="3"/>
  <c r="BB317" i="3"/>
  <c r="AO319" i="3"/>
  <c r="AW319" i="3" s="1"/>
  <c r="AU319" i="3"/>
  <c r="AQ320" i="3"/>
  <c r="C320" i="3"/>
  <c r="B320" i="3"/>
  <c r="D320" i="3"/>
  <c r="AR320" i="3"/>
  <c r="A321" i="3"/>
  <c r="G320" i="3"/>
  <c r="H320" i="3" s="1"/>
  <c r="BN320" i="3" s="1"/>
  <c r="F320" i="3"/>
  <c r="BM320" i="3" s="1"/>
  <c r="Q320" i="3"/>
  <c r="S320" i="3"/>
  <c r="O320" i="3"/>
  <c r="U320" i="3"/>
  <c r="AK320" i="3"/>
  <c r="M320" i="3"/>
  <c r="AD320" i="3"/>
  <c r="AE320" i="3"/>
  <c r="AF320" i="3"/>
  <c r="AM320" i="3"/>
  <c r="V320" i="3"/>
  <c r="T320" i="3"/>
  <c r="R320" i="3"/>
  <c r="P320" i="3"/>
  <c r="AU318" i="3"/>
  <c r="AW318" i="3"/>
  <c r="AT318" i="3"/>
  <c r="BJ315" i="3"/>
  <c r="BK315" i="3" s="1"/>
  <c r="AY318" i="3" l="1"/>
  <c r="AN320" i="3"/>
  <c r="Y320" i="3"/>
  <c r="Z320" i="3" s="1"/>
  <c r="AG320" i="3"/>
  <c r="X320" i="3"/>
  <c r="AH320" i="3"/>
  <c r="AT320" i="3" s="1"/>
  <c r="AV319" i="3"/>
  <c r="B321" i="3"/>
  <c r="AQ321" i="3"/>
  <c r="AR321" i="3"/>
  <c r="D321" i="3"/>
  <c r="C321" i="3"/>
  <c r="A322" i="3"/>
  <c r="F321" i="3"/>
  <c r="BM321" i="3" s="1"/>
  <c r="G321" i="3"/>
  <c r="H321" i="3" s="1"/>
  <c r="BN321" i="3" s="1"/>
  <c r="S321" i="3"/>
  <c r="Q321" i="3"/>
  <c r="O321" i="3"/>
  <c r="U321" i="3"/>
  <c r="AD321" i="3"/>
  <c r="AM321" i="3"/>
  <c r="AE321" i="3"/>
  <c r="M321" i="3"/>
  <c r="AF321" i="3"/>
  <c r="AK321" i="3"/>
  <c r="R321" i="3"/>
  <c r="V321" i="3"/>
  <c r="P321" i="3"/>
  <c r="T321" i="3"/>
  <c r="BA318" i="3"/>
  <c r="AV318" i="3"/>
  <c r="AO320" i="3"/>
  <c r="AX319" i="3"/>
  <c r="AY319" i="3" s="1"/>
  <c r="BC318" i="3" l="1"/>
  <c r="AU320" i="3"/>
  <c r="AO321" i="3"/>
  <c r="BA319" i="3"/>
  <c r="BF319" i="3" s="1"/>
  <c r="AX320" i="3"/>
  <c r="AH321" i="3"/>
  <c r="BB318" i="3"/>
  <c r="BF318" i="3"/>
  <c r="BJ317" i="3" s="1"/>
  <c r="BK317" i="3" s="1"/>
  <c r="BQ318" i="3"/>
  <c r="AG321" i="3"/>
  <c r="AR322" i="3"/>
  <c r="AQ322" i="3"/>
  <c r="B322" i="3"/>
  <c r="A323" i="3"/>
  <c r="D322" i="3"/>
  <c r="C322" i="3"/>
  <c r="G322" i="3"/>
  <c r="H322" i="3" s="1"/>
  <c r="BN322" i="3" s="1"/>
  <c r="F322" i="3"/>
  <c r="BM322" i="3" s="1"/>
  <c r="S322" i="3"/>
  <c r="Q322" i="3"/>
  <c r="O322" i="3"/>
  <c r="U322" i="3"/>
  <c r="AD322" i="3"/>
  <c r="AM322" i="3"/>
  <c r="M322" i="3"/>
  <c r="AE322" i="3"/>
  <c r="AF322" i="3"/>
  <c r="AK322" i="3"/>
  <c r="V322" i="3"/>
  <c r="P322" i="3"/>
  <c r="R322" i="3"/>
  <c r="T322" i="3"/>
  <c r="BC319" i="3"/>
  <c r="Y321" i="3"/>
  <c r="Z321" i="3" s="1"/>
  <c r="AN321" i="3"/>
  <c r="AV320" i="3"/>
  <c r="BD318" i="3"/>
  <c r="BG318" i="3"/>
  <c r="BH318" i="3" s="1"/>
  <c r="BI318" i="3" s="1"/>
  <c r="X321" i="3"/>
  <c r="AW320" i="3"/>
  <c r="BB319" i="3" l="1"/>
  <c r="AO322" i="3"/>
  <c r="AY320" i="3"/>
  <c r="BQ319" i="3"/>
  <c r="BJ318" i="3"/>
  <c r="BK318" i="3" s="1"/>
  <c r="AT321" i="3"/>
  <c r="AG322" i="3"/>
  <c r="BA320" i="3"/>
  <c r="BB320" i="3" s="1"/>
  <c r="AN322" i="3"/>
  <c r="D323" i="3"/>
  <c r="C323" i="3"/>
  <c r="AQ323" i="3"/>
  <c r="B323" i="3"/>
  <c r="A324" i="3"/>
  <c r="AR323" i="3"/>
  <c r="F323" i="3"/>
  <c r="G323" i="3"/>
  <c r="H323" i="3" s="1"/>
  <c r="BN323" i="3" s="1"/>
  <c r="Q323" i="3"/>
  <c r="S323" i="3"/>
  <c r="O323" i="3"/>
  <c r="U323" i="3"/>
  <c r="AM323" i="3"/>
  <c r="AE323" i="3"/>
  <c r="AD323" i="3"/>
  <c r="AK323" i="3"/>
  <c r="M323" i="3"/>
  <c r="AF323" i="3"/>
  <c r="T323" i="3"/>
  <c r="R323" i="3"/>
  <c r="P323" i="3"/>
  <c r="V323" i="3"/>
  <c r="BD319" i="3"/>
  <c r="BG319" i="3"/>
  <c r="BH319" i="3" s="1"/>
  <c r="BI319" i="3" s="1"/>
  <c r="X322" i="3"/>
  <c r="Y322" i="3"/>
  <c r="Z322" i="3" s="1"/>
  <c r="AH322" i="3"/>
  <c r="AW321" i="3"/>
  <c r="AU321" i="3"/>
  <c r="AV321" i="3" s="1"/>
  <c r="BC320" i="3"/>
  <c r="AX321" i="3"/>
  <c r="AT322" i="3" l="1"/>
  <c r="AO323" i="3"/>
  <c r="BM323" i="3"/>
  <c r="AW322" i="3"/>
  <c r="AU322" i="3"/>
  <c r="AX322" i="3"/>
  <c r="BQ320" i="3"/>
  <c r="BF320" i="3"/>
  <c r="BJ319" i="3" s="1"/>
  <c r="BK319" i="3" s="1"/>
  <c r="AV322" i="3"/>
  <c r="X323" i="3"/>
  <c r="AH323" i="3"/>
  <c r="AG323" i="3"/>
  <c r="A325" i="3"/>
  <c r="B324" i="3"/>
  <c r="AR324" i="3"/>
  <c r="D324" i="3"/>
  <c r="AQ324" i="3"/>
  <c r="C324" i="3"/>
  <c r="G324" i="3"/>
  <c r="H324" i="3" s="1"/>
  <c r="BN324" i="3" s="1"/>
  <c r="F324" i="3"/>
  <c r="BM324" i="3" s="1"/>
  <c r="Q324" i="3"/>
  <c r="S324" i="3"/>
  <c r="O324" i="3"/>
  <c r="U324" i="3"/>
  <c r="AK324" i="3"/>
  <c r="AD324" i="3"/>
  <c r="AM324" i="3"/>
  <c r="M324" i="3"/>
  <c r="AF324" i="3"/>
  <c r="AE324" i="3"/>
  <c r="R324" i="3"/>
  <c r="P324" i="3"/>
  <c r="T324" i="3"/>
  <c r="V324" i="3"/>
  <c r="Y323" i="3"/>
  <c r="Z323" i="3" s="1"/>
  <c r="BG320" i="3"/>
  <c r="BH320" i="3" s="1"/>
  <c r="BI320" i="3" s="1"/>
  <c r="BD320" i="3"/>
  <c r="AY321" i="3"/>
  <c r="BC321" i="3" s="1"/>
  <c r="AN323" i="3"/>
  <c r="BA321" i="3"/>
  <c r="AY322" i="3" l="1"/>
  <c r="AN324" i="3"/>
  <c r="BA322" i="3"/>
  <c r="AW323" i="3"/>
  <c r="BC322" i="3"/>
  <c r="AG324" i="3"/>
  <c r="AX323" i="3"/>
  <c r="AY323" i="3" s="1"/>
  <c r="BD321" i="3"/>
  <c r="BG321" i="3"/>
  <c r="BH321" i="3" s="1"/>
  <c r="BI321" i="3" s="1"/>
  <c r="AH324" i="3"/>
  <c r="AU323" i="3"/>
  <c r="AO324" i="3"/>
  <c r="X324" i="3"/>
  <c r="Y324" i="3"/>
  <c r="Z324" i="3" s="1"/>
  <c r="B325" i="3"/>
  <c r="D325" i="3"/>
  <c r="AR325" i="3"/>
  <c r="A326" i="3"/>
  <c r="C325" i="3"/>
  <c r="AQ325" i="3"/>
  <c r="G325" i="3"/>
  <c r="H325" i="3" s="1"/>
  <c r="BN325" i="3" s="1"/>
  <c r="F325" i="3"/>
  <c r="BM325" i="3" s="1"/>
  <c r="Q325" i="3"/>
  <c r="S325" i="3"/>
  <c r="O325" i="3"/>
  <c r="U325" i="3"/>
  <c r="M325" i="3"/>
  <c r="AM325" i="3"/>
  <c r="AF325" i="3"/>
  <c r="AK325" i="3"/>
  <c r="AD325" i="3"/>
  <c r="AE325" i="3"/>
  <c r="P325" i="3"/>
  <c r="V325" i="3"/>
  <c r="T325" i="3"/>
  <c r="R325" i="3"/>
  <c r="AT323" i="3"/>
  <c r="BF321" i="3"/>
  <c r="BJ320" i="3" s="1"/>
  <c r="BK320" i="3" s="1"/>
  <c r="BQ321" i="3"/>
  <c r="BB321" i="3"/>
  <c r="BB322" i="3"/>
  <c r="BF322" i="3"/>
  <c r="BQ322" i="3"/>
  <c r="BG322" i="3"/>
  <c r="BH322" i="3" s="1"/>
  <c r="BI322" i="3" s="1"/>
  <c r="BD322" i="3"/>
  <c r="AO325" i="3" l="1"/>
  <c r="BJ321" i="3"/>
  <c r="BK321" i="3" s="1"/>
  <c r="AT324" i="3"/>
  <c r="Y325" i="3"/>
  <c r="Z325" i="3" s="1"/>
  <c r="AU324" i="3"/>
  <c r="AH325" i="3"/>
  <c r="AW324" i="3"/>
  <c r="X325" i="3"/>
  <c r="AN325" i="3"/>
  <c r="AV324" i="3"/>
  <c r="AG325" i="3"/>
  <c r="B326" i="3"/>
  <c r="AQ326" i="3"/>
  <c r="A327" i="3"/>
  <c r="C326" i="3"/>
  <c r="D326" i="3"/>
  <c r="AR326" i="3"/>
  <c r="F326" i="3"/>
  <c r="BM326" i="3" s="1"/>
  <c r="G326" i="3"/>
  <c r="H326" i="3" s="1"/>
  <c r="BN326" i="3" s="1"/>
  <c r="S326" i="3"/>
  <c r="Q326" i="3"/>
  <c r="O326" i="3"/>
  <c r="U326" i="3"/>
  <c r="AK326" i="3"/>
  <c r="AM326" i="3"/>
  <c r="AD326" i="3"/>
  <c r="AE326" i="3"/>
  <c r="M326" i="3"/>
  <c r="AF326" i="3"/>
  <c r="V326" i="3"/>
  <c r="T326" i="3"/>
  <c r="R326" i="3"/>
  <c r="P326" i="3"/>
  <c r="AX324" i="3"/>
  <c r="AV323" i="3"/>
  <c r="BC323" i="3" s="1"/>
  <c r="BA323" i="3"/>
  <c r="AW325" i="3" l="1"/>
  <c r="AY324" i="3"/>
  <c r="BC324" i="3" s="1"/>
  <c r="AN326" i="3"/>
  <c r="BA324" i="3"/>
  <c r="AX325" i="3"/>
  <c r="AG326" i="3"/>
  <c r="AT325" i="3"/>
  <c r="AH326" i="3"/>
  <c r="AT326" i="3" s="1"/>
  <c r="X326" i="3"/>
  <c r="BQ324" i="3"/>
  <c r="BF324" i="3"/>
  <c r="BB324" i="3"/>
  <c r="AU325" i="3"/>
  <c r="BD323" i="3"/>
  <c r="BG323" i="3"/>
  <c r="BH323" i="3" s="1"/>
  <c r="BI323" i="3" s="1"/>
  <c r="Y326" i="3"/>
  <c r="Z326" i="3" s="1"/>
  <c r="AO326" i="3"/>
  <c r="B327" i="3"/>
  <c r="A328" i="3"/>
  <c r="D327" i="3"/>
  <c r="AQ327" i="3"/>
  <c r="AR327" i="3"/>
  <c r="C327" i="3"/>
  <c r="G327" i="3"/>
  <c r="H327" i="3" s="1"/>
  <c r="BN327" i="3" s="1"/>
  <c r="F327" i="3"/>
  <c r="S327" i="3"/>
  <c r="Q327" i="3"/>
  <c r="O327" i="3"/>
  <c r="U327" i="3"/>
  <c r="AM327" i="3"/>
  <c r="AK327" i="3"/>
  <c r="AD327" i="3"/>
  <c r="AE327" i="3"/>
  <c r="M327" i="3"/>
  <c r="AF327" i="3"/>
  <c r="P327" i="3"/>
  <c r="T327" i="3"/>
  <c r="R327" i="3"/>
  <c r="V327" i="3"/>
  <c r="BQ323" i="3"/>
  <c r="BF323" i="3"/>
  <c r="BJ322" i="3" s="1"/>
  <c r="BK322" i="3" s="1"/>
  <c r="BB323" i="3"/>
  <c r="AY325" i="3" l="1"/>
  <c r="BM327" i="3"/>
  <c r="AO327" i="3"/>
  <c r="AG327" i="3"/>
  <c r="AN327" i="3"/>
  <c r="BJ323" i="3"/>
  <c r="BK323" i="3" s="1"/>
  <c r="BD324" i="3"/>
  <c r="BG324" i="3"/>
  <c r="BH324" i="3" s="1"/>
  <c r="BI324" i="3" s="1"/>
  <c r="A329" i="3"/>
  <c r="B328" i="3"/>
  <c r="AR328" i="3"/>
  <c r="AQ328" i="3"/>
  <c r="C328" i="3"/>
  <c r="D328" i="3"/>
  <c r="F328" i="3"/>
  <c r="BM328" i="3" s="1"/>
  <c r="G328" i="3"/>
  <c r="H328" i="3" s="1"/>
  <c r="BN328" i="3" s="1"/>
  <c r="Q328" i="3"/>
  <c r="S328" i="3"/>
  <c r="O328" i="3"/>
  <c r="U328" i="3"/>
  <c r="AE328" i="3"/>
  <c r="AM328" i="3"/>
  <c r="M328" i="3"/>
  <c r="AD328" i="3"/>
  <c r="AF328" i="3"/>
  <c r="AK328" i="3"/>
  <c r="P328" i="3"/>
  <c r="V328" i="3"/>
  <c r="T328" i="3"/>
  <c r="R328" i="3"/>
  <c r="Y327" i="3"/>
  <c r="Z327" i="3" s="1"/>
  <c r="AH327" i="3"/>
  <c r="X327" i="3"/>
  <c r="AX326" i="3"/>
  <c r="BA325" i="3"/>
  <c r="AV325" i="3"/>
  <c r="BC325" i="3" s="1"/>
  <c r="AU326" i="3"/>
  <c r="AV326" i="3" s="1"/>
  <c r="AW326" i="3"/>
  <c r="AO328" i="3" l="1"/>
  <c r="AW327" i="3"/>
  <c r="AX327" i="3"/>
  <c r="AG328" i="3"/>
  <c r="AU327" i="3"/>
  <c r="AN328" i="3"/>
  <c r="AR329" i="3"/>
  <c r="B329" i="3"/>
  <c r="AQ329" i="3"/>
  <c r="A330" i="3"/>
  <c r="D329" i="3"/>
  <c r="C329" i="3"/>
  <c r="F329" i="3"/>
  <c r="BM329" i="3" s="1"/>
  <c r="G329" i="3"/>
  <c r="H329" i="3" s="1"/>
  <c r="BN329" i="3" s="1"/>
  <c r="S329" i="3"/>
  <c r="Q329" i="3"/>
  <c r="O329" i="3"/>
  <c r="U329" i="3"/>
  <c r="AD329" i="3"/>
  <c r="AM329" i="3"/>
  <c r="AE329" i="3"/>
  <c r="M329" i="3"/>
  <c r="AK329" i="3"/>
  <c r="AF329" i="3"/>
  <c r="R329" i="3"/>
  <c r="T329" i="3"/>
  <c r="V329" i="3"/>
  <c r="P329" i="3"/>
  <c r="AT327" i="3"/>
  <c r="X328" i="3"/>
  <c r="BA326" i="3"/>
  <c r="Y328" i="3"/>
  <c r="Z328" i="3" s="1"/>
  <c r="AH328" i="3"/>
  <c r="BD325" i="3"/>
  <c r="BG325" i="3"/>
  <c r="BH325" i="3" s="1"/>
  <c r="BI325" i="3" s="1"/>
  <c r="BB325" i="3"/>
  <c r="BQ325" i="3"/>
  <c r="BF325" i="3"/>
  <c r="BJ324" i="3" s="1"/>
  <c r="BK324" i="3" s="1"/>
  <c r="AY326" i="3"/>
  <c r="BC326" i="3" s="1"/>
  <c r="AO329" i="3" l="1"/>
  <c r="AT328" i="3"/>
  <c r="AY327" i="3"/>
  <c r="Y329" i="3"/>
  <c r="Z329" i="3" s="1"/>
  <c r="BD326" i="3"/>
  <c r="BG326" i="3"/>
  <c r="BH326" i="3" s="1"/>
  <c r="BI326" i="3" s="1"/>
  <c r="X329" i="3"/>
  <c r="BQ326" i="3"/>
  <c r="BB326" i="3"/>
  <c r="BF326" i="3"/>
  <c r="BJ325" i="3" s="1"/>
  <c r="BK325" i="3" s="1"/>
  <c r="BA327" i="3"/>
  <c r="AV327" i="3"/>
  <c r="BC327" i="3" s="1"/>
  <c r="AN329" i="3"/>
  <c r="AH329" i="3"/>
  <c r="AV328" i="3"/>
  <c r="AG329" i="3"/>
  <c r="AR330" i="3"/>
  <c r="A331" i="3"/>
  <c r="B330" i="3"/>
  <c r="AQ330" i="3"/>
  <c r="D330" i="3"/>
  <c r="C330" i="3"/>
  <c r="F330" i="3"/>
  <c r="BM330" i="3" s="1"/>
  <c r="G330" i="3"/>
  <c r="H330" i="3" s="1"/>
  <c r="BN330" i="3" s="1"/>
  <c r="Q330" i="3"/>
  <c r="S330" i="3"/>
  <c r="O330" i="3"/>
  <c r="U330" i="3"/>
  <c r="AE330" i="3"/>
  <c r="AM330" i="3"/>
  <c r="AK330" i="3"/>
  <c r="M330" i="3"/>
  <c r="AD330" i="3"/>
  <c r="AF330" i="3"/>
  <c r="P330" i="3"/>
  <c r="T330" i="3"/>
  <c r="R330" i="3"/>
  <c r="V330" i="3"/>
  <c r="AW328" i="3"/>
  <c r="AU328" i="3"/>
  <c r="AX328" i="3"/>
  <c r="AO330" i="3" l="1"/>
  <c r="BA328" i="3"/>
  <c r="AW329" i="3"/>
  <c r="AG330" i="3"/>
  <c r="AY328" i="3"/>
  <c r="BC328" i="3" s="1"/>
  <c r="AN330" i="3"/>
  <c r="AX329" i="3"/>
  <c r="AQ331" i="3"/>
  <c r="B331" i="3"/>
  <c r="A332" i="3"/>
  <c r="AR331" i="3"/>
  <c r="D331" i="3"/>
  <c r="C331" i="3"/>
  <c r="G331" i="3"/>
  <c r="H331" i="3" s="1"/>
  <c r="BN331" i="3" s="1"/>
  <c r="F331" i="3"/>
  <c r="BM331" i="3" s="1"/>
  <c r="Q331" i="3"/>
  <c r="S331" i="3"/>
  <c r="O331" i="3"/>
  <c r="U331" i="3"/>
  <c r="AK331" i="3"/>
  <c r="AD331" i="3"/>
  <c r="M331" i="3"/>
  <c r="AM331" i="3"/>
  <c r="AE331" i="3"/>
  <c r="AF331" i="3"/>
  <c r="P331" i="3"/>
  <c r="T331" i="3"/>
  <c r="R331" i="3"/>
  <c r="V331" i="3"/>
  <c r="X330" i="3"/>
  <c r="AU329" i="3"/>
  <c r="BD327" i="3"/>
  <c r="BG327" i="3"/>
  <c r="BH327" i="3" s="1"/>
  <c r="BI327" i="3" s="1"/>
  <c r="BQ327" i="3"/>
  <c r="BF327" i="3"/>
  <c r="BJ326" i="3" s="1"/>
  <c r="BK326" i="3" s="1"/>
  <c r="BB327" i="3"/>
  <c r="AT329" i="3"/>
  <c r="Y330" i="3"/>
  <c r="Z330" i="3" s="1"/>
  <c r="BF328" i="3"/>
  <c r="BQ328" i="3"/>
  <c r="BB328" i="3"/>
  <c r="AH330" i="3"/>
  <c r="AY329" i="3" l="1"/>
  <c r="AN331" i="3"/>
  <c r="AX330" i="3"/>
  <c r="BJ327" i="3"/>
  <c r="BK327" i="3" s="1"/>
  <c r="BD328" i="3"/>
  <c r="BG328" i="3"/>
  <c r="BH328" i="3" s="1"/>
  <c r="BI328" i="3" s="1"/>
  <c r="AW330" i="3"/>
  <c r="AH331" i="3"/>
  <c r="AQ332" i="3"/>
  <c r="C332" i="3"/>
  <c r="A333" i="3"/>
  <c r="AR332" i="3"/>
  <c r="D332" i="3"/>
  <c r="B332" i="3"/>
  <c r="G332" i="3"/>
  <c r="H332" i="3" s="1"/>
  <c r="BN332" i="3" s="1"/>
  <c r="F332" i="3"/>
  <c r="BM332" i="3" s="1"/>
  <c r="Q332" i="3"/>
  <c r="S332" i="3"/>
  <c r="O332" i="3"/>
  <c r="U332" i="3"/>
  <c r="AK332" i="3"/>
  <c r="AM332" i="3"/>
  <c r="AD332" i="3"/>
  <c r="AE332" i="3"/>
  <c r="AF332" i="3"/>
  <c r="M332" i="3"/>
  <c r="V332" i="3"/>
  <c r="P332" i="3"/>
  <c r="T332" i="3"/>
  <c r="R332" i="3"/>
  <c r="AT330" i="3"/>
  <c r="AG331" i="3"/>
  <c r="X331" i="3"/>
  <c r="Y331" i="3"/>
  <c r="Z331" i="3" s="1"/>
  <c r="AO331" i="3"/>
  <c r="BA329" i="3"/>
  <c r="AV329" i="3"/>
  <c r="BC329" i="3" s="1"/>
  <c r="AU330" i="3"/>
  <c r="AU331" i="3" l="1"/>
  <c r="AN332" i="3"/>
  <c r="AY330" i="3"/>
  <c r="AT331" i="3"/>
  <c r="AV331" i="3" s="1"/>
  <c r="AH332" i="3"/>
  <c r="BB329" i="3"/>
  <c r="BQ329" i="3"/>
  <c r="BF329" i="3"/>
  <c r="BJ328" i="3" s="1"/>
  <c r="BK328" i="3" s="1"/>
  <c r="AW331" i="3"/>
  <c r="X332" i="3"/>
  <c r="BA330" i="3"/>
  <c r="AV330" i="3"/>
  <c r="BC330" i="3" s="1"/>
  <c r="AG332" i="3"/>
  <c r="AU332" i="3" s="1"/>
  <c r="Y332" i="3"/>
  <c r="Z332" i="3" s="1"/>
  <c r="AO332" i="3"/>
  <c r="AR333" i="3"/>
  <c r="AQ333" i="3"/>
  <c r="A334" i="3"/>
  <c r="D333" i="3"/>
  <c r="C333" i="3"/>
  <c r="B333" i="3"/>
  <c r="F333" i="3"/>
  <c r="BM333" i="3" s="1"/>
  <c r="G333" i="3"/>
  <c r="H333" i="3" s="1"/>
  <c r="BN333" i="3" s="1"/>
  <c r="S333" i="3"/>
  <c r="Q333" i="3"/>
  <c r="O333" i="3"/>
  <c r="U333" i="3"/>
  <c r="M333" i="3"/>
  <c r="AD333" i="3"/>
  <c r="AF333" i="3"/>
  <c r="AK333" i="3"/>
  <c r="AE333" i="3"/>
  <c r="AM333" i="3"/>
  <c r="R333" i="3"/>
  <c r="V333" i="3"/>
  <c r="P333" i="3"/>
  <c r="T333" i="3"/>
  <c r="BD329" i="3"/>
  <c r="BG329" i="3"/>
  <c r="BH329" i="3" s="1"/>
  <c r="BI329" i="3" s="1"/>
  <c r="AX331" i="3"/>
  <c r="AT332" i="3" l="1"/>
  <c r="AV332" i="3" s="1"/>
  <c r="AO333" i="3"/>
  <c r="BA331" i="3"/>
  <c r="X333" i="3"/>
  <c r="AH333" i="3"/>
  <c r="BB331" i="3"/>
  <c r="BQ331" i="3"/>
  <c r="BF331" i="3"/>
  <c r="AR334" i="3"/>
  <c r="B334" i="3"/>
  <c r="AQ334" i="3"/>
  <c r="A335" i="3"/>
  <c r="D334" i="3"/>
  <c r="C334" i="3"/>
  <c r="F334" i="3"/>
  <c r="BM334" i="3" s="1"/>
  <c r="G334" i="3"/>
  <c r="H334" i="3" s="1"/>
  <c r="BN334" i="3" s="1"/>
  <c r="Q334" i="3"/>
  <c r="S334" i="3"/>
  <c r="O334" i="3"/>
  <c r="U334" i="3"/>
  <c r="M334" i="3"/>
  <c r="AD334" i="3"/>
  <c r="AM334" i="3"/>
  <c r="AF334" i="3"/>
  <c r="AK334" i="3"/>
  <c r="AE334" i="3"/>
  <c r="P334" i="3"/>
  <c r="R334" i="3"/>
  <c r="T334" i="3"/>
  <c r="V334" i="3"/>
  <c r="AY331" i="3"/>
  <c r="BC331" i="3" s="1"/>
  <c r="AW332" i="3"/>
  <c r="BF330" i="3"/>
  <c r="BJ329" i="3" s="1"/>
  <c r="BK329" i="3" s="1"/>
  <c r="BB330" i="3"/>
  <c r="BQ330" i="3"/>
  <c r="AN333" i="3"/>
  <c r="BD330" i="3"/>
  <c r="BG330" i="3"/>
  <c r="BH330" i="3" s="1"/>
  <c r="BI330" i="3" s="1"/>
  <c r="Y333" i="3"/>
  <c r="Z333" i="3" s="1"/>
  <c r="AG333" i="3"/>
  <c r="AX332" i="3"/>
  <c r="AW333" i="3" l="1"/>
  <c r="AO334" i="3"/>
  <c r="Y334" i="3"/>
  <c r="Z334" i="3" s="1"/>
  <c r="AY332" i="3"/>
  <c r="AT333" i="3"/>
  <c r="AG334" i="3"/>
  <c r="BD331" i="3"/>
  <c r="BG331" i="3"/>
  <c r="BH331" i="3" s="1"/>
  <c r="BI331" i="3" s="1"/>
  <c r="AN334" i="3"/>
  <c r="BA332" i="3"/>
  <c r="AH334" i="3"/>
  <c r="BC332" i="3"/>
  <c r="X334" i="3"/>
  <c r="BJ330" i="3"/>
  <c r="BK330" i="3" s="1"/>
  <c r="AV333" i="3"/>
  <c r="A336" i="3"/>
  <c r="C335" i="3"/>
  <c r="D335" i="3"/>
  <c r="AQ335" i="3"/>
  <c r="B335" i="3"/>
  <c r="AR335" i="3"/>
  <c r="G335" i="3"/>
  <c r="H335" i="3" s="1"/>
  <c r="F335" i="3"/>
  <c r="BM335" i="3" s="1"/>
  <c r="Q335" i="3"/>
  <c r="S335" i="3"/>
  <c r="O335" i="3"/>
  <c r="U335" i="3"/>
  <c r="AM335" i="3"/>
  <c r="AD335" i="3"/>
  <c r="AE335" i="3"/>
  <c r="M335" i="3"/>
  <c r="AK335" i="3"/>
  <c r="AF335" i="3"/>
  <c r="V335" i="3"/>
  <c r="R335" i="3"/>
  <c r="T335" i="3"/>
  <c r="P335" i="3"/>
  <c r="AU333" i="3"/>
  <c r="AX333" i="3"/>
  <c r="AY333" i="3" s="1"/>
  <c r="BN335" i="3" l="1"/>
  <c r="AO335" i="3"/>
  <c r="AX334" i="3"/>
  <c r="AW334" i="3"/>
  <c r="AH335" i="3"/>
  <c r="AU334" i="3"/>
  <c r="AT334" i="3"/>
  <c r="AN335" i="3"/>
  <c r="X335" i="3"/>
  <c r="BA333" i="3"/>
  <c r="BD332" i="3"/>
  <c r="BG332" i="3"/>
  <c r="BH332" i="3" s="1"/>
  <c r="BI332" i="3" s="1"/>
  <c r="AQ336" i="3"/>
  <c r="C336" i="3"/>
  <c r="D336" i="3"/>
  <c r="A337" i="3"/>
  <c r="B336" i="3"/>
  <c r="AR336" i="3"/>
  <c r="F336" i="3"/>
  <c r="BM336" i="3" s="1"/>
  <c r="G336" i="3"/>
  <c r="H336" i="3" s="1"/>
  <c r="BN336" i="3" s="1"/>
  <c r="Q336" i="3"/>
  <c r="S336" i="3"/>
  <c r="O336" i="3"/>
  <c r="U336" i="3"/>
  <c r="AD336" i="3"/>
  <c r="AK336" i="3"/>
  <c r="AM336" i="3"/>
  <c r="M336" i="3"/>
  <c r="AF336" i="3"/>
  <c r="AE336" i="3"/>
  <c r="R336" i="3"/>
  <c r="P336" i="3"/>
  <c r="T336" i="3"/>
  <c r="V336" i="3"/>
  <c r="AG335" i="3"/>
  <c r="BB332" i="3"/>
  <c r="BQ332" i="3"/>
  <c r="BF332" i="3"/>
  <c r="BJ331" i="3" s="1"/>
  <c r="BK331" i="3" s="1"/>
  <c r="BC333" i="3"/>
  <c r="Y335" i="3"/>
  <c r="Z335" i="3" s="1"/>
  <c r="AY334" i="3" l="1"/>
  <c r="BA334" i="3"/>
  <c r="BQ334" i="3" s="1"/>
  <c r="AG336" i="3"/>
  <c r="AV334" i="3"/>
  <c r="BC334" i="3" s="1"/>
  <c r="AN336" i="3"/>
  <c r="AW335" i="3"/>
  <c r="AU335" i="3"/>
  <c r="X336" i="3"/>
  <c r="D337" i="3"/>
  <c r="AR337" i="3"/>
  <c r="B337" i="3"/>
  <c r="AQ337" i="3"/>
  <c r="A338" i="3"/>
  <c r="C337" i="3"/>
  <c r="F337" i="3"/>
  <c r="BM337" i="3" s="1"/>
  <c r="G337" i="3"/>
  <c r="H337" i="3" s="1"/>
  <c r="BN337" i="3" s="1"/>
  <c r="Q337" i="3"/>
  <c r="S337" i="3"/>
  <c r="O337" i="3"/>
  <c r="U337" i="3"/>
  <c r="M337" i="3"/>
  <c r="AF337" i="3"/>
  <c r="AE337" i="3"/>
  <c r="AD337" i="3"/>
  <c r="AK337" i="3"/>
  <c r="AM337" i="3"/>
  <c r="R337" i="3"/>
  <c r="T337" i="3"/>
  <c r="P337" i="3"/>
  <c r="V337" i="3"/>
  <c r="Y336" i="3"/>
  <c r="Z336" i="3" s="1"/>
  <c r="AO336" i="3"/>
  <c r="BD333" i="3"/>
  <c r="BG333" i="3"/>
  <c r="BH333" i="3" s="1"/>
  <c r="BI333" i="3" s="1"/>
  <c r="AX335" i="3"/>
  <c r="AH336" i="3"/>
  <c r="BB333" i="3"/>
  <c r="BF333" i="3"/>
  <c r="BJ332" i="3" s="1"/>
  <c r="BK332" i="3" s="1"/>
  <c r="BQ333" i="3"/>
  <c r="AT335" i="3"/>
  <c r="BB334" i="3" l="1"/>
  <c r="AX336" i="3"/>
  <c r="BF334" i="3"/>
  <c r="BD334" i="3"/>
  <c r="BG334" i="3"/>
  <c r="BH334" i="3" s="1"/>
  <c r="BI334" i="3" s="1"/>
  <c r="AY335" i="3"/>
  <c r="BJ333" i="3"/>
  <c r="BK333" i="3" s="1"/>
  <c r="Y337" i="3"/>
  <c r="Z337" i="3" s="1"/>
  <c r="AG337" i="3"/>
  <c r="AH337" i="3"/>
  <c r="AO337" i="3"/>
  <c r="AN337" i="3"/>
  <c r="X337" i="3"/>
  <c r="AR338" i="3"/>
  <c r="AQ338" i="3"/>
  <c r="D338" i="3"/>
  <c r="C338" i="3"/>
  <c r="B338" i="3"/>
  <c r="A339" i="3"/>
  <c r="G338" i="3"/>
  <c r="H338" i="3" s="1"/>
  <c r="BN338" i="3" s="1"/>
  <c r="F338" i="3"/>
  <c r="BM338" i="3" s="1"/>
  <c r="Q338" i="3"/>
  <c r="S338" i="3"/>
  <c r="O338" i="3"/>
  <c r="U338" i="3"/>
  <c r="AK338" i="3"/>
  <c r="AD338" i="3"/>
  <c r="M338" i="3"/>
  <c r="AF338" i="3"/>
  <c r="AM338" i="3"/>
  <c r="AE338" i="3"/>
  <c r="T338" i="3"/>
  <c r="P338" i="3"/>
  <c r="V338" i="3"/>
  <c r="R338" i="3"/>
  <c r="AW336" i="3"/>
  <c r="AY336" i="3" s="1"/>
  <c r="AU336" i="3"/>
  <c r="AV335" i="3"/>
  <c r="BA335" i="3"/>
  <c r="AT336" i="3"/>
  <c r="AN338" i="3" l="1"/>
  <c r="BC335" i="3"/>
  <c r="BD335" i="3" s="1"/>
  <c r="AG338" i="3"/>
  <c r="AT337" i="3"/>
  <c r="Y338" i="3"/>
  <c r="Z338" i="3" s="1"/>
  <c r="AW337" i="3"/>
  <c r="AU337" i="3"/>
  <c r="AX337" i="3"/>
  <c r="AH338" i="3"/>
  <c r="AU338" i="3" s="1"/>
  <c r="BF335" i="3"/>
  <c r="BJ334" i="3" s="1"/>
  <c r="BK334" i="3" s="1"/>
  <c r="BB335" i="3"/>
  <c r="BQ335" i="3"/>
  <c r="AO338" i="3"/>
  <c r="BA336" i="3"/>
  <c r="AV336" i="3"/>
  <c r="BC336" i="3" s="1"/>
  <c r="AQ339" i="3"/>
  <c r="B339" i="3"/>
  <c r="A340" i="3"/>
  <c r="AR339" i="3"/>
  <c r="D339" i="3"/>
  <c r="C339" i="3"/>
  <c r="F339" i="3"/>
  <c r="G339" i="3"/>
  <c r="H339" i="3" s="1"/>
  <c r="BN339" i="3" s="1"/>
  <c r="Q339" i="3"/>
  <c r="S339" i="3"/>
  <c r="O339" i="3"/>
  <c r="U339" i="3"/>
  <c r="AM339" i="3"/>
  <c r="AK339" i="3"/>
  <c r="AD339" i="3"/>
  <c r="AE339" i="3"/>
  <c r="M339" i="3"/>
  <c r="AF339" i="3"/>
  <c r="P339" i="3"/>
  <c r="R339" i="3"/>
  <c r="T339" i="3"/>
  <c r="V339" i="3"/>
  <c r="X338" i="3"/>
  <c r="BA337" i="3" l="1"/>
  <c r="AV337" i="3"/>
  <c r="AY337" i="3"/>
  <c r="BC337" i="3" s="1"/>
  <c r="AW338" i="3"/>
  <c r="BG335" i="3"/>
  <c r="BH335" i="3" s="1"/>
  <c r="BI335" i="3" s="1"/>
  <c r="BM339" i="3"/>
  <c r="AO339" i="3"/>
  <c r="AT338" i="3"/>
  <c r="AH339" i="3"/>
  <c r="AN339" i="3"/>
  <c r="AG339" i="3"/>
  <c r="BQ336" i="3"/>
  <c r="BF336" i="3"/>
  <c r="BJ335" i="3" s="1"/>
  <c r="BK335" i="3" s="1"/>
  <c r="BB336" i="3"/>
  <c r="AV338" i="3"/>
  <c r="X339" i="3"/>
  <c r="Y339" i="3"/>
  <c r="Z339" i="3" s="1"/>
  <c r="A341" i="3"/>
  <c r="B340" i="3"/>
  <c r="C340" i="3"/>
  <c r="AR340" i="3"/>
  <c r="AQ340" i="3"/>
  <c r="D340" i="3"/>
  <c r="G340" i="3"/>
  <c r="H340" i="3" s="1"/>
  <c r="F340" i="3"/>
  <c r="BM340" i="3" s="1"/>
  <c r="Q340" i="3"/>
  <c r="S340" i="3"/>
  <c r="O340" i="3"/>
  <c r="U340" i="3"/>
  <c r="M340" i="3"/>
  <c r="AD340" i="3"/>
  <c r="AF340" i="3"/>
  <c r="AK340" i="3"/>
  <c r="AM340" i="3"/>
  <c r="AE340" i="3"/>
  <c r="T340" i="3"/>
  <c r="V340" i="3"/>
  <c r="R340" i="3"/>
  <c r="P340" i="3"/>
  <c r="BQ337" i="3"/>
  <c r="BB337" i="3"/>
  <c r="BF337" i="3"/>
  <c r="BD336" i="3"/>
  <c r="BG336" i="3"/>
  <c r="BH336" i="3" s="1"/>
  <c r="BI336" i="3" s="1"/>
  <c r="AX338" i="3"/>
  <c r="AW339" i="3" l="1"/>
  <c r="BD337" i="3"/>
  <c r="BG337" i="3"/>
  <c r="BH337" i="3" s="1"/>
  <c r="BI337" i="3" s="1"/>
  <c r="AY338" i="3"/>
  <c r="AG340" i="3"/>
  <c r="AN340" i="3"/>
  <c r="BN340" i="3"/>
  <c r="AT339" i="3"/>
  <c r="AU339" i="3"/>
  <c r="AO340" i="3"/>
  <c r="BC338" i="3"/>
  <c r="B341" i="3"/>
  <c r="AR341" i="3"/>
  <c r="A342" i="3"/>
  <c r="AQ341" i="3"/>
  <c r="C341" i="3"/>
  <c r="D341" i="3"/>
  <c r="F341" i="3"/>
  <c r="BM341" i="3" s="1"/>
  <c r="G341" i="3"/>
  <c r="H341" i="3" s="1"/>
  <c r="BN341" i="3" s="1"/>
  <c r="Q341" i="3"/>
  <c r="S341" i="3"/>
  <c r="O341" i="3"/>
  <c r="U341" i="3"/>
  <c r="AM341" i="3"/>
  <c r="M341" i="3"/>
  <c r="AE341" i="3"/>
  <c r="AK341" i="3"/>
  <c r="AF341" i="3"/>
  <c r="AD341" i="3"/>
  <c r="R341" i="3"/>
  <c r="T341" i="3"/>
  <c r="V341" i="3"/>
  <c r="P341" i="3"/>
  <c r="BA338" i="3"/>
  <c r="BJ336" i="3"/>
  <c r="BK336" i="3" s="1"/>
  <c r="AH340" i="3"/>
  <c r="X340" i="3"/>
  <c r="Y340" i="3"/>
  <c r="Z340" i="3" s="1"/>
  <c r="AX339" i="3"/>
  <c r="AY339" i="3" s="1"/>
  <c r="AO341" i="3" l="1"/>
  <c r="AX340" i="3"/>
  <c r="AV339" i="3"/>
  <c r="BC339" i="3" s="1"/>
  <c r="AH341" i="3"/>
  <c r="BB338" i="3"/>
  <c r="BF338" i="3"/>
  <c r="BJ337" i="3" s="1"/>
  <c r="BK337" i="3" s="1"/>
  <c r="BQ338" i="3"/>
  <c r="Y341" i="3"/>
  <c r="Z341" i="3" s="1"/>
  <c r="X341" i="3"/>
  <c r="AG341" i="3"/>
  <c r="AR342" i="3"/>
  <c r="A343" i="3"/>
  <c r="B342" i="3"/>
  <c r="AQ342" i="3"/>
  <c r="D342" i="3"/>
  <c r="C342" i="3"/>
  <c r="F342" i="3"/>
  <c r="BM342" i="3" s="1"/>
  <c r="G342" i="3"/>
  <c r="H342" i="3" s="1"/>
  <c r="BN342" i="3" s="1"/>
  <c r="Q342" i="3"/>
  <c r="S342" i="3"/>
  <c r="O342" i="3"/>
  <c r="U342" i="3"/>
  <c r="AD342" i="3"/>
  <c r="AM342" i="3"/>
  <c r="AF342" i="3"/>
  <c r="AE342" i="3"/>
  <c r="M342" i="3"/>
  <c r="AK342" i="3"/>
  <c r="R342" i="3"/>
  <c r="P342" i="3"/>
  <c r="T342" i="3"/>
  <c r="V342" i="3"/>
  <c r="AN341" i="3"/>
  <c r="AW340" i="3"/>
  <c r="BD338" i="3"/>
  <c r="BG338" i="3"/>
  <c r="BH338" i="3" s="1"/>
  <c r="BI338" i="3" s="1"/>
  <c r="AU340" i="3"/>
  <c r="BA339" i="3"/>
  <c r="AT340" i="3"/>
  <c r="AX341" i="3" l="1"/>
  <c r="AT341" i="3"/>
  <c r="AY340" i="3"/>
  <c r="AG342" i="3"/>
  <c r="AO342" i="3"/>
  <c r="Y342" i="3"/>
  <c r="Z342" i="3" s="1"/>
  <c r="AH342" i="3"/>
  <c r="AR343" i="3"/>
  <c r="B343" i="3"/>
  <c r="D343" i="3"/>
  <c r="AQ343" i="3"/>
  <c r="A344" i="3"/>
  <c r="C343" i="3"/>
  <c r="G343" i="3"/>
  <c r="H343" i="3" s="1"/>
  <c r="BN343" i="3" s="1"/>
  <c r="F343" i="3"/>
  <c r="BM343" i="3" s="1"/>
  <c r="Q343" i="3"/>
  <c r="S343" i="3"/>
  <c r="O343" i="3"/>
  <c r="U343" i="3"/>
  <c r="AK343" i="3"/>
  <c r="AD343" i="3"/>
  <c r="M343" i="3"/>
  <c r="AM343" i="3"/>
  <c r="AE343" i="3"/>
  <c r="AF343" i="3"/>
  <c r="T343" i="3"/>
  <c r="P343" i="3"/>
  <c r="R343" i="3"/>
  <c r="V343" i="3"/>
  <c r="BF339" i="3"/>
  <c r="BJ338" i="3" s="1"/>
  <c r="BK338" i="3" s="1"/>
  <c r="BB339" i="3"/>
  <c r="BQ339" i="3"/>
  <c r="X342" i="3"/>
  <c r="AV340" i="3"/>
  <c r="BA340" i="3"/>
  <c r="AW341" i="3"/>
  <c r="AY341" i="3" s="1"/>
  <c r="AU341" i="3"/>
  <c r="AV341" i="3" s="1"/>
  <c r="AN342" i="3"/>
  <c r="BD339" i="3"/>
  <c r="BG339" i="3"/>
  <c r="BH339" i="3" s="1"/>
  <c r="BI339" i="3" s="1"/>
  <c r="AT342" i="3" l="1"/>
  <c r="BC340" i="3"/>
  <c r="BD340" i="3" s="1"/>
  <c r="AU342" i="3"/>
  <c r="AN343" i="3"/>
  <c r="Y343" i="3"/>
  <c r="Z343" i="3" s="1"/>
  <c r="AG343" i="3"/>
  <c r="BC341" i="3"/>
  <c r="BD341" i="3" s="1"/>
  <c r="A345" i="3"/>
  <c r="B344" i="3"/>
  <c r="AR344" i="3"/>
  <c r="AQ344" i="3"/>
  <c r="C344" i="3"/>
  <c r="D344" i="3"/>
  <c r="F344" i="3"/>
  <c r="BM344" i="3" s="1"/>
  <c r="G344" i="3"/>
  <c r="H344" i="3" s="1"/>
  <c r="Q344" i="3"/>
  <c r="S344" i="3"/>
  <c r="O344" i="3"/>
  <c r="U344" i="3"/>
  <c r="AK344" i="3"/>
  <c r="AD344" i="3"/>
  <c r="AE344" i="3"/>
  <c r="AF344" i="3"/>
  <c r="AM344" i="3"/>
  <c r="M344" i="3"/>
  <c r="V344" i="3"/>
  <c r="R344" i="3"/>
  <c r="P344" i="3"/>
  <c r="T344" i="3"/>
  <c r="AH343" i="3"/>
  <c r="AO343" i="3"/>
  <c r="X343" i="3"/>
  <c r="BB340" i="3"/>
  <c r="BQ340" i="3"/>
  <c r="BF340" i="3"/>
  <c r="BJ339" i="3" s="1"/>
  <c r="BK339" i="3" s="1"/>
  <c r="BA341" i="3"/>
  <c r="AX342" i="3"/>
  <c r="AW342" i="3"/>
  <c r="AV342" i="3" l="1"/>
  <c r="BG340" i="3"/>
  <c r="BH340" i="3" s="1"/>
  <c r="BI340" i="3" s="1"/>
  <c r="AN344" i="3"/>
  <c r="BN344" i="3"/>
  <c r="AT343" i="3"/>
  <c r="BG341" i="3"/>
  <c r="BH341" i="3" s="1"/>
  <c r="BI341" i="3" s="1"/>
  <c r="AW343" i="3"/>
  <c r="AY342" i="3"/>
  <c r="BC342" i="3" s="1"/>
  <c r="AG344" i="3"/>
  <c r="AX343" i="3"/>
  <c r="BA342" i="3"/>
  <c r="AO344" i="3"/>
  <c r="Y344" i="3"/>
  <c r="Z344" i="3" s="1"/>
  <c r="AH344" i="3"/>
  <c r="AR345" i="3"/>
  <c r="B345" i="3"/>
  <c r="AQ345" i="3"/>
  <c r="A346" i="3"/>
  <c r="D345" i="3"/>
  <c r="C345" i="3"/>
  <c r="F345" i="3"/>
  <c r="BM345" i="3" s="1"/>
  <c r="G345" i="3"/>
  <c r="H345" i="3" s="1"/>
  <c r="BN345" i="3" s="1"/>
  <c r="S345" i="3"/>
  <c r="Q345" i="3"/>
  <c r="O345" i="3"/>
  <c r="U345" i="3"/>
  <c r="AK345" i="3"/>
  <c r="AE345" i="3"/>
  <c r="AM345" i="3"/>
  <c r="AF345" i="3"/>
  <c r="AD345" i="3"/>
  <c r="M345" i="3"/>
  <c r="T345" i="3"/>
  <c r="V345" i="3"/>
  <c r="R345" i="3"/>
  <c r="P345" i="3"/>
  <c r="X344" i="3"/>
  <c r="BF341" i="3"/>
  <c r="BJ340" i="3" s="1"/>
  <c r="BK340" i="3" s="1"/>
  <c r="BB341" i="3"/>
  <c r="BQ341" i="3"/>
  <c r="AU343" i="3"/>
  <c r="AV343" i="3" s="1"/>
  <c r="AX344" i="3" l="1"/>
  <c r="AN345" i="3"/>
  <c r="AY343" i="3"/>
  <c r="BC343" i="3" s="1"/>
  <c r="AH345" i="3"/>
  <c r="AT344" i="3"/>
  <c r="X345" i="3"/>
  <c r="AR346" i="3"/>
  <c r="A347" i="3"/>
  <c r="C346" i="3"/>
  <c r="B346" i="3"/>
  <c r="AQ346" i="3"/>
  <c r="D346" i="3"/>
  <c r="F346" i="3"/>
  <c r="BM346" i="3" s="1"/>
  <c r="G346" i="3"/>
  <c r="H346" i="3" s="1"/>
  <c r="BN346" i="3" s="1"/>
  <c r="Q346" i="3"/>
  <c r="S346" i="3"/>
  <c r="O346" i="3"/>
  <c r="U346" i="3"/>
  <c r="M346" i="3"/>
  <c r="AD346" i="3"/>
  <c r="AK346" i="3"/>
  <c r="AF346" i="3"/>
  <c r="AM346" i="3"/>
  <c r="AE346" i="3"/>
  <c r="T346" i="3"/>
  <c r="P346" i="3"/>
  <c r="R346" i="3"/>
  <c r="V346" i="3"/>
  <c r="AO345" i="3"/>
  <c r="BF342" i="3"/>
  <c r="BJ341" i="3" s="1"/>
  <c r="BK341" i="3" s="1"/>
  <c r="BB342" i="3"/>
  <c r="BQ342" i="3"/>
  <c r="BA343" i="3"/>
  <c r="AG345" i="3"/>
  <c r="Y345" i="3"/>
  <c r="Z345" i="3" s="1"/>
  <c r="AW344" i="3"/>
  <c r="BD342" i="3"/>
  <c r="BG342" i="3"/>
  <c r="BH342" i="3" s="1"/>
  <c r="BI342" i="3" s="1"/>
  <c r="AU344" i="3"/>
  <c r="AV344" i="3" l="1"/>
  <c r="AY344" i="3"/>
  <c r="AT345" i="3"/>
  <c r="BA344" i="3"/>
  <c r="AX345" i="3"/>
  <c r="AN346" i="3"/>
  <c r="BD343" i="3"/>
  <c r="BG343" i="3"/>
  <c r="BH343" i="3" s="1"/>
  <c r="BI343" i="3" s="1"/>
  <c r="AG346" i="3"/>
  <c r="Y346" i="3"/>
  <c r="Z346" i="3" s="1"/>
  <c r="AU345" i="3"/>
  <c r="BF344" i="3"/>
  <c r="BB344" i="3"/>
  <c r="BQ344" i="3"/>
  <c r="AH346" i="3"/>
  <c r="AU346" i="3" s="1"/>
  <c r="AW345" i="3"/>
  <c r="AY345" i="3" s="1"/>
  <c r="BC344" i="3"/>
  <c r="AV345" i="3"/>
  <c r="AO346" i="3"/>
  <c r="X346" i="3"/>
  <c r="AQ347" i="3"/>
  <c r="B347" i="3"/>
  <c r="A348" i="3"/>
  <c r="AR347" i="3"/>
  <c r="D347" i="3"/>
  <c r="C347" i="3"/>
  <c r="F347" i="3"/>
  <c r="BM347" i="3" s="1"/>
  <c r="G347" i="3"/>
  <c r="H347" i="3" s="1"/>
  <c r="BN347" i="3" s="1"/>
  <c r="Q347" i="3"/>
  <c r="S347" i="3"/>
  <c r="O347" i="3"/>
  <c r="U347" i="3"/>
  <c r="AD347" i="3"/>
  <c r="M347" i="3"/>
  <c r="AE347" i="3"/>
  <c r="AK347" i="3"/>
  <c r="AF347" i="3"/>
  <c r="AM347" i="3"/>
  <c r="R347" i="3"/>
  <c r="T347" i="3"/>
  <c r="P347" i="3"/>
  <c r="V347" i="3"/>
  <c r="BQ343" i="3"/>
  <c r="BB343" i="3"/>
  <c r="BF343" i="3"/>
  <c r="BJ342" i="3" s="1"/>
  <c r="BK342" i="3" s="1"/>
  <c r="AT346" i="3" l="1"/>
  <c r="AW346" i="3"/>
  <c r="AN347" i="3"/>
  <c r="BA345" i="3"/>
  <c r="BC345" i="3"/>
  <c r="BD345" i="3" s="1"/>
  <c r="AO347" i="3"/>
  <c r="AH347" i="3"/>
  <c r="BQ345" i="3"/>
  <c r="BB345" i="3"/>
  <c r="BF345" i="3"/>
  <c r="BJ344" i="3" s="1"/>
  <c r="BK344" i="3" s="1"/>
  <c r="BD344" i="3"/>
  <c r="BG344" i="3"/>
  <c r="BH344" i="3" s="1"/>
  <c r="BI344" i="3" s="1"/>
  <c r="AQ348" i="3"/>
  <c r="A349" i="3"/>
  <c r="B348" i="3"/>
  <c r="AR348" i="3"/>
  <c r="D348" i="3"/>
  <c r="C348" i="3"/>
  <c r="G348" i="3"/>
  <c r="H348" i="3" s="1"/>
  <c r="BN348" i="3" s="1"/>
  <c r="F348" i="3"/>
  <c r="BM348" i="3" s="1"/>
  <c r="S348" i="3"/>
  <c r="Q348" i="3"/>
  <c r="O348" i="3"/>
  <c r="U348" i="3"/>
  <c r="AD348" i="3"/>
  <c r="AF348" i="3"/>
  <c r="AM348" i="3"/>
  <c r="AE348" i="3"/>
  <c r="M348" i="3"/>
  <c r="AK348" i="3"/>
  <c r="R348" i="3"/>
  <c r="P348" i="3"/>
  <c r="V348" i="3"/>
  <c r="T348" i="3"/>
  <c r="AG347" i="3"/>
  <c r="AV346" i="3"/>
  <c r="X347" i="3"/>
  <c r="BG345" i="3"/>
  <c r="BH345" i="3" s="1"/>
  <c r="BI345" i="3" s="1"/>
  <c r="AX346" i="3"/>
  <c r="Y347" i="3"/>
  <c r="Z347" i="3" s="1"/>
  <c r="BJ343" i="3"/>
  <c r="BK343" i="3" s="1"/>
  <c r="AY346" i="3" l="1"/>
  <c r="BC346" i="3" s="1"/>
  <c r="AO348" i="3"/>
  <c r="AW347" i="3"/>
  <c r="AG348" i="3"/>
  <c r="Y348" i="3"/>
  <c r="Z348" i="3" s="1"/>
  <c r="AH348" i="3"/>
  <c r="X348" i="3"/>
  <c r="AR349" i="3"/>
  <c r="AQ349" i="3"/>
  <c r="A350" i="3"/>
  <c r="C349" i="3"/>
  <c r="D349" i="3"/>
  <c r="B349" i="3"/>
  <c r="F349" i="3"/>
  <c r="BM349" i="3" s="1"/>
  <c r="G349" i="3"/>
  <c r="H349" i="3" s="1"/>
  <c r="BN349" i="3" s="1"/>
  <c r="Q349" i="3"/>
  <c r="S349" i="3"/>
  <c r="O349" i="3"/>
  <c r="U349" i="3"/>
  <c r="AE349" i="3"/>
  <c r="AF349" i="3"/>
  <c r="M349" i="3"/>
  <c r="AM349" i="3"/>
  <c r="AD349" i="3"/>
  <c r="AK349" i="3"/>
  <c r="V349" i="3"/>
  <c r="R349" i="3"/>
  <c r="T349" i="3"/>
  <c r="P349" i="3"/>
  <c r="AU347" i="3"/>
  <c r="BA346" i="3"/>
  <c r="AN348" i="3"/>
  <c r="AT347" i="3"/>
  <c r="AX347" i="3"/>
  <c r="AU348" i="3" l="1"/>
  <c r="AY347" i="3"/>
  <c r="AW348" i="3"/>
  <c r="AT348" i="3"/>
  <c r="AH349" i="3"/>
  <c r="AO349" i="3"/>
  <c r="X349" i="3"/>
  <c r="Y349" i="3"/>
  <c r="Z349" i="3" s="1"/>
  <c r="AG349" i="3"/>
  <c r="AV348" i="3"/>
  <c r="AN349" i="3"/>
  <c r="BQ346" i="3"/>
  <c r="BB346" i="3"/>
  <c r="BF346" i="3"/>
  <c r="BJ345" i="3" s="1"/>
  <c r="BK345" i="3" s="1"/>
  <c r="AR350" i="3"/>
  <c r="B350" i="3"/>
  <c r="AQ350" i="3"/>
  <c r="A351" i="3"/>
  <c r="D350" i="3"/>
  <c r="C350" i="3"/>
  <c r="G350" i="3"/>
  <c r="H350" i="3" s="1"/>
  <c r="BN350" i="3" s="1"/>
  <c r="F350" i="3"/>
  <c r="BM350" i="3" s="1"/>
  <c r="Q350" i="3"/>
  <c r="S350" i="3"/>
  <c r="O350" i="3"/>
  <c r="U350" i="3"/>
  <c r="M350" i="3"/>
  <c r="AK350" i="3"/>
  <c r="AE350" i="3"/>
  <c r="AF350" i="3"/>
  <c r="AM350" i="3"/>
  <c r="AD350" i="3"/>
  <c r="P350" i="3"/>
  <c r="R350" i="3"/>
  <c r="T350" i="3"/>
  <c r="V350" i="3"/>
  <c r="BG346" i="3"/>
  <c r="BH346" i="3" s="1"/>
  <c r="BI346" i="3" s="1"/>
  <c r="BD346" i="3"/>
  <c r="AV347" i="3"/>
  <c r="BC347" i="3" s="1"/>
  <c r="BA347" i="3"/>
  <c r="AX348" i="3"/>
  <c r="AY348" i="3" s="1"/>
  <c r="AN350" i="3" l="1"/>
  <c r="AU349" i="3"/>
  <c r="AT349" i="3"/>
  <c r="AV349" i="3" s="1"/>
  <c r="AX349" i="3"/>
  <c r="AH350" i="3"/>
  <c r="AG350" i="3"/>
  <c r="X350" i="3"/>
  <c r="AU350" i="3"/>
  <c r="BF347" i="3"/>
  <c r="BJ346" i="3" s="1"/>
  <c r="BK346" i="3" s="1"/>
  <c r="BB347" i="3"/>
  <c r="BQ347" i="3"/>
  <c r="BA348" i="3"/>
  <c r="A352" i="3"/>
  <c r="C351" i="3"/>
  <c r="AQ351" i="3"/>
  <c r="B351" i="3"/>
  <c r="AR351" i="3"/>
  <c r="D351" i="3"/>
  <c r="F351" i="3"/>
  <c r="BM351" i="3" s="1"/>
  <c r="G351" i="3"/>
  <c r="H351" i="3" s="1"/>
  <c r="BN351" i="3" s="1"/>
  <c r="Q351" i="3"/>
  <c r="S351" i="3"/>
  <c r="O351" i="3"/>
  <c r="U351" i="3"/>
  <c r="AK351" i="3"/>
  <c r="AM351" i="3"/>
  <c r="AE351" i="3"/>
  <c r="AF351" i="3"/>
  <c r="M351" i="3"/>
  <c r="AD351" i="3"/>
  <c r="V351" i="3"/>
  <c r="T351" i="3"/>
  <c r="R351" i="3"/>
  <c r="P351" i="3"/>
  <c r="BC348" i="3"/>
  <c r="AO350" i="3"/>
  <c r="Y350" i="3"/>
  <c r="Z350" i="3" s="1"/>
  <c r="BG347" i="3"/>
  <c r="BH347" i="3" s="1"/>
  <c r="BI347" i="3" s="1"/>
  <c r="BD347" i="3"/>
  <c r="AW349" i="3"/>
  <c r="AY349" i="3" l="1"/>
  <c r="AT350" i="3"/>
  <c r="AV350" i="3" s="1"/>
  <c r="AN351" i="3"/>
  <c r="AG351" i="3"/>
  <c r="AH351" i="3"/>
  <c r="AT351" i="3" s="1"/>
  <c r="Y351" i="3"/>
  <c r="Z351" i="3" s="1"/>
  <c r="A353" i="3"/>
  <c r="AR352" i="3"/>
  <c r="D352" i="3"/>
  <c r="AQ352" i="3"/>
  <c r="B352" i="3"/>
  <c r="C352" i="3"/>
  <c r="F352" i="3"/>
  <c r="BM352" i="3" s="1"/>
  <c r="G352" i="3"/>
  <c r="H352" i="3" s="1"/>
  <c r="BN352" i="3" s="1"/>
  <c r="Q352" i="3"/>
  <c r="S352" i="3"/>
  <c r="O352" i="3"/>
  <c r="U352" i="3"/>
  <c r="M352" i="3"/>
  <c r="AM352" i="3"/>
  <c r="AD352" i="3"/>
  <c r="AK352" i="3"/>
  <c r="AE352" i="3"/>
  <c r="AF352" i="3"/>
  <c r="T352" i="3"/>
  <c r="V352" i="3"/>
  <c r="P352" i="3"/>
  <c r="R352" i="3"/>
  <c r="AO351" i="3"/>
  <c r="X351" i="3"/>
  <c r="BA349" i="3"/>
  <c r="BC349" i="3"/>
  <c r="BB348" i="3"/>
  <c r="BQ348" i="3"/>
  <c r="BF348" i="3"/>
  <c r="BJ347" i="3" s="1"/>
  <c r="BK347" i="3" s="1"/>
  <c r="AW350" i="3"/>
  <c r="BD348" i="3"/>
  <c r="BG348" i="3"/>
  <c r="BH348" i="3" s="1"/>
  <c r="BI348" i="3" s="1"/>
  <c r="AX350" i="3"/>
  <c r="AO352" i="3" l="1"/>
  <c r="AH352" i="3"/>
  <c r="AG352" i="3"/>
  <c r="X352" i="3"/>
  <c r="AU352" i="3"/>
  <c r="C353" i="3"/>
  <c r="AR353" i="3"/>
  <c r="B353" i="3"/>
  <c r="AQ353" i="3"/>
  <c r="D353" i="3"/>
  <c r="A354" i="3"/>
  <c r="G353" i="3"/>
  <c r="H353" i="3" s="1"/>
  <c r="BN353" i="3" s="1"/>
  <c r="F353" i="3"/>
  <c r="BM353" i="3" s="1"/>
  <c r="S353" i="3"/>
  <c r="Q353" i="3"/>
  <c r="O353" i="3"/>
  <c r="U353" i="3"/>
  <c r="AM353" i="3"/>
  <c r="AD353" i="3"/>
  <c r="AE353" i="3"/>
  <c r="AF353" i="3"/>
  <c r="AK353" i="3"/>
  <c r="M353" i="3"/>
  <c r="V353" i="3"/>
  <c r="P353" i="3"/>
  <c r="T353" i="3"/>
  <c r="R353" i="3"/>
  <c r="AY350" i="3"/>
  <c r="BC350" i="3" s="1"/>
  <c r="Y352" i="3"/>
  <c r="Z352" i="3" s="1"/>
  <c r="BA350" i="3"/>
  <c r="AN352" i="3"/>
  <c r="AX351" i="3"/>
  <c r="AU351" i="3"/>
  <c r="AW351" i="3"/>
  <c r="BD349" i="3"/>
  <c r="BG349" i="3"/>
  <c r="BH349" i="3" s="1"/>
  <c r="BI349" i="3" s="1"/>
  <c r="BB349" i="3"/>
  <c r="BF349" i="3"/>
  <c r="BJ348" i="3" s="1"/>
  <c r="BK348" i="3" s="1"/>
  <c r="BQ349" i="3"/>
  <c r="AT352" i="3" l="1"/>
  <c r="BA351" i="3"/>
  <c r="AV351" i="3"/>
  <c r="AO353" i="3"/>
  <c r="AG353" i="3"/>
  <c r="AX352" i="3"/>
  <c r="BD350" i="3"/>
  <c r="BG350" i="3"/>
  <c r="BH350" i="3" s="1"/>
  <c r="BI350" i="3" s="1"/>
  <c r="X353" i="3"/>
  <c r="AN353" i="3"/>
  <c r="BB351" i="3"/>
  <c r="BQ351" i="3"/>
  <c r="BF351" i="3"/>
  <c r="BC351" i="3"/>
  <c r="AH353" i="3"/>
  <c r="AQ354" i="3"/>
  <c r="D354" i="3"/>
  <c r="C354" i="3"/>
  <c r="AR354" i="3"/>
  <c r="B354" i="3"/>
  <c r="A355" i="3"/>
  <c r="F354" i="3"/>
  <c r="BM354" i="3" s="1"/>
  <c r="G354" i="3"/>
  <c r="H354" i="3" s="1"/>
  <c r="BN354" i="3" s="1"/>
  <c r="Q354" i="3"/>
  <c r="S354" i="3"/>
  <c r="O354" i="3"/>
  <c r="U354" i="3"/>
  <c r="AE354" i="3"/>
  <c r="AD354" i="3"/>
  <c r="M354" i="3"/>
  <c r="AF354" i="3"/>
  <c r="AK354" i="3"/>
  <c r="AM354" i="3"/>
  <c r="V354" i="3"/>
  <c r="T354" i="3"/>
  <c r="P354" i="3"/>
  <c r="R354" i="3"/>
  <c r="AV352" i="3"/>
  <c r="Y353" i="3"/>
  <c r="Z353" i="3" s="1"/>
  <c r="AY351" i="3"/>
  <c r="AW352" i="3"/>
  <c r="AY352" i="3" s="1"/>
  <c r="BQ350" i="3"/>
  <c r="BF350" i="3"/>
  <c r="BJ349" i="3" s="1"/>
  <c r="BK349" i="3" s="1"/>
  <c r="BB350" i="3"/>
  <c r="AX353" i="3" l="1"/>
  <c r="AO354" i="3"/>
  <c r="AH354" i="3"/>
  <c r="Y354" i="3"/>
  <c r="Z354" i="3" s="1"/>
  <c r="AN354" i="3"/>
  <c r="X354" i="3"/>
  <c r="AQ355" i="3"/>
  <c r="B355" i="3"/>
  <c r="A356" i="3"/>
  <c r="AR355" i="3"/>
  <c r="D355" i="3"/>
  <c r="C355" i="3"/>
  <c r="F355" i="3"/>
  <c r="BM355" i="3" s="1"/>
  <c r="G355" i="3"/>
  <c r="H355" i="3" s="1"/>
  <c r="BN355" i="3" s="1"/>
  <c r="Q355" i="3"/>
  <c r="S355" i="3"/>
  <c r="O355" i="3"/>
  <c r="U355" i="3"/>
  <c r="M355" i="3"/>
  <c r="AE355" i="3"/>
  <c r="AK355" i="3"/>
  <c r="AF355" i="3"/>
  <c r="AD355" i="3"/>
  <c r="AM355" i="3"/>
  <c r="R355" i="3"/>
  <c r="P355" i="3"/>
  <c r="V355" i="3"/>
  <c r="T355" i="3"/>
  <c r="AW353" i="3"/>
  <c r="BD351" i="3"/>
  <c r="BG351" i="3"/>
  <c r="BH351" i="3" s="1"/>
  <c r="BI351" i="3" s="1"/>
  <c r="AU353" i="3"/>
  <c r="BA352" i="3"/>
  <c r="BC352" i="3"/>
  <c r="AG354" i="3"/>
  <c r="BJ350" i="3"/>
  <c r="BK350" i="3" s="1"/>
  <c r="AT353" i="3"/>
  <c r="AN355" i="3" l="1"/>
  <c r="AY353" i="3"/>
  <c r="AU354" i="3"/>
  <c r="AW354" i="3"/>
  <c r="AT354" i="3"/>
  <c r="AG355" i="3"/>
  <c r="AV354" i="3"/>
  <c r="BA353" i="3"/>
  <c r="AV353" i="3"/>
  <c r="BC353" i="3" s="1"/>
  <c r="BQ352" i="3"/>
  <c r="BB352" i="3"/>
  <c r="BF352" i="3"/>
  <c r="BJ351" i="3" s="1"/>
  <c r="BK351" i="3" s="1"/>
  <c r="AH355" i="3"/>
  <c r="AT355" i="3" s="1"/>
  <c r="X355" i="3"/>
  <c r="Y355" i="3"/>
  <c r="Z355" i="3" s="1"/>
  <c r="AO355" i="3"/>
  <c r="A357" i="3"/>
  <c r="D356" i="3"/>
  <c r="B356" i="3"/>
  <c r="AR356" i="3"/>
  <c r="AQ356" i="3"/>
  <c r="C356" i="3"/>
  <c r="G356" i="3"/>
  <c r="H356" i="3" s="1"/>
  <c r="BN356" i="3" s="1"/>
  <c r="F356" i="3"/>
  <c r="BM356" i="3" s="1"/>
  <c r="Q356" i="3"/>
  <c r="S356" i="3"/>
  <c r="O356" i="3"/>
  <c r="U356" i="3"/>
  <c r="AK356" i="3"/>
  <c r="M356" i="3"/>
  <c r="AM356" i="3"/>
  <c r="AD356" i="3"/>
  <c r="AE356" i="3"/>
  <c r="AF356" i="3"/>
  <c r="P356" i="3"/>
  <c r="V356" i="3"/>
  <c r="R356" i="3"/>
  <c r="T356" i="3"/>
  <c r="BD352" i="3"/>
  <c r="BG352" i="3"/>
  <c r="BH352" i="3" s="1"/>
  <c r="BI352" i="3" s="1"/>
  <c r="AX354" i="3"/>
  <c r="AY354" i="3" l="1"/>
  <c r="AN356" i="3"/>
  <c r="BA354" i="3"/>
  <c r="BB354" i="3" s="1"/>
  <c r="AH356" i="3"/>
  <c r="BQ354" i="3"/>
  <c r="AX355" i="3"/>
  <c r="BG353" i="3"/>
  <c r="BH353" i="3" s="1"/>
  <c r="BI353" i="3" s="1"/>
  <c r="BD353" i="3"/>
  <c r="AO356" i="3"/>
  <c r="Y356" i="3"/>
  <c r="Z356" i="3" s="1"/>
  <c r="B357" i="3"/>
  <c r="AR357" i="3"/>
  <c r="AQ357" i="3"/>
  <c r="A358" i="3"/>
  <c r="C357" i="3"/>
  <c r="D357" i="3"/>
  <c r="G357" i="3"/>
  <c r="H357" i="3" s="1"/>
  <c r="F357" i="3"/>
  <c r="Q357" i="3"/>
  <c r="S357" i="3"/>
  <c r="O357" i="3"/>
  <c r="U357" i="3"/>
  <c r="AM357" i="3"/>
  <c r="AE357" i="3"/>
  <c r="AF357" i="3"/>
  <c r="AD357" i="3"/>
  <c r="M357" i="3"/>
  <c r="AK357" i="3"/>
  <c r="R357" i="3"/>
  <c r="P357" i="3"/>
  <c r="V357" i="3"/>
  <c r="T357" i="3"/>
  <c r="AU355" i="3"/>
  <c r="AV355" i="3" s="1"/>
  <c r="BC354" i="3"/>
  <c r="X356" i="3"/>
  <c r="BB353" i="3"/>
  <c r="BQ353" i="3"/>
  <c r="BF353" i="3"/>
  <c r="BJ352" i="3" s="1"/>
  <c r="BK352" i="3" s="1"/>
  <c r="AG356" i="3"/>
  <c r="AW355" i="3"/>
  <c r="BF354" i="3" l="1"/>
  <c r="BM357" i="3"/>
  <c r="AO357" i="3"/>
  <c r="BN357" i="3"/>
  <c r="Y357" i="3"/>
  <c r="Z357" i="3" s="1"/>
  <c r="AW356" i="3"/>
  <c r="BA355" i="3"/>
  <c r="BF355" i="3" s="1"/>
  <c r="BJ354" i="3" s="1"/>
  <c r="BK354" i="3" s="1"/>
  <c r="AG357" i="3"/>
  <c r="AH357" i="3"/>
  <c r="AU356" i="3"/>
  <c r="X357" i="3"/>
  <c r="AR358" i="3"/>
  <c r="B358" i="3"/>
  <c r="AQ358" i="3"/>
  <c r="A359" i="3"/>
  <c r="C358" i="3"/>
  <c r="D358" i="3"/>
  <c r="F358" i="3"/>
  <c r="BM358" i="3" s="1"/>
  <c r="G358" i="3"/>
  <c r="H358" i="3" s="1"/>
  <c r="BN358" i="3" s="1"/>
  <c r="S358" i="3"/>
  <c r="Q358" i="3"/>
  <c r="O358" i="3"/>
  <c r="U358" i="3"/>
  <c r="AM358" i="3"/>
  <c r="M358" i="3"/>
  <c r="AE358" i="3"/>
  <c r="AF358" i="3"/>
  <c r="AK358" i="3"/>
  <c r="AD358" i="3"/>
  <c r="T358" i="3"/>
  <c r="P358" i="3"/>
  <c r="R358" i="3"/>
  <c r="V358" i="3"/>
  <c r="AY355" i="3"/>
  <c r="BC355" i="3" s="1"/>
  <c r="BD354" i="3"/>
  <c r="BG354" i="3"/>
  <c r="BH354" i="3" s="1"/>
  <c r="BI354" i="3" s="1"/>
  <c r="AN357" i="3"/>
  <c r="BJ353" i="3"/>
  <c r="BK353" i="3" s="1"/>
  <c r="AT356" i="3"/>
  <c r="AX356" i="3"/>
  <c r="AY356" i="3" l="1"/>
  <c r="BB355" i="3"/>
  <c r="AO358" i="3"/>
  <c r="BQ355" i="3"/>
  <c r="AW357" i="3"/>
  <c r="Y358" i="3"/>
  <c r="Z358" i="3" s="1"/>
  <c r="AH358" i="3"/>
  <c r="AU357" i="3"/>
  <c r="B359" i="3"/>
  <c r="C359" i="3"/>
  <c r="AQ359" i="3"/>
  <c r="A360" i="3"/>
  <c r="AR359" i="3"/>
  <c r="D359" i="3"/>
  <c r="F359" i="3"/>
  <c r="BM359" i="3" s="1"/>
  <c r="G359" i="3"/>
  <c r="H359" i="3" s="1"/>
  <c r="BN359" i="3" s="1"/>
  <c r="S359" i="3"/>
  <c r="Q359" i="3"/>
  <c r="O359" i="3"/>
  <c r="U359" i="3"/>
  <c r="AD359" i="3"/>
  <c r="AM359" i="3"/>
  <c r="AK359" i="3"/>
  <c r="M359" i="3"/>
  <c r="AF359" i="3"/>
  <c r="AE359" i="3"/>
  <c r="P359" i="3"/>
  <c r="R359" i="3"/>
  <c r="T359" i="3"/>
  <c r="V359" i="3"/>
  <c r="X358" i="3"/>
  <c r="AV356" i="3"/>
  <c r="BA356" i="3"/>
  <c r="AN358" i="3"/>
  <c r="BD355" i="3"/>
  <c r="BG355" i="3"/>
  <c r="BH355" i="3" s="1"/>
  <c r="BI355" i="3" s="1"/>
  <c r="AT357" i="3"/>
  <c r="AG358" i="3"/>
  <c r="AX357" i="3"/>
  <c r="BC356" i="3" l="1"/>
  <c r="AY357" i="3"/>
  <c r="Y359" i="3"/>
  <c r="Z359" i="3" s="1"/>
  <c r="AG359" i="3"/>
  <c r="AO359" i="3"/>
  <c r="AU358" i="3"/>
  <c r="AT358" i="3"/>
  <c r="AX358" i="3"/>
  <c r="AV357" i="3"/>
  <c r="BC357" i="3" s="1"/>
  <c r="BA357" i="3"/>
  <c r="X359" i="3"/>
  <c r="AH359" i="3"/>
  <c r="AU359" i="3" s="1"/>
  <c r="A361" i="3"/>
  <c r="B360" i="3"/>
  <c r="AR360" i="3"/>
  <c r="AQ360" i="3"/>
  <c r="C360" i="3"/>
  <c r="D360" i="3"/>
  <c r="F360" i="3"/>
  <c r="BM360" i="3" s="1"/>
  <c r="G360" i="3"/>
  <c r="H360" i="3" s="1"/>
  <c r="BN360" i="3" s="1"/>
  <c r="Q360" i="3"/>
  <c r="S360" i="3"/>
  <c r="O360" i="3"/>
  <c r="U360" i="3"/>
  <c r="AM360" i="3"/>
  <c r="AE360" i="3"/>
  <c r="AF360" i="3"/>
  <c r="M360" i="3"/>
  <c r="AK360" i="3"/>
  <c r="AD360" i="3"/>
  <c r="T360" i="3"/>
  <c r="R360" i="3"/>
  <c r="P360" i="3"/>
  <c r="V360" i="3"/>
  <c r="BQ356" i="3"/>
  <c r="BB356" i="3"/>
  <c r="BF356" i="3"/>
  <c r="BJ355" i="3" s="1"/>
  <c r="BK355" i="3" s="1"/>
  <c r="BD356" i="3"/>
  <c r="BG356" i="3"/>
  <c r="BH356" i="3" s="1"/>
  <c r="BI356" i="3" s="1"/>
  <c r="AN359" i="3"/>
  <c r="AW358" i="3"/>
  <c r="AO360" i="3" l="1"/>
  <c r="AV358" i="3"/>
  <c r="AY358" i="3"/>
  <c r="Y360" i="3"/>
  <c r="Z360" i="3" s="1"/>
  <c r="AH360" i="3"/>
  <c r="AX359" i="3"/>
  <c r="AG360" i="3"/>
  <c r="X360" i="3"/>
  <c r="AN360" i="3"/>
  <c r="AX360" i="3" s="1"/>
  <c r="AT360" i="3"/>
  <c r="AU360" i="3"/>
  <c r="BA358" i="3"/>
  <c r="AR361" i="3"/>
  <c r="B361" i="3"/>
  <c r="AQ361" i="3"/>
  <c r="C361" i="3"/>
  <c r="A362" i="3"/>
  <c r="D361" i="3"/>
  <c r="G361" i="3"/>
  <c r="H361" i="3" s="1"/>
  <c r="BN361" i="3" s="1"/>
  <c r="F361" i="3"/>
  <c r="BM361" i="3" s="1"/>
  <c r="S361" i="3"/>
  <c r="Q361" i="3"/>
  <c r="O361" i="3"/>
  <c r="U361" i="3"/>
  <c r="AM361" i="3"/>
  <c r="AE361" i="3"/>
  <c r="AD361" i="3"/>
  <c r="AK361" i="3"/>
  <c r="M361" i="3"/>
  <c r="AF361" i="3"/>
  <c r="T361" i="3"/>
  <c r="V361" i="3"/>
  <c r="P361" i="3"/>
  <c r="R361" i="3"/>
  <c r="BQ357" i="3"/>
  <c r="BF357" i="3"/>
  <c r="BJ356" i="3" s="1"/>
  <c r="BK356" i="3" s="1"/>
  <c r="BB357" i="3"/>
  <c r="AW359" i="3"/>
  <c r="BC358" i="3"/>
  <c r="AT359" i="3"/>
  <c r="BD357" i="3"/>
  <c r="BG357" i="3"/>
  <c r="BH357" i="3" s="1"/>
  <c r="BI357" i="3" s="1"/>
  <c r="AO361" i="3" l="1"/>
  <c r="AY359" i="3"/>
  <c r="AG361" i="3"/>
  <c r="AH361" i="3"/>
  <c r="AV360" i="3"/>
  <c r="BA359" i="3"/>
  <c r="AV359" i="3"/>
  <c r="X361" i="3"/>
  <c r="AT361" i="3"/>
  <c r="AR362" i="3"/>
  <c r="A363" i="3"/>
  <c r="D362" i="3"/>
  <c r="B362" i="3"/>
  <c r="C362" i="3"/>
  <c r="AQ362" i="3"/>
  <c r="G362" i="3"/>
  <c r="H362" i="3" s="1"/>
  <c r="BN362" i="3" s="1"/>
  <c r="F362" i="3"/>
  <c r="BM362" i="3" s="1"/>
  <c r="Q362" i="3"/>
  <c r="S362" i="3"/>
  <c r="O362" i="3"/>
  <c r="U362" i="3"/>
  <c r="M362" i="3"/>
  <c r="AD362" i="3"/>
  <c r="AK362" i="3"/>
  <c r="AM362" i="3"/>
  <c r="AE362" i="3"/>
  <c r="AF362" i="3"/>
  <c r="T362" i="3"/>
  <c r="P362" i="3"/>
  <c r="V362" i="3"/>
  <c r="R362" i="3"/>
  <c r="BQ358" i="3"/>
  <c r="BF358" i="3"/>
  <c r="BJ357" i="3" s="1"/>
  <c r="BK357" i="3" s="1"/>
  <c r="BB358" i="3"/>
  <c r="BD358" i="3"/>
  <c r="BG358" i="3"/>
  <c r="BH358" i="3" s="1"/>
  <c r="BI358" i="3" s="1"/>
  <c r="Y361" i="3"/>
  <c r="Z361" i="3" s="1"/>
  <c r="AN361" i="3"/>
  <c r="AW360" i="3"/>
  <c r="AY360" i="3" s="1"/>
  <c r="AU361" i="3" l="1"/>
  <c r="AV361" i="3" s="1"/>
  <c r="BC359" i="3"/>
  <c r="BD359" i="3" s="1"/>
  <c r="AN362" i="3"/>
  <c r="B363" i="3"/>
  <c r="A364" i="3"/>
  <c r="AR363" i="3"/>
  <c r="D363" i="3"/>
  <c r="C363" i="3"/>
  <c r="AQ363" i="3"/>
  <c r="G363" i="3"/>
  <c r="H363" i="3" s="1"/>
  <c r="BN363" i="3" s="1"/>
  <c r="F363" i="3"/>
  <c r="BM363" i="3" s="1"/>
  <c r="Q363" i="3"/>
  <c r="S363" i="3"/>
  <c r="O363" i="3"/>
  <c r="U363" i="3"/>
  <c r="M363" i="3"/>
  <c r="AD363" i="3"/>
  <c r="AE363" i="3"/>
  <c r="AF363" i="3"/>
  <c r="AK363" i="3"/>
  <c r="AM363" i="3"/>
  <c r="T363" i="3"/>
  <c r="R363" i="3"/>
  <c r="P363" i="3"/>
  <c r="V363" i="3"/>
  <c r="AO362" i="3"/>
  <c r="BA360" i="3"/>
  <c r="AG362" i="3"/>
  <c r="X362" i="3"/>
  <c r="Y362" i="3"/>
  <c r="Z362" i="3" s="1"/>
  <c r="AH362" i="3"/>
  <c r="BC360" i="3"/>
  <c r="AX361" i="3"/>
  <c r="BQ359" i="3"/>
  <c r="BF359" i="3"/>
  <c r="BJ358" i="3" s="1"/>
  <c r="BK358" i="3" s="1"/>
  <c r="BB359" i="3"/>
  <c r="AW361" i="3"/>
  <c r="AN363" i="3" l="1"/>
  <c r="AY361" i="3"/>
  <c r="BG359" i="3"/>
  <c r="BH359" i="3" s="1"/>
  <c r="BI359" i="3" s="1"/>
  <c r="AX362" i="3"/>
  <c r="AU362" i="3"/>
  <c r="AW362" i="3"/>
  <c r="AY362" i="3" s="1"/>
  <c r="Y363" i="3"/>
  <c r="Z363" i="3" s="1"/>
  <c r="AG363" i="3"/>
  <c r="BB360" i="3"/>
  <c r="BQ360" i="3"/>
  <c r="BF360" i="3"/>
  <c r="BJ359" i="3" s="1"/>
  <c r="BK359" i="3" s="1"/>
  <c r="AH363" i="3"/>
  <c r="AT363" i="3" s="1"/>
  <c r="BD360" i="3"/>
  <c r="BG360" i="3"/>
  <c r="BH360" i="3" s="1"/>
  <c r="BI360" i="3" s="1"/>
  <c r="AO363" i="3"/>
  <c r="X363" i="3"/>
  <c r="BA361" i="3"/>
  <c r="AU363" i="3"/>
  <c r="AT362" i="3"/>
  <c r="AQ364" i="3"/>
  <c r="A365" i="3"/>
  <c r="B364" i="3"/>
  <c r="AR364" i="3"/>
  <c r="D364" i="3"/>
  <c r="C364" i="3"/>
  <c r="G364" i="3"/>
  <c r="H364" i="3" s="1"/>
  <c r="BN364" i="3" s="1"/>
  <c r="F364" i="3"/>
  <c r="Q364" i="3"/>
  <c r="S364" i="3"/>
  <c r="O364" i="3"/>
  <c r="U364" i="3"/>
  <c r="AD364" i="3"/>
  <c r="AK364" i="3"/>
  <c r="AE364" i="3"/>
  <c r="AM364" i="3"/>
  <c r="AF364" i="3"/>
  <c r="M364" i="3"/>
  <c r="R364" i="3"/>
  <c r="T364" i="3"/>
  <c r="V364" i="3"/>
  <c r="P364" i="3"/>
  <c r="BC361" i="3"/>
  <c r="AG364" i="3" l="1"/>
  <c r="AO364" i="3"/>
  <c r="AV363" i="3"/>
  <c r="AR365" i="3"/>
  <c r="AQ365" i="3"/>
  <c r="A366" i="3"/>
  <c r="D365" i="3"/>
  <c r="C365" i="3"/>
  <c r="B365" i="3"/>
  <c r="F365" i="3"/>
  <c r="BM365" i="3" s="1"/>
  <c r="G365" i="3"/>
  <c r="H365" i="3" s="1"/>
  <c r="BN365" i="3" s="1"/>
  <c r="Q365" i="3"/>
  <c r="S365" i="3"/>
  <c r="O365" i="3"/>
  <c r="U365" i="3"/>
  <c r="AD365" i="3"/>
  <c r="AF365" i="3"/>
  <c r="M365" i="3"/>
  <c r="AM365" i="3"/>
  <c r="AK365" i="3"/>
  <c r="AE365" i="3"/>
  <c r="P365" i="3"/>
  <c r="T365" i="3"/>
  <c r="R365" i="3"/>
  <c r="V365" i="3"/>
  <c r="AW363" i="3"/>
  <c r="X364" i="3"/>
  <c r="Y364" i="3"/>
  <c r="Z364" i="3" s="1"/>
  <c r="BA362" i="3"/>
  <c r="AV362" i="3"/>
  <c r="BC362" i="3" s="1"/>
  <c r="AX363" i="3"/>
  <c r="AH364" i="3"/>
  <c r="BF361" i="3"/>
  <c r="BJ360" i="3" s="1"/>
  <c r="BK360" i="3" s="1"/>
  <c r="BB361" i="3"/>
  <c r="BQ361" i="3"/>
  <c r="BD361" i="3"/>
  <c r="BG361" i="3"/>
  <c r="BH361" i="3" s="1"/>
  <c r="BI361" i="3" s="1"/>
  <c r="BM364" i="3"/>
  <c r="AN364" i="3"/>
  <c r="AO365" i="3" l="1"/>
  <c r="AT364" i="3"/>
  <c r="Y365" i="3"/>
  <c r="Z365" i="3" s="1"/>
  <c r="AG365" i="3"/>
  <c r="AY363" i="3"/>
  <c r="BC363" i="3" s="1"/>
  <c r="AU364" i="3"/>
  <c r="BD362" i="3"/>
  <c r="BG362" i="3"/>
  <c r="BH362" i="3" s="1"/>
  <c r="BI362" i="3" s="1"/>
  <c r="AH365" i="3"/>
  <c r="BF362" i="3"/>
  <c r="BJ361" i="3" s="1"/>
  <c r="BK361" i="3" s="1"/>
  <c r="BB362" i="3"/>
  <c r="BQ362" i="3"/>
  <c r="X365" i="3"/>
  <c r="AT365" i="3"/>
  <c r="AU365" i="3"/>
  <c r="AV364" i="3"/>
  <c r="AR366" i="3"/>
  <c r="B366" i="3"/>
  <c r="AQ366" i="3"/>
  <c r="A367" i="3"/>
  <c r="C366" i="3"/>
  <c r="D366" i="3"/>
  <c r="G366" i="3"/>
  <c r="H366" i="3" s="1"/>
  <c r="BN366" i="3" s="1"/>
  <c r="F366" i="3"/>
  <c r="BM366" i="3" s="1"/>
  <c r="Q366" i="3"/>
  <c r="S366" i="3"/>
  <c r="O366" i="3"/>
  <c r="U366" i="3"/>
  <c r="M366" i="3"/>
  <c r="AM366" i="3"/>
  <c r="AD366" i="3"/>
  <c r="AE366" i="3"/>
  <c r="AF366" i="3"/>
  <c r="AK366" i="3"/>
  <c r="T366" i="3"/>
  <c r="P366" i="3"/>
  <c r="R366" i="3"/>
  <c r="V366" i="3"/>
  <c r="AN365" i="3"/>
  <c r="AX364" i="3"/>
  <c r="BA363" i="3"/>
  <c r="AW364" i="3"/>
  <c r="AY364" i="3" s="1"/>
  <c r="BC364" i="3" l="1"/>
  <c r="AO366" i="3"/>
  <c r="X366" i="3"/>
  <c r="BD364" i="3"/>
  <c r="BG364" i="3"/>
  <c r="BH364" i="3" s="1"/>
  <c r="BI364" i="3" s="1"/>
  <c r="AN366" i="3"/>
  <c r="BA364" i="3"/>
  <c r="AH366" i="3"/>
  <c r="A368" i="3"/>
  <c r="C367" i="3"/>
  <c r="AQ367" i="3"/>
  <c r="B367" i="3"/>
  <c r="AR367" i="3"/>
  <c r="D367" i="3"/>
  <c r="F367" i="3"/>
  <c r="BM367" i="3" s="1"/>
  <c r="G367" i="3"/>
  <c r="H367" i="3" s="1"/>
  <c r="BN367" i="3" s="1"/>
  <c r="Q367" i="3"/>
  <c r="S367" i="3"/>
  <c r="O367" i="3"/>
  <c r="U367" i="3"/>
  <c r="AM367" i="3"/>
  <c r="AK367" i="3"/>
  <c r="AE367" i="3"/>
  <c r="AD367" i="3"/>
  <c r="AF367" i="3"/>
  <c r="M367" i="3"/>
  <c r="R367" i="3"/>
  <c r="V367" i="3"/>
  <c r="P367" i="3"/>
  <c r="T367" i="3"/>
  <c r="BF363" i="3"/>
  <c r="BJ362" i="3" s="1"/>
  <c r="BK362" i="3" s="1"/>
  <c r="BB363" i="3"/>
  <c r="BQ363" i="3"/>
  <c r="BD363" i="3"/>
  <c r="BG363" i="3"/>
  <c r="BH363" i="3" s="1"/>
  <c r="BI363" i="3" s="1"/>
  <c r="AG366" i="3"/>
  <c r="AV365" i="3"/>
  <c r="AX365" i="3"/>
  <c r="Y366" i="3"/>
  <c r="Z366" i="3" s="1"/>
  <c r="AW365" i="3"/>
  <c r="AX366" i="3" l="1"/>
  <c r="AO367" i="3"/>
  <c r="BA365" i="3"/>
  <c r="AN367" i="3"/>
  <c r="BF365" i="3"/>
  <c r="BB365" i="3"/>
  <c r="BQ365" i="3"/>
  <c r="Y367" i="3"/>
  <c r="Z367" i="3" s="1"/>
  <c r="AW366" i="3"/>
  <c r="AY366" i="3" s="1"/>
  <c r="AH367" i="3"/>
  <c r="X367" i="3"/>
  <c r="AY365" i="3"/>
  <c r="BC365" i="3" s="1"/>
  <c r="A369" i="3"/>
  <c r="B368" i="3"/>
  <c r="AR368" i="3"/>
  <c r="AQ368" i="3"/>
  <c r="D368" i="3"/>
  <c r="C368" i="3"/>
  <c r="G368" i="3"/>
  <c r="H368" i="3" s="1"/>
  <c r="BN368" i="3" s="1"/>
  <c r="F368" i="3"/>
  <c r="BM368" i="3" s="1"/>
  <c r="S368" i="3"/>
  <c r="Q368" i="3"/>
  <c r="O368" i="3"/>
  <c r="U368" i="3"/>
  <c r="AM368" i="3"/>
  <c r="AK368" i="3"/>
  <c r="AD368" i="3"/>
  <c r="AE368" i="3"/>
  <c r="M368" i="3"/>
  <c r="AF368" i="3"/>
  <c r="R368" i="3"/>
  <c r="P368" i="3"/>
  <c r="V368" i="3"/>
  <c r="T368" i="3"/>
  <c r="BB364" i="3"/>
  <c r="BQ364" i="3"/>
  <c r="BF364" i="3"/>
  <c r="BJ363" i="3" s="1"/>
  <c r="BK363" i="3" s="1"/>
  <c r="AG367" i="3"/>
  <c r="AU366" i="3"/>
  <c r="AT366" i="3"/>
  <c r="AX367" i="3" l="1"/>
  <c r="AU367" i="3"/>
  <c r="AN368" i="3"/>
  <c r="AO368" i="3"/>
  <c r="BD365" i="3"/>
  <c r="BG365" i="3"/>
  <c r="BH365" i="3" s="1"/>
  <c r="BI365" i="3" s="1"/>
  <c r="AH368" i="3"/>
  <c r="Y368" i="3"/>
  <c r="Z368" i="3" s="1"/>
  <c r="AV366" i="3"/>
  <c r="BC366" i="3" s="1"/>
  <c r="BA366" i="3"/>
  <c r="AG368" i="3"/>
  <c r="C369" i="3"/>
  <c r="AR369" i="3"/>
  <c r="B369" i="3"/>
  <c r="A370" i="3"/>
  <c r="AQ369" i="3"/>
  <c r="D369" i="3"/>
  <c r="F369" i="3"/>
  <c r="BM369" i="3" s="1"/>
  <c r="G369" i="3"/>
  <c r="H369" i="3" s="1"/>
  <c r="BN369" i="3" s="1"/>
  <c r="Q369" i="3"/>
  <c r="S369" i="3"/>
  <c r="O369" i="3"/>
  <c r="U369" i="3"/>
  <c r="AD369" i="3"/>
  <c r="AK369" i="3"/>
  <c r="AM369" i="3"/>
  <c r="AN369" i="3" s="1"/>
  <c r="AE369" i="3"/>
  <c r="M369" i="3"/>
  <c r="AF369" i="3"/>
  <c r="P369" i="3"/>
  <c r="T369" i="3"/>
  <c r="V369" i="3"/>
  <c r="R369" i="3"/>
  <c r="X368" i="3"/>
  <c r="AT367" i="3"/>
  <c r="AW367" i="3"/>
  <c r="BJ364" i="3"/>
  <c r="BK364" i="3" s="1"/>
  <c r="AW368" i="3" l="1"/>
  <c r="AY367" i="3"/>
  <c r="AG369" i="3"/>
  <c r="Y369" i="3"/>
  <c r="Z369" i="3" s="1"/>
  <c r="AQ370" i="3"/>
  <c r="C370" i="3"/>
  <c r="D370" i="3"/>
  <c r="A371" i="3"/>
  <c r="AR370" i="3"/>
  <c r="B370" i="3"/>
  <c r="G370" i="3"/>
  <c r="H370" i="3" s="1"/>
  <c r="BN370" i="3" s="1"/>
  <c r="F370" i="3"/>
  <c r="BM370" i="3" s="1"/>
  <c r="Q370" i="3"/>
  <c r="S370" i="3"/>
  <c r="O370" i="3"/>
  <c r="U370" i="3"/>
  <c r="AM370" i="3"/>
  <c r="AK370" i="3"/>
  <c r="AD370" i="3"/>
  <c r="AF370" i="3"/>
  <c r="M370" i="3"/>
  <c r="AE370" i="3"/>
  <c r="R370" i="3"/>
  <c r="P370" i="3"/>
  <c r="V370" i="3"/>
  <c r="T370" i="3"/>
  <c r="AO369" i="3"/>
  <c r="BQ366" i="3"/>
  <c r="BB366" i="3"/>
  <c r="BF366" i="3"/>
  <c r="BJ365" i="3" s="1"/>
  <c r="BK365" i="3" s="1"/>
  <c r="AX368" i="3"/>
  <c r="X369" i="3"/>
  <c r="AT368" i="3"/>
  <c r="AV367" i="3"/>
  <c r="BA367" i="3"/>
  <c r="AH369" i="3"/>
  <c r="BD366" i="3"/>
  <c r="BG366" i="3"/>
  <c r="BH366" i="3" s="1"/>
  <c r="BI366" i="3" s="1"/>
  <c r="AU368" i="3"/>
  <c r="AY368" i="3" l="1"/>
  <c r="BC367" i="3"/>
  <c r="BD367" i="3" s="1"/>
  <c r="AG370" i="3"/>
  <c r="AO370" i="3"/>
  <c r="X370" i="3"/>
  <c r="AQ371" i="3"/>
  <c r="B371" i="3"/>
  <c r="A372" i="3"/>
  <c r="AR371" i="3"/>
  <c r="C371" i="3"/>
  <c r="D371" i="3"/>
  <c r="G371" i="3"/>
  <c r="H371" i="3" s="1"/>
  <c r="BN371" i="3" s="1"/>
  <c r="F371" i="3"/>
  <c r="BM371" i="3" s="1"/>
  <c r="Q371" i="3"/>
  <c r="S371" i="3"/>
  <c r="O371" i="3"/>
  <c r="U371" i="3"/>
  <c r="AK371" i="3"/>
  <c r="AE371" i="3"/>
  <c r="M371" i="3"/>
  <c r="AF371" i="3"/>
  <c r="AM371" i="3"/>
  <c r="AD371" i="3"/>
  <c r="R371" i="3"/>
  <c r="T371" i="3"/>
  <c r="V371" i="3"/>
  <c r="P371" i="3"/>
  <c r="Y370" i="3"/>
  <c r="Z370" i="3" s="1"/>
  <c r="AH370" i="3"/>
  <c r="BB367" i="3"/>
  <c r="BF367" i="3"/>
  <c r="BJ366" i="3" s="1"/>
  <c r="BK366" i="3" s="1"/>
  <c r="BQ367" i="3"/>
  <c r="AN370" i="3"/>
  <c r="AX369" i="3"/>
  <c r="BG367" i="3"/>
  <c r="BH367" i="3" s="1"/>
  <c r="BI367" i="3" s="1"/>
  <c r="AV368" i="3"/>
  <c r="BC368" i="3" s="1"/>
  <c r="BA368" i="3"/>
  <c r="AU369" i="3"/>
  <c r="AT369" i="3"/>
  <c r="AW369" i="3"/>
  <c r="AU370" i="3" l="1"/>
  <c r="AN371" i="3"/>
  <c r="X371" i="3"/>
  <c r="AH371" i="3"/>
  <c r="BD368" i="3"/>
  <c r="BG368" i="3"/>
  <c r="BH368" i="3" s="1"/>
  <c r="BI368" i="3" s="1"/>
  <c r="AX370" i="3"/>
  <c r="AO371" i="3"/>
  <c r="AT370" i="3"/>
  <c r="AG371" i="3"/>
  <c r="Y371" i="3"/>
  <c r="Z371" i="3" s="1"/>
  <c r="AW370" i="3"/>
  <c r="AV369" i="3"/>
  <c r="BA369" i="3"/>
  <c r="BF368" i="3"/>
  <c r="BJ367" i="3" s="1"/>
  <c r="BK367" i="3" s="1"/>
  <c r="BQ368" i="3"/>
  <c r="BB368" i="3"/>
  <c r="A373" i="3"/>
  <c r="C372" i="3"/>
  <c r="AR372" i="3"/>
  <c r="B372" i="3"/>
  <c r="AQ372" i="3"/>
  <c r="D372" i="3"/>
  <c r="F372" i="3"/>
  <c r="BM372" i="3" s="1"/>
  <c r="G372" i="3"/>
  <c r="H372" i="3" s="1"/>
  <c r="BN372" i="3" s="1"/>
  <c r="Q372" i="3"/>
  <c r="S372" i="3"/>
  <c r="O372" i="3"/>
  <c r="U372" i="3"/>
  <c r="AK372" i="3"/>
  <c r="AM372" i="3"/>
  <c r="AD372" i="3"/>
  <c r="AE372" i="3"/>
  <c r="M372" i="3"/>
  <c r="AF372" i="3"/>
  <c r="R372" i="3"/>
  <c r="P372" i="3"/>
  <c r="T372" i="3"/>
  <c r="V372" i="3"/>
  <c r="AY369" i="3"/>
  <c r="AY370" i="3" l="1"/>
  <c r="AN372" i="3"/>
  <c r="AW371" i="3"/>
  <c r="X372" i="3"/>
  <c r="AT371" i="3"/>
  <c r="AU371" i="3"/>
  <c r="BC369" i="3"/>
  <c r="BD369" i="3" s="1"/>
  <c r="Y372" i="3"/>
  <c r="Z372" i="3" s="1"/>
  <c r="B373" i="3"/>
  <c r="D373" i="3"/>
  <c r="C373" i="3"/>
  <c r="A374" i="3"/>
  <c r="AR373" i="3"/>
  <c r="AQ373" i="3"/>
  <c r="G373" i="3"/>
  <c r="H373" i="3" s="1"/>
  <c r="BN373" i="3" s="1"/>
  <c r="F373" i="3"/>
  <c r="BM373" i="3" s="1"/>
  <c r="Q373" i="3"/>
  <c r="S373" i="3"/>
  <c r="O373" i="3"/>
  <c r="U373" i="3"/>
  <c r="M373" i="3"/>
  <c r="AK373" i="3"/>
  <c r="AM373" i="3"/>
  <c r="AF373" i="3"/>
  <c r="AE373" i="3"/>
  <c r="AD373" i="3"/>
  <c r="V373" i="3"/>
  <c r="P373" i="3"/>
  <c r="T373" i="3"/>
  <c r="R373" i="3"/>
  <c r="AV370" i="3"/>
  <c r="BA370" i="3"/>
  <c r="AO372" i="3"/>
  <c r="AX371" i="3"/>
  <c r="BF369" i="3"/>
  <c r="BJ368" i="3" s="1"/>
  <c r="BK368" i="3" s="1"/>
  <c r="BQ369" i="3"/>
  <c r="BB369" i="3"/>
  <c r="AG372" i="3"/>
  <c r="AH372" i="3"/>
  <c r="BG369" i="3" l="1"/>
  <c r="BH369" i="3" s="1"/>
  <c r="BI369" i="3" s="1"/>
  <c r="BC370" i="3"/>
  <c r="AY371" i="3"/>
  <c r="AV371" i="3"/>
  <c r="AN373" i="3"/>
  <c r="AH373" i="3"/>
  <c r="BC371" i="3"/>
  <c r="BD371" i="3" s="1"/>
  <c r="Y373" i="3"/>
  <c r="Z373" i="3" s="1"/>
  <c r="BA371" i="3"/>
  <c r="BF371" i="3" s="1"/>
  <c r="BD370" i="3"/>
  <c r="BG370" i="3"/>
  <c r="BH370" i="3" s="1"/>
  <c r="BI370" i="3" s="1"/>
  <c r="AG373" i="3"/>
  <c r="AU373" i="3" s="1"/>
  <c r="BQ371" i="3"/>
  <c r="AO373" i="3"/>
  <c r="AR374" i="3"/>
  <c r="B374" i="3"/>
  <c r="AQ374" i="3"/>
  <c r="A375" i="3"/>
  <c r="C374" i="3"/>
  <c r="D374" i="3"/>
  <c r="G374" i="3"/>
  <c r="H374" i="3" s="1"/>
  <c r="BN374" i="3" s="1"/>
  <c r="F374" i="3"/>
  <c r="BM374" i="3" s="1"/>
  <c r="Q374" i="3"/>
  <c r="S374" i="3"/>
  <c r="O374" i="3"/>
  <c r="U374" i="3"/>
  <c r="M374" i="3"/>
  <c r="AD374" i="3"/>
  <c r="AK374" i="3"/>
  <c r="AE374" i="3"/>
  <c r="AM374" i="3"/>
  <c r="AF374" i="3"/>
  <c r="T374" i="3"/>
  <c r="P374" i="3"/>
  <c r="R374" i="3"/>
  <c r="V374" i="3"/>
  <c r="BB370" i="3"/>
  <c r="BQ370" i="3"/>
  <c r="BF370" i="3"/>
  <c r="BJ369" i="3" s="1"/>
  <c r="BK369" i="3" s="1"/>
  <c r="AX372" i="3"/>
  <c r="AW372" i="3"/>
  <c r="X373" i="3"/>
  <c r="AT372" i="3"/>
  <c r="AU372" i="3"/>
  <c r="AT373" i="3" l="1"/>
  <c r="BG371" i="3"/>
  <c r="BH371" i="3" s="1"/>
  <c r="BI371" i="3" s="1"/>
  <c r="BB371" i="3"/>
  <c r="AN374" i="3"/>
  <c r="AH374" i="3"/>
  <c r="AG374" i="3"/>
  <c r="AO374" i="3"/>
  <c r="BA372" i="3"/>
  <c r="AV372" i="3"/>
  <c r="X374" i="3"/>
  <c r="AY372" i="3"/>
  <c r="AV373" i="3"/>
  <c r="AW373" i="3"/>
  <c r="Y374" i="3"/>
  <c r="Z374" i="3" s="1"/>
  <c r="AX374" i="3"/>
  <c r="B375" i="3"/>
  <c r="C375" i="3"/>
  <c r="AQ375" i="3"/>
  <c r="A376" i="3"/>
  <c r="AR375" i="3"/>
  <c r="D375" i="3"/>
  <c r="F375" i="3"/>
  <c r="BM375" i="3" s="1"/>
  <c r="G375" i="3"/>
  <c r="H375" i="3" s="1"/>
  <c r="BN375" i="3" s="1"/>
  <c r="Q375" i="3"/>
  <c r="S375" i="3"/>
  <c r="O375" i="3"/>
  <c r="U375" i="3"/>
  <c r="AM375" i="3"/>
  <c r="AF375" i="3"/>
  <c r="AK375" i="3"/>
  <c r="AO375" i="3" s="1"/>
  <c r="M375" i="3"/>
  <c r="AD375" i="3"/>
  <c r="AE375" i="3"/>
  <c r="P375" i="3"/>
  <c r="R375" i="3"/>
  <c r="V375" i="3"/>
  <c r="T375" i="3"/>
  <c r="BJ370" i="3"/>
  <c r="BK370" i="3" s="1"/>
  <c r="AX373" i="3"/>
  <c r="AG375" i="3" l="1"/>
  <c r="AU374" i="3"/>
  <c r="AT374" i="3"/>
  <c r="AY373" i="3"/>
  <c r="BC373" i="3" s="1"/>
  <c r="AH375" i="3"/>
  <c r="Y375" i="3"/>
  <c r="Z375" i="3" s="1"/>
  <c r="A377" i="3"/>
  <c r="B376" i="3"/>
  <c r="AR376" i="3"/>
  <c r="AQ376" i="3"/>
  <c r="D376" i="3"/>
  <c r="C376" i="3"/>
  <c r="F376" i="3"/>
  <c r="BM376" i="3" s="1"/>
  <c r="G376" i="3"/>
  <c r="H376" i="3" s="1"/>
  <c r="BN376" i="3" s="1"/>
  <c r="Q376" i="3"/>
  <c r="S376" i="3"/>
  <c r="O376" i="3"/>
  <c r="U376" i="3"/>
  <c r="AM376" i="3"/>
  <c r="AK376" i="3"/>
  <c r="AD376" i="3"/>
  <c r="AE376" i="3"/>
  <c r="M376" i="3"/>
  <c r="AF376" i="3"/>
  <c r="T376" i="3"/>
  <c r="R376" i="3"/>
  <c r="P376" i="3"/>
  <c r="V376" i="3"/>
  <c r="X375" i="3"/>
  <c r="BA373" i="3"/>
  <c r="AN375" i="3"/>
  <c r="BC372" i="3"/>
  <c r="BQ372" i="3"/>
  <c r="BF372" i="3"/>
  <c r="BJ371" i="3" s="1"/>
  <c r="BK371" i="3" s="1"/>
  <c r="BB372" i="3"/>
  <c r="AW374" i="3"/>
  <c r="BA374" i="3" l="1"/>
  <c r="AV374" i="3"/>
  <c r="AT375" i="3"/>
  <c r="AU375" i="3"/>
  <c r="AW375" i="3"/>
  <c r="AY374" i="3"/>
  <c r="AO376" i="3"/>
  <c r="Y376" i="3"/>
  <c r="Z376" i="3" s="1"/>
  <c r="AG376" i="3"/>
  <c r="BB374" i="3"/>
  <c r="BF374" i="3"/>
  <c r="BQ374" i="3"/>
  <c r="BF373" i="3"/>
  <c r="BJ372" i="3" s="1"/>
  <c r="BK372" i="3" s="1"/>
  <c r="BB373" i="3"/>
  <c r="BQ373" i="3"/>
  <c r="AV375" i="3"/>
  <c r="AH376" i="3"/>
  <c r="AU376" i="3" s="1"/>
  <c r="AN376" i="3"/>
  <c r="AR377" i="3"/>
  <c r="B377" i="3"/>
  <c r="AQ377" i="3"/>
  <c r="A378" i="3"/>
  <c r="C377" i="3"/>
  <c r="D377" i="3"/>
  <c r="F377" i="3"/>
  <c r="BM377" i="3" s="1"/>
  <c r="G377" i="3"/>
  <c r="H377" i="3" s="1"/>
  <c r="BN377" i="3" s="1"/>
  <c r="Q377" i="3"/>
  <c r="S377" i="3"/>
  <c r="O377" i="3"/>
  <c r="U377" i="3"/>
  <c r="AD377" i="3"/>
  <c r="M377" i="3"/>
  <c r="AF377" i="3"/>
  <c r="AK377" i="3"/>
  <c r="AE377" i="3"/>
  <c r="AM377" i="3"/>
  <c r="V377" i="3"/>
  <c r="T377" i="3"/>
  <c r="P377" i="3"/>
  <c r="R377" i="3"/>
  <c r="X376" i="3"/>
  <c r="BD373" i="3"/>
  <c r="BG373" i="3"/>
  <c r="BH373" i="3" s="1"/>
  <c r="BI373" i="3" s="1"/>
  <c r="BC374" i="3"/>
  <c r="BD372" i="3"/>
  <c r="BG372" i="3"/>
  <c r="BH372" i="3" s="1"/>
  <c r="BI372" i="3" s="1"/>
  <c r="AX375" i="3"/>
  <c r="AY375" i="3" l="1"/>
  <c r="BC375" i="3" s="1"/>
  <c r="AG377" i="3"/>
  <c r="AN377" i="3"/>
  <c r="Y377" i="3"/>
  <c r="Z377" i="3" s="1"/>
  <c r="AW376" i="3"/>
  <c r="BD374" i="3"/>
  <c r="BG374" i="3"/>
  <c r="BH374" i="3" s="1"/>
  <c r="BI374" i="3" s="1"/>
  <c r="X377" i="3"/>
  <c r="AX376" i="3"/>
  <c r="AH377" i="3"/>
  <c r="AX377" i="3" s="1"/>
  <c r="AR378" i="3"/>
  <c r="A379" i="3"/>
  <c r="B378" i="3"/>
  <c r="AQ378" i="3"/>
  <c r="C378" i="3"/>
  <c r="D378" i="3"/>
  <c r="G378" i="3"/>
  <c r="H378" i="3" s="1"/>
  <c r="BN378" i="3" s="1"/>
  <c r="F378" i="3"/>
  <c r="BM378" i="3" s="1"/>
  <c r="Q378" i="3"/>
  <c r="S378" i="3"/>
  <c r="O378" i="3"/>
  <c r="U378" i="3"/>
  <c r="AE378" i="3"/>
  <c r="M378" i="3"/>
  <c r="AK378" i="3"/>
  <c r="AD378" i="3"/>
  <c r="AF378" i="3"/>
  <c r="AM378" i="3"/>
  <c r="R378" i="3"/>
  <c r="T378" i="3"/>
  <c r="P378" i="3"/>
  <c r="V378" i="3"/>
  <c r="AT376" i="3"/>
  <c r="BJ373" i="3"/>
  <c r="BK373" i="3" s="1"/>
  <c r="AO377" i="3"/>
  <c r="BA375" i="3"/>
  <c r="AY376" i="3" l="1"/>
  <c r="AN378" i="3"/>
  <c r="Y378" i="3"/>
  <c r="Z378" i="3" s="1"/>
  <c r="AH378" i="3"/>
  <c r="AG378" i="3"/>
  <c r="AO378" i="3"/>
  <c r="X378" i="3"/>
  <c r="B379" i="3"/>
  <c r="D379" i="3"/>
  <c r="AR379" i="3"/>
  <c r="C379" i="3"/>
  <c r="A380" i="3"/>
  <c r="AQ379" i="3"/>
  <c r="G379" i="3"/>
  <c r="H379" i="3" s="1"/>
  <c r="BN379" i="3" s="1"/>
  <c r="F379" i="3"/>
  <c r="BM379" i="3" s="1"/>
  <c r="Q379" i="3"/>
  <c r="S379" i="3"/>
  <c r="O379" i="3"/>
  <c r="U379" i="3"/>
  <c r="AM379" i="3"/>
  <c r="AF379" i="3"/>
  <c r="M379" i="3"/>
  <c r="AK379" i="3"/>
  <c r="AD379" i="3"/>
  <c r="AE379" i="3"/>
  <c r="T379" i="3"/>
  <c r="V379" i="3"/>
  <c r="P379" i="3"/>
  <c r="R379" i="3"/>
  <c r="BQ375" i="3"/>
  <c r="BF375" i="3"/>
  <c r="BJ374" i="3" s="1"/>
  <c r="BK374" i="3" s="1"/>
  <c r="BB375" i="3"/>
  <c r="AU377" i="3"/>
  <c r="BD375" i="3"/>
  <c r="BG375" i="3"/>
  <c r="BH375" i="3" s="1"/>
  <c r="BI375" i="3" s="1"/>
  <c r="AT377" i="3"/>
  <c r="AW377" i="3"/>
  <c r="AY377" i="3" s="1"/>
  <c r="BA376" i="3"/>
  <c r="AV376" i="3"/>
  <c r="BC376" i="3" s="1"/>
  <c r="AG379" i="3" l="1"/>
  <c r="AO379" i="3"/>
  <c r="AT378" i="3"/>
  <c r="BD376" i="3"/>
  <c r="BG376" i="3"/>
  <c r="BH376" i="3" s="1"/>
  <c r="BI376" i="3" s="1"/>
  <c r="AH379" i="3"/>
  <c r="AT379" i="3" s="1"/>
  <c r="X379" i="3"/>
  <c r="BA377" i="3"/>
  <c r="AV377" i="3"/>
  <c r="BC377" i="3" s="1"/>
  <c r="AN379" i="3"/>
  <c r="AU379" i="3"/>
  <c r="AQ380" i="3"/>
  <c r="A381" i="3"/>
  <c r="AR380" i="3"/>
  <c r="D380" i="3"/>
  <c r="C380" i="3"/>
  <c r="B380" i="3"/>
  <c r="G380" i="3"/>
  <c r="H380" i="3" s="1"/>
  <c r="BN380" i="3" s="1"/>
  <c r="F380" i="3"/>
  <c r="BM380" i="3" s="1"/>
  <c r="Q380" i="3"/>
  <c r="S380" i="3"/>
  <c r="O380" i="3"/>
  <c r="U380" i="3"/>
  <c r="AD380" i="3"/>
  <c r="AM380" i="3"/>
  <c r="AK380" i="3"/>
  <c r="AE380" i="3"/>
  <c r="M380" i="3"/>
  <c r="AF380" i="3"/>
  <c r="R380" i="3"/>
  <c r="V380" i="3"/>
  <c r="P380" i="3"/>
  <c r="T380" i="3"/>
  <c r="Y379" i="3"/>
  <c r="Z379" i="3" s="1"/>
  <c r="BB376" i="3"/>
  <c r="BQ376" i="3"/>
  <c r="BF376" i="3"/>
  <c r="BJ375" i="3" s="1"/>
  <c r="BK375" i="3" s="1"/>
  <c r="AW378" i="3"/>
  <c r="AU378" i="3"/>
  <c r="AX378" i="3"/>
  <c r="AW379" i="3" l="1"/>
  <c r="AO380" i="3"/>
  <c r="BA378" i="3"/>
  <c r="BB378" i="3" s="1"/>
  <c r="AN380" i="3"/>
  <c r="Y380" i="3"/>
  <c r="Z380" i="3" s="1"/>
  <c r="X380" i="3"/>
  <c r="AH380" i="3"/>
  <c r="AY378" i="3"/>
  <c r="BD377" i="3"/>
  <c r="BG377" i="3"/>
  <c r="BH377" i="3" s="1"/>
  <c r="BI377" i="3" s="1"/>
  <c r="AG380" i="3"/>
  <c r="BQ377" i="3"/>
  <c r="BF377" i="3"/>
  <c r="BJ376" i="3" s="1"/>
  <c r="BK376" i="3" s="1"/>
  <c r="BB377" i="3"/>
  <c r="AV378" i="3"/>
  <c r="AR381" i="3"/>
  <c r="AQ381" i="3"/>
  <c r="A382" i="3"/>
  <c r="C381" i="3"/>
  <c r="D381" i="3"/>
  <c r="B381" i="3"/>
  <c r="F381" i="3"/>
  <c r="BM381" i="3" s="1"/>
  <c r="G381" i="3"/>
  <c r="H381" i="3" s="1"/>
  <c r="S381" i="3"/>
  <c r="Q381" i="3"/>
  <c r="O381" i="3"/>
  <c r="U381" i="3"/>
  <c r="AM381" i="3"/>
  <c r="AD381" i="3"/>
  <c r="M381" i="3"/>
  <c r="AE381" i="3"/>
  <c r="AK381" i="3"/>
  <c r="AF381" i="3"/>
  <c r="V381" i="3"/>
  <c r="T381" i="3"/>
  <c r="R381" i="3"/>
  <c r="P381" i="3"/>
  <c r="AV379" i="3"/>
  <c r="AX379" i="3"/>
  <c r="AW380" i="3" l="1"/>
  <c r="AY379" i="3"/>
  <c r="BC379" i="3" s="1"/>
  <c r="BQ378" i="3"/>
  <c r="BF378" i="3"/>
  <c r="BC378" i="3"/>
  <c r="BD378" i="3" s="1"/>
  <c r="AN381" i="3"/>
  <c r="BG378" i="3"/>
  <c r="BH378" i="3" s="1"/>
  <c r="BI378" i="3" s="1"/>
  <c r="AX380" i="3"/>
  <c r="X381" i="3"/>
  <c r="Y381" i="3"/>
  <c r="Z381" i="3" s="1"/>
  <c r="BN381" i="3"/>
  <c r="AR382" i="3"/>
  <c r="B382" i="3"/>
  <c r="AQ382" i="3"/>
  <c r="A383" i="3"/>
  <c r="C382" i="3"/>
  <c r="D382" i="3"/>
  <c r="G382" i="3"/>
  <c r="H382" i="3" s="1"/>
  <c r="BN382" i="3" s="1"/>
  <c r="F382" i="3"/>
  <c r="BM382" i="3" s="1"/>
  <c r="Q382" i="3"/>
  <c r="S382" i="3"/>
  <c r="O382" i="3"/>
  <c r="U382" i="3"/>
  <c r="M382" i="3"/>
  <c r="AM382" i="3"/>
  <c r="AE382" i="3"/>
  <c r="AD382" i="3"/>
  <c r="AF382" i="3"/>
  <c r="AK382" i="3"/>
  <c r="P382" i="3"/>
  <c r="R382" i="3"/>
  <c r="T382" i="3"/>
  <c r="V382" i="3"/>
  <c r="AU380" i="3"/>
  <c r="AT380" i="3"/>
  <c r="AO381" i="3"/>
  <c r="AG381" i="3"/>
  <c r="BA379" i="3"/>
  <c r="BJ377" i="3"/>
  <c r="BK377" i="3" s="1"/>
  <c r="AH381" i="3"/>
  <c r="AO382" i="3" l="1"/>
  <c r="AY380" i="3"/>
  <c r="Y382" i="3"/>
  <c r="Z382" i="3" s="1"/>
  <c r="AX381" i="3"/>
  <c r="AH382" i="3"/>
  <c r="A384" i="3"/>
  <c r="C383" i="3"/>
  <c r="AQ383" i="3"/>
  <c r="B383" i="3"/>
  <c r="AR383" i="3"/>
  <c r="D383" i="3"/>
  <c r="F383" i="3"/>
  <c r="BM383" i="3" s="1"/>
  <c r="G383" i="3"/>
  <c r="H383" i="3" s="1"/>
  <c r="BN383" i="3" s="1"/>
  <c r="S383" i="3"/>
  <c r="Q383" i="3"/>
  <c r="O383" i="3"/>
  <c r="U383" i="3"/>
  <c r="AE383" i="3"/>
  <c r="AK383" i="3"/>
  <c r="M383" i="3"/>
  <c r="AD383" i="3"/>
  <c r="AF383" i="3"/>
  <c r="AM383" i="3"/>
  <c r="T383" i="3"/>
  <c r="V383" i="3"/>
  <c r="R383" i="3"/>
  <c r="P383" i="3"/>
  <c r="BA380" i="3"/>
  <c r="AV380" i="3"/>
  <c r="AN382" i="3"/>
  <c r="BB379" i="3"/>
  <c r="BQ379" i="3"/>
  <c r="BF379" i="3"/>
  <c r="BJ378" i="3" s="1"/>
  <c r="BK378" i="3" s="1"/>
  <c r="AU381" i="3"/>
  <c r="AW381" i="3"/>
  <c r="X382" i="3"/>
  <c r="BD379" i="3"/>
  <c r="BG379" i="3"/>
  <c r="BH379" i="3" s="1"/>
  <c r="BI379" i="3" s="1"/>
  <c r="AG382" i="3"/>
  <c r="AT382" i="3" s="1"/>
  <c r="AT381" i="3"/>
  <c r="BC380" i="3" l="1"/>
  <c r="BD380" i="3" s="1"/>
  <c r="AY381" i="3"/>
  <c r="AU382" i="3"/>
  <c r="AX382" i="3"/>
  <c r="AN383" i="3"/>
  <c r="AV382" i="3"/>
  <c r="Y383" i="3"/>
  <c r="Z383" i="3" s="1"/>
  <c r="X383" i="3"/>
  <c r="AW382" i="3"/>
  <c r="BA382" i="3" s="1"/>
  <c r="AG383" i="3"/>
  <c r="BA381" i="3"/>
  <c r="AV381" i="3"/>
  <c r="AO383" i="3"/>
  <c r="BQ380" i="3"/>
  <c r="BF380" i="3"/>
  <c r="BJ379" i="3" s="1"/>
  <c r="BK379" i="3" s="1"/>
  <c r="BB380" i="3"/>
  <c r="AH383" i="3"/>
  <c r="AX383" i="3" s="1"/>
  <c r="A385" i="3"/>
  <c r="B384" i="3"/>
  <c r="AR384" i="3"/>
  <c r="AQ384" i="3"/>
  <c r="D384" i="3"/>
  <c r="C384" i="3"/>
  <c r="F384" i="3"/>
  <c r="BM384" i="3" s="1"/>
  <c r="G384" i="3"/>
  <c r="H384" i="3" s="1"/>
  <c r="BN384" i="3" s="1"/>
  <c r="S384" i="3"/>
  <c r="Q384" i="3"/>
  <c r="O384" i="3"/>
  <c r="U384" i="3"/>
  <c r="AD384" i="3"/>
  <c r="AF384" i="3"/>
  <c r="M384" i="3"/>
  <c r="AK384" i="3"/>
  <c r="AM384" i="3"/>
  <c r="AE384" i="3"/>
  <c r="P384" i="3"/>
  <c r="R384" i="3"/>
  <c r="V384" i="3"/>
  <c r="T384" i="3"/>
  <c r="BC381" i="3" l="1"/>
  <c r="BD381" i="3" s="1"/>
  <c r="BG380" i="3"/>
  <c r="BH380" i="3" s="1"/>
  <c r="BI380" i="3" s="1"/>
  <c r="AY382" i="3"/>
  <c r="AN384" i="3"/>
  <c r="AH384" i="3"/>
  <c r="BB382" i="3"/>
  <c r="BF382" i="3"/>
  <c r="BQ382" i="3"/>
  <c r="Y384" i="3"/>
  <c r="Z384" i="3" s="1"/>
  <c r="AW383" i="3"/>
  <c r="AY383" i="3" s="1"/>
  <c r="X384" i="3"/>
  <c r="BQ381" i="3"/>
  <c r="BF381" i="3"/>
  <c r="BJ380" i="3" s="1"/>
  <c r="BK380" i="3" s="1"/>
  <c r="BB381" i="3"/>
  <c r="AU383" i="3"/>
  <c r="C385" i="3"/>
  <c r="AR385" i="3"/>
  <c r="B385" i="3"/>
  <c r="AQ385" i="3"/>
  <c r="A386" i="3"/>
  <c r="D385" i="3"/>
  <c r="F385" i="3"/>
  <c r="BM385" i="3" s="1"/>
  <c r="G385" i="3"/>
  <c r="H385" i="3" s="1"/>
  <c r="Q385" i="3"/>
  <c r="S385" i="3"/>
  <c r="O385" i="3"/>
  <c r="U385" i="3"/>
  <c r="AK385" i="3"/>
  <c r="AM385" i="3"/>
  <c r="AE385" i="3"/>
  <c r="M385" i="3"/>
  <c r="AF385" i="3"/>
  <c r="AD385" i="3"/>
  <c r="T385" i="3"/>
  <c r="R385" i="3"/>
  <c r="P385" i="3"/>
  <c r="V385" i="3"/>
  <c r="AO384" i="3"/>
  <c r="AT383" i="3"/>
  <c r="AG384" i="3"/>
  <c r="BC382" i="3"/>
  <c r="AT384" i="3" l="1"/>
  <c r="AW384" i="3"/>
  <c r="BG381" i="3"/>
  <c r="BH381" i="3" s="1"/>
  <c r="BI381" i="3" s="1"/>
  <c r="BN385" i="3"/>
  <c r="AN385" i="3"/>
  <c r="AO385" i="3"/>
  <c r="AG385" i="3"/>
  <c r="AU384" i="3"/>
  <c r="AV384" i="3" s="1"/>
  <c r="AH385" i="3"/>
  <c r="AQ386" i="3"/>
  <c r="C386" i="3"/>
  <c r="D386" i="3"/>
  <c r="AR386" i="3"/>
  <c r="B386" i="3"/>
  <c r="A387" i="3"/>
  <c r="F386" i="3"/>
  <c r="BM386" i="3" s="1"/>
  <c r="G386" i="3"/>
  <c r="H386" i="3" s="1"/>
  <c r="BN386" i="3" s="1"/>
  <c r="Q386" i="3"/>
  <c r="S386" i="3"/>
  <c r="O386" i="3"/>
  <c r="U386" i="3"/>
  <c r="AE386" i="3"/>
  <c r="AM386" i="3"/>
  <c r="AD386" i="3"/>
  <c r="AK386" i="3"/>
  <c r="M386" i="3"/>
  <c r="AF386" i="3"/>
  <c r="T386" i="3"/>
  <c r="P386" i="3"/>
  <c r="R386" i="3"/>
  <c r="V386" i="3"/>
  <c r="BA383" i="3"/>
  <c r="AV383" i="3"/>
  <c r="BC383" i="3" s="1"/>
  <c r="Y385" i="3"/>
  <c r="Z385" i="3" s="1"/>
  <c r="X385" i="3"/>
  <c r="BD382" i="3"/>
  <c r="BG382" i="3"/>
  <c r="BH382" i="3" s="1"/>
  <c r="BI382" i="3" s="1"/>
  <c r="BJ381" i="3"/>
  <c r="BK381" i="3" s="1"/>
  <c r="AX384" i="3"/>
  <c r="AY384" i="3" l="1"/>
  <c r="AO386" i="3"/>
  <c r="AX385" i="3"/>
  <c r="BC384" i="3"/>
  <c r="BG384" i="3" s="1"/>
  <c r="BH384" i="3" s="1"/>
  <c r="BI384" i="3" s="1"/>
  <c r="AH386" i="3"/>
  <c r="BD384" i="3"/>
  <c r="BD383" i="3"/>
  <c r="BG383" i="3"/>
  <c r="BH383" i="3" s="1"/>
  <c r="BI383" i="3" s="1"/>
  <c r="AN386" i="3"/>
  <c r="AQ387" i="3"/>
  <c r="B387" i="3"/>
  <c r="A388" i="3"/>
  <c r="AR387" i="3"/>
  <c r="D387" i="3"/>
  <c r="C387" i="3"/>
  <c r="G387" i="3"/>
  <c r="H387" i="3" s="1"/>
  <c r="F387" i="3"/>
  <c r="BM387" i="3" s="1"/>
  <c r="Q387" i="3"/>
  <c r="S387" i="3"/>
  <c r="O387" i="3"/>
  <c r="U387" i="3"/>
  <c r="AK387" i="3"/>
  <c r="M387" i="3"/>
  <c r="AF387" i="3"/>
  <c r="AM387" i="3"/>
  <c r="AD387" i="3"/>
  <c r="AE387" i="3"/>
  <c r="R387" i="3"/>
  <c r="T387" i="3"/>
  <c r="P387" i="3"/>
  <c r="V387" i="3"/>
  <c r="AG386" i="3"/>
  <c r="BB383" i="3"/>
  <c r="BF383" i="3"/>
  <c r="BJ382" i="3" s="1"/>
  <c r="BK382" i="3" s="1"/>
  <c r="BQ383" i="3"/>
  <c r="Y386" i="3"/>
  <c r="Z386" i="3" s="1"/>
  <c r="X386" i="3"/>
  <c r="BA384" i="3"/>
  <c r="AW385" i="3"/>
  <c r="AY385" i="3" s="1"/>
  <c r="AT385" i="3"/>
  <c r="AU385" i="3"/>
  <c r="AW386" i="3" l="1"/>
  <c r="AN387" i="3"/>
  <c r="BN387" i="3"/>
  <c r="Y387" i="3"/>
  <c r="Z387" i="3" s="1"/>
  <c r="AG387" i="3"/>
  <c r="AX386" i="3"/>
  <c r="AH387" i="3"/>
  <c r="AT387" i="3" s="1"/>
  <c r="AV385" i="3"/>
  <c r="BC385" i="3" s="1"/>
  <c r="BA385" i="3"/>
  <c r="AO387" i="3"/>
  <c r="AT386" i="3"/>
  <c r="X387" i="3"/>
  <c r="AU387" i="3"/>
  <c r="A389" i="3"/>
  <c r="D388" i="3"/>
  <c r="B388" i="3"/>
  <c r="AQ388" i="3"/>
  <c r="C388" i="3"/>
  <c r="AR388" i="3"/>
  <c r="F388" i="3"/>
  <c r="BM388" i="3" s="1"/>
  <c r="G388" i="3"/>
  <c r="H388" i="3" s="1"/>
  <c r="BN388" i="3" s="1"/>
  <c r="Q388" i="3"/>
  <c r="S388" i="3"/>
  <c r="O388" i="3"/>
  <c r="U388" i="3"/>
  <c r="AK388" i="3"/>
  <c r="AD388" i="3"/>
  <c r="AM388" i="3"/>
  <c r="AE388" i="3"/>
  <c r="AF388" i="3"/>
  <c r="M388" i="3"/>
  <c r="P388" i="3"/>
  <c r="T388" i="3"/>
  <c r="V388" i="3"/>
  <c r="R388" i="3"/>
  <c r="BB384" i="3"/>
  <c r="BF384" i="3"/>
  <c r="BJ383" i="3" s="1"/>
  <c r="BK383" i="3" s="1"/>
  <c r="BQ384" i="3"/>
  <c r="AU386" i="3"/>
  <c r="AY386" i="3" l="1"/>
  <c r="AN388" i="3"/>
  <c r="Y388" i="3"/>
  <c r="Z388" i="3" s="1"/>
  <c r="X388" i="3"/>
  <c r="B389" i="3"/>
  <c r="A390" i="3"/>
  <c r="C389" i="3"/>
  <c r="AR389" i="3"/>
  <c r="AQ389" i="3"/>
  <c r="D389" i="3"/>
  <c r="F389" i="3"/>
  <c r="BM389" i="3" s="1"/>
  <c r="G389" i="3"/>
  <c r="H389" i="3" s="1"/>
  <c r="BN389" i="3" s="1"/>
  <c r="S389" i="3"/>
  <c r="Q389" i="3"/>
  <c r="O389" i="3"/>
  <c r="U389" i="3"/>
  <c r="AD389" i="3"/>
  <c r="AK389" i="3"/>
  <c r="AM389" i="3"/>
  <c r="M389" i="3"/>
  <c r="AE389" i="3"/>
  <c r="AF389" i="3"/>
  <c r="R389" i="3"/>
  <c r="P389" i="3"/>
  <c r="V389" i="3"/>
  <c r="T389" i="3"/>
  <c r="AH388" i="3"/>
  <c r="AV386" i="3"/>
  <c r="BC386" i="3" s="1"/>
  <c r="BA386" i="3"/>
  <c r="AO388" i="3"/>
  <c r="AG388" i="3"/>
  <c r="BB385" i="3"/>
  <c r="BQ385" i="3"/>
  <c r="BF385" i="3"/>
  <c r="BJ384" i="3" s="1"/>
  <c r="BK384" i="3" s="1"/>
  <c r="BD385" i="3"/>
  <c r="BG385" i="3"/>
  <c r="BH385" i="3" s="1"/>
  <c r="BI385" i="3" s="1"/>
  <c r="AV387" i="3"/>
  <c r="AX387" i="3"/>
  <c r="AW387" i="3"/>
  <c r="AW388" i="3" l="1"/>
  <c r="AG389" i="3"/>
  <c r="BA387" i="3"/>
  <c r="BB387" i="3" s="1"/>
  <c r="AN389" i="3"/>
  <c r="BD386" i="3"/>
  <c r="BG386" i="3"/>
  <c r="BH386" i="3" s="1"/>
  <c r="BI386" i="3" s="1"/>
  <c r="AT388" i="3"/>
  <c r="AO389" i="3"/>
  <c r="AX388" i="3"/>
  <c r="AY388" i="3" s="1"/>
  <c r="AH389" i="3"/>
  <c r="Y389" i="3"/>
  <c r="Z389" i="3" s="1"/>
  <c r="C390" i="3"/>
  <c r="AR390" i="3"/>
  <c r="B390" i="3"/>
  <c r="AQ390" i="3"/>
  <c r="A391" i="3"/>
  <c r="D390" i="3"/>
  <c r="G390" i="3"/>
  <c r="H390" i="3" s="1"/>
  <c r="BN390" i="3" s="1"/>
  <c r="F390" i="3"/>
  <c r="Q390" i="3"/>
  <c r="S390" i="3"/>
  <c r="O390" i="3"/>
  <c r="U390" i="3"/>
  <c r="AM390" i="3"/>
  <c r="AE390" i="3"/>
  <c r="AD390" i="3"/>
  <c r="AF390" i="3"/>
  <c r="AK390" i="3"/>
  <c r="M390" i="3"/>
  <c r="R390" i="3"/>
  <c r="V390" i="3"/>
  <c r="T390" i="3"/>
  <c r="P390" i="3"/>
  <c r="X389" i="3"/>
  <c r="BQ386" i="3"/>
  <c r="BB386" i="3"/>
  <c r="BF386" i="3"/>
  <c r="BJ385" i="3" s="1"/>
  <c r="BK385" i="3" s="1"/>
  <c r="AU388" i="3"/>
  <c r="AY387" i="3"/>
  <c r="BC387" i="3" s="1"/>
  <c r="BQ387" i="3" l="1"/>
  <c r="BF387" i="3"/>
  <c r="BM390" i="3"/>
  <c r="AO390" i="3"/>
  <c r="AX389" i="3"/>
  <c r="Y390" i="3"/>
  <c r="Z390" i="3" s="1"/>
  <c r="BD387" i="3"/>
  <c r="BG387" i="3"/>
  <c r="BH387" i="3" s="1"/>
  <c r="BI387" i="3" s="1"/>
  <c r="AH390" i="3"/>
  <c r="AG390" i="3"/>
  <c r="AN390" i="3"/>
  <c r="AU389" i="3"/>
  <c r="AV388" i="3"/>
  <c r="BC388" i="3" s="1"/>
  <c r="BA388" i="3"/>
  <c r="AT389" i="3"/>
  <c r="AW389" i="3"/>
  <c r="AY389" i="3" s="1"/>
  <c r="BJ386" i="3"/>
  <c r="BK386" i="3" s="1"/>
  <c r="X390" i="3"/>
  <c r="B391" i="3"/>
  <c r="C391" i="3"/>
  <c r="AQ391" i="3"/>
  <c r="A392" i="3"/>
  <c r="AR391" i="3"/>
  <c r="D391" i="3"/>
  <c r="F391" i="3"/>
  <c r="BM391" i="3" s="1"/>
  <c r="G391" i="3"/>
  <c r="H391" i="3" s="1"/>
  <c r="BN391" i="3" s="1"/>
  <c r="Q391" i="3"/>
  <c r="S391" i="3"/>
  <c r="O391" i="3"/>
  <c r="U391" i="3"/>
  <c r="M391" i="3"/>
  <c r="AK391" i="3"/>
  <c r="AE391" i="3"/>
  <c r="AF391" i="3"/>
  <c r="AD391" i="3"/>
  <c r="AM391" i="3"/>
  <c r="R391" i="3"/>
  <c r="V391" i="3"/>
  <c r="T391" i="3"/>
  <c r="P391" i="3"/>
  <c r="AU390" i="3" l="1"/>
  <c r="AH391" i="3"/>
  <c r="AO391" i="3"/>
  <c r="AT390" i="3"/>
  <c r="X391" i="3"/>
  <c r="AV389" i="3"/>
  <c r="BC389" i="3" s="1"/>
  <c r="BA389" i="3"/>
  <c r="AV390" i="3"/>
  <c r="AG391" i="3"/>
  <c r="AU391" i="3" s="1"/>
  <c r="BB388" i="3"/>
  <c r="BQ388" i="3"/>
  <c r="BF388" i="3"/>
  <c r="BJ387" i="3" s="1"/>
  <c r="BK387" i="3" s="1"/>
  <c r="AX390" i="3"/>
  <c r="AX391" i="3"/>
  <c r="A393" i="3"/>
  <c r="B392" i="3"/>
  <c r="AR392" i="3"/>
  <c r="AQ392" i="3"/>
  <c r="C392" i="3"/>
  <c r="D392" i="3"/>
  <c r="F392" i="3"/>
  <c r="BM392" i="3" s="1"/>
  <c r="G392" i="3"/>
  <c r="H392" i="3" s="1"/>
  <c r="BN392" i="3" s="1"/>
  <c r="Q392" i="3"/>
  <c r="S392" i="3"/>
  <c r="O392" i="3"/>
  <c r="U392" i="3"/>
  <c r="AK392" i="3"/>
  <c r="M392" i="3"/>
  <c r="AM392" i="3"/>
  <c r="AE392" i="3"/>
  <c r="AD392" i="3"/>
  <c r="AF392" i="3"/>
  <c r="R392" i="3"/>
  <c r="V392" i="3"/>
  <c r="P392" i="3"/>
  <c r="T392" i="3"/>
  <c r="BD388" i="3"/>
  <c r="BG388" i="3"/>
  <c r="BH388" i="3" s="1"/>
  <c r="BI388" i="3" s="1"/>
  <c r="AW390" i="3"/>
  <c r="Y391" i="3"/>
  <c r="Z391" i="3" s="1"/>
  <c r="AN391" i="3"/>
  <c r="AN392" i="3" l="1"/>
  <c r="AO392" i="3"/>
  <c r="A394" i="3"/>
  <c r="B393" i="3"/>
  <c r="AR393" i="3"/>
  <c r="AQ393" i="3"/>
  <c r="D393" i="3"/>
  <c r="C393" i="3"/>
  <c r="F393" i="3"/>
  <c r="BM393" i="3" s="1"/>
  <c r="G393" i="3"/>
  <c r="H393" i="3" s="1"/>
  <c r="BN393" i="3" s="1"/>
  <c r="Q393" i="3"/>
  <c r="S393" i="3"/>
  <c r="O393" i="3"/>
  <c r="U393" i="3"/>
  <c r="AD393" i="3"/>
  <c r="AE393" i="3"/>
  <c r="AM393" i="3"/>
  <c r="AF393" i="3"/>
  <c r="M393" i="3"/>
  <c r="AK393" i="3"/>
  <c r="R393" i="3"/>
  <c r="P393" i="3"/>
  <c r="V393" i="3"/>
  <c r="T393" i="3"/>
  <c r="AH392" i="3"/>
  <c r="X392" i="3"/>
  <c r="AW391" i="3"/>
  <c r="AY391" i="3" s="1"/>
  <c r="BD389" i="3"/>
  <c r="BG389" i="3"/>
  <c r="BH389" i="3" s="1"/>
  <c r="BI389" i="3" s="1"/>
  <c r="AG392" i="3"/>
  <c r="AW392" i="3" s="1"/>
  <c r="AY390" i="3"/>
  <c r="BC390" i="3" s="1"/>
  <c r="BB389" i="3"/>
  <c r="BQ389" i="3"/>
  <c r="BF389" i="3"/>
  <c r="BJ388" i="3" s="1"/>
  <c r="BK388" i="3" s="1"/>
  <c r="AT391" i="3"/>
  <c r="BA390" i="3"/>
  <c r="Y392" i="3"/>
  <c r="Z392" i="3" s="1"/>
  <c r="AO393" i="3" l="1"/>
  <c r="BD390" i="3"/>
  <c r="BG390" i="3"/>
  <c r="BH390" i="3" s="1"/>
  <c r="BI390" i="3" s="1"/>
  <c r="AG393" i="3"/>
  <c r="Y393" i="3"/>
  <c r="Z393" i="3" s="1"/>
  <c r="X393" i="3"/>
  <c r="BB390" i="3"/>
  <c r="BQ390" i="3"/>
  <c r="BF390" i="3"/>
  <c r="BJ389" i="3" s="1"/>
  <c r="BK389" i="3" s="1"/>
  <c r="AX392" i="3"/>
  <c r="AY392" i="3" s="1"/>
  <c r="AH393" i="3"/>
  <c r="AX393" i="3" s="1"/>
  <c r="AU392" i="3"/>
  <c r="AV391" i="3"/>
  <c r="BC391" i="3" s="1"/>
  <c r="BA391" i="3"/>
  <c r="AT392" i="3"/>
  <c r="AQ394" i="3"/>
  <c r="AR394" i="3"/>
  <c r="B394" i="3"/>
  <c r="A395" i="3"/>
  <c r="D394" i="3"/>
  <c r="C394" i="3"/>
  <c r="F394" i="3"/>
  <c r="BM394" i="3" s="1"/>
  <c r="G394" i="3"/>
  <c r="H394" i="3" s="1"/>
  <c r="BN394" i="3" s="1"/>
  <c r="S394" i="3"/>
  <c r="Q394" i="3"/>
  <c r="O394" i="3"/>
  <c r="U394" i="3"/>
  <c r="AE394" i="3"/>
  <c r="AM394" i="3"/>
  <c r="AD394" i="3"/>
  <c r="M394" i="3"/>
  <c r="AK394" i="3"/>
  <c r="AF394" i="3"/>
  <c r="T394" i="3"/>
  <c r="P394" i="3"/>
  <c r="V394" i="3"/>
  <c r="R394" i="3"/>
  <c r="AN393" i="3"/>
  <c r="AH394" i="3" l="1"/>
  <c r="AG394" i="3"/>
  <c r="AN394" i="3"/>
  <c r="BA392" i="3"/>
  <c r="AV392" i="3"/>
  <c r="BC392" i="3" s="1"/>
  <c r="Y394" i="3"/>
  <c r="Z394" i="3" s="1"/>
  <c r="A396" i="3"/>
  <c r="B395" i="3"/>
  <c r="AR395" i="3"/>
  <c r="AQ395" i="3"/>
  <c r="C395" i="3"/>
  <c r="D395" i="3"/>
  <c r="G395" i="3"/>
  <c r="H395" i="3" s="1"/>
  <c r="BN395" i="3" s="1"/>
  <c r="F395" i="3"/>
  <c r="BM395" i="3" s="1"/>
  <c r="Q395" i="3"/>
  <c r="S395" i="3"/>
  <c r="O395" i="3"/>
  <c r="U395" i="3"/>
  <c r="M395" i="3"/>
  <c r="AM395" i="3"/>
  <c r="AK395" i="3"/>
  <c r="AD395" i="3"/>
  <c r="AE395" i="3"/>
  <c r="AF395" i="3"/>
  <c r="V395" i="3"/>
  <c r="T395" i="3"/>
  <c r="P395" i="3"/>
  <c r="R395" i="3"/>
  <c r="BQ391" i="3"/>
  <c r="BF391" i="3"/>
  <c r="BJ390" i="3" s="1"/>
  <c r="BK390" i="3" s="1"/>
  <c r="BB391" i="3"/>
  <c r="X394" i="3"/>
  <c r="AT393" i="3"/>
  <c r="BD391" i="3"/>
  <c r="BG391" i="3"/>
  <c r="BH391" i="3" s="1"/>
  <c r="BI391" i="3" s="1"/>
  <c r="AW393" i="3"/>
  <c r="AY393" i="3" s="1"/>
  <c r="AU393" i="3"/>
  <c r="AO394" i="3"/>
  <c r="AU394" i="3" l="1"/>
  <c r="AX394" i="3"/>
  <c r="AT394" i="3"/>
  <c r="AO395" i="3"/>
  <c r="AW394" i="3"/>
  <c r="AY394" i="3" s="1"/>
  <c r="Y395" i="3"/>
  <c r="Z395" i="3" s="1"/>
  <c r="AH395" i="3"/>
  <c r="X395" i="3"/>
  <c r="AN395" i="3"/>
  <c r="BD392" i="3"/>
  <c r="BG392" i="3"/>
  <c r="BH392" i="3" s="1"/>
  <c r="BI392" i="3" s="1"/>
  <c r="BA393" i="3"/>
  <c r="AV393" i="3"/>
  <c r="BC393" i="3" s="1"/>
  <c r="AG395" i="3"/>
  <c r="A397" i="3"/>
  <c r="AR396" i="3"/>
  <c r="AQ396" i="3"/>
  <c r="B396" i="3"/>
  <c r="D396" i="3"/>
  <c r="C396" i="3"/>
  <c r="F396" i="3"/>
  <c r="BM396" i="3" s="1"/>
  <c r="G396" i="3"/>
  <c r="H396" i="3" s="1"/>
  <c r="BN396" i="3" s="1"/>
  <c r="Q396" i="3"/>
  <c r="S396" i="3"/>
  <c r="O396" i="3"/>
  <c r="U396" i="3"/>
  <c r="AM396" i="3"/>
  <c r="AD396" i="3"/>
  <c r="M396" i="3"/>
  <c r="AK396" i="3"/>
  <c r="AE396" i="3"/>
  <c r="AF396" i="3"/>
  <c r="P396" i="3"/>
  <c r="R396" i="3"/>
  <c r="T396" i="3"/>
  <c r="V396" i="3"/>
  <c r="BQ392" i="3"/>
  <c r="BB392" i="3"/>
  <c r="BF392" i="3"/>
  <c r="BJ391" i="3" s="1"/>
  <c r="BK391" i="3" s="1"/>
  <c r="AV394" i="3"/>
  <c r="BA394" i="3"/>
  <c r="AO396" i="3" l="1"/>
  <c r="AW395" i="3"/>
  <c r="BC394" i="3"/>
  <c r="BQ393" i="3"/>
  <c r="BF393" i="3"/>
  <c r="BJ392" i="3" s="1"/>
  <c r="BK392" i="3" s="1"/>
  <c r="BB393" i="3"/>
  <c r="AG396" i="3"/>
  <c r="BG393" i="3"/>
  <c r="BH393" i="3" s="1"/>
  <c r="BI393" i="3" s="1"/>
  <c r="BD393" i="3"/>
  <c r="BD394" i="3"/>
  <c r="BG394" i="3"/>
  <c r="BH394" i="3" s="1"/>
  <c r="BI394" i="3" s="1"/>
  <c r="AH396" i="3"/>
  <c r="AX396" i="3" s="1"/>
  <c r="AR397" i="3"/>
  <c r="AQ397" i="3"/>
  <c r="A398" i="3"/>
  <c r="C397" i="3"/>
  <c r="D397" i="3"/>
  <c r="B397" i="3"/>
  <c r="F397" i="3"/>
  <c r="BM397" i="3" s="1"/>
  <c r="G397" i="3"/>
  <c r="H397" i="3" s="1"/>
  <c r="BN397" i="3" s="1"/>
  <c r="S397" i="3"/>
  <c r="Q397" i="3"/>
  <c r="O397" i="3"/>
  <c r="U397" i="3"/>
  <c r="AM397" i="3"/>
  <c r="M397" i="3"/>
  <c r="AD397" i="3"/>
  <c r="AE397" i="3"/>
  <c r="AK397" i="3"/>
  <c r="AF397" i="3"/>
  <c r="R397" i="3"/>
  <c r="P397" i="3"/>
  <c r="V397" i="3"/>
  <c r="T397" i="3"/>
  <c r="AU395" i="3"/>
  <c r="X396" i="3"/>
  <c r="AT395" i="3"/>
  <c r="AN396" i="3"/>
  <c r="BF394" i="3"/>
  <c r="BJ393" i="3" s="1"/>
  <c r="BK393" i="3" s="1"/>
  <c r="BB394" i="3"/>
  <c r="BQ394" i="3"/>
  <c r="Y396" i="3"/>
  <c r="Z396" i="3" s="1"/>
  <c r="AX395" i="3"/>
  <c r="AY395" i="3" s="1"/>
  <c r="AO397" i="3" l="1"/>
  <c r="AU396" i="3"/>
  <c r="AH397" i="3"/>
  <c r="AG397" i="3"/>
  <c r="AU397" i="3" s="1"/>
  <c r="AN397" i="3"/>
  <c r="Y397" i="3"/>
  <c r="Z397" i="3" s="1"/>
  <c r="AQ398" i="3"/>
  <c r="B398" i="3"/>
  <c r="A399" i="3"/>
  <c r="AR398" i="3"/>
  <c r="D398" i="3"/>
  <c r="C398" i="3"/>
  <c r="F398" i="3"/>
  <c r="BM398" i="3" s="1"/>
  <c r="G398" i="3"/>
  <c r="H398" i="3" s="1"/>
  <c r="BN398" i="3" s="1"/>
  <c r="S398" i="3"/>
  <c r="Q398" i="3"/>
  <c r="O398" i="3"/>
  <c r="U398" i="3"/>
  <c r="AM398" i="3"/>
  <c r="AD398" i="3"/>
  <c r="AF398" i="3"/>
  <c r="M398" i="3"/>
  <c r="AK398" i="3"/>
  <c r="AE398" i="3"/>
  <c r="R398" i="3"/>
  <c r="T398" i="3"/>
  <c r="V398" i="3"/>
  <c r="P398" i="3"/>
  <c r="AW396" i="3"/>
  <c r="AY396" i="3" s="1"/>
  <c r="X397" i="3"/>
  <c r="BA395" i="3"/>
  <c r="AV395" i="3"/>
  <c r="BC395" i="3" s="1"/>
  <c r="AT396" i="3"/>
  <c r="AG398" i="3" l="1"/>
  <c r="AO398" i="3"/>
  <c r="AT397" i="3"/>
  <c r="AV397" i="3" s="1"/>
  <c r="Y398" i="3"/>
  <c r="Z398" i="3" s="1"/>
  <c r="AW397" i="3"/>
  <c r="AN398" i="3"/>
  <c r="BA396" i="3"/>
  <c r="AV396" i="3"/>
  <c r="BC396" i="3" s="1"/>
  <c r="X398" i="3"/>
  <c r="AR399" i="3"/>
  <c r="C399" i="3"/>
  <c r="A400" i="3"/>
  <c r="B399" i="3"/>
  <c r="AQ399" i="3"/>
  <c r="D399" i="3"/>
  <c r="F399" i="3"/>
  <c r="BM399" i="3" s="1"/>
  <c r="G399" i="3"/>
  <c r="H399" i="3" s="1"/>
  <c r="BN399" i="3" s="1"/>
  <c r="Q399" i="3"/>
  <c r="S399" i="3"/>
  <c r="O399" i="3"/>
  <c r="U399" i="3"/>
  <c r="M399" i="3"/>
  <c r="AE399" i="3"/>
  <c r="AD399" i="3"/>
  <c r="AM399" i="3"/>
  <c r="AF399" i="3"/>
  <c r="AK399" i="3"/>
  <c r="P399" i="3"/>
  <c r="R399" i="3"/>
  <c r="T399" i="3"/>
  <c r="V399" i="3"/>
  <c r="BQ395" i="3"/>
  <c r="BB395" i="3"/>
  <c r="BF395" i="3"/>
  <c r="BJ394" i="3" s="1"/>
  <c r="BK394" i="3" s="1"/>
  <c r="AH398" i="3"/>
  <c r="BD395" i="3"/>
  <c r="BG395" i="3"/>
  <c r="BH395" i="3" s="1"/>
  <c r="BI395" i="3" s="1"/>
  <c r="AX397" i="3"/>
  <c r="AY397" i="3" l="1"/>
  <c r="AO399" i="3"/>
  <c r="BA397" i="3"/>
  <c r="AX398" i="3"/>
  <c r="Y399" i="3"/>
  <c r="Z399" i="3" s="1"/>
  <c r="AT398" i="3"/>
  <c r="AW398" i="3"/>
  <c r="AY398" i="3" s="1"/>
  <c r="BF397" i="3"/>
  <c r="BQ397" i="3"/>
  <c r="BB397" i="3"/>
  <c r="AN399" i="3"/>
  <c r="X399" i="3"/>
  <c r="AG399" i="3"/>
  <c r="BQ396" i="3"/>
  <c r="BB396" i="3"/>
  <c r="BF396" i="3"/>
  <c r="BJ395" i="3" s="1"/>
  <c r="BK395" i="3" s="1"/>
  <c r="AH399" i="3"/>
  <c r="A401" i="3"/>
  <c r="D400" i="3"/>
  <c r="C400" i="3"/>
  <c r="B400" i="3"/>
  <c r="AQ400" i="3"/>
  <c r="AR400" i="3"/>
  <c r="F400" i="3"/>
  <c r="BM400" i="3" s="1"/>
  <c r="G400" i="3"/>
  <c r="H400" i="3" s="1"/>
  <c r="BN400" i="3" s="1"/>
  <c r="Q400" i="3"/>
  <c r="S400" i="3"/>
  <c r="O400" i="3"/>
  <c r="U400" i="3"/>
  <c r="AD400" i="3"/>
  <c r="AK400" i="3"/>
  <c r="M400" i="3"/>
  <c r="AE400" i="3"/>
  <c r="AM400" i="3"/>
  <c r="AF400" i="3"/>
  <c r="P400" i="3"/>
  <c r="T400" i="3"/>
  <c r="V400" i="3"/>
  <c r="R400" i="3"/>
  <c r="BD396" i="3"/>
  <c r="BG396" i="3"/>
  <c r="BH396" i="3" s="1"/>
  <c r="BI396" i="3" s="1"/>
  <c r="AU398" i="3"/>
  <c r="AV398" i="3" s="1"/>
  <c r="BC397" i="3"/>
  <c r="AX399" i="3" l="1"/>
  <c r="AN400" i="3"/>
  <c r="BC398" i="3"/>
  <c r="BD398" i="3" s="1"/>
  <c r="BA398" i="3"/>
  <c r="BB398" i="3" s="1"/>
  <c r="AG400" i="3"/>
  <c r="BG398" i="3"/>
  <c r="BH398" i="3" s="1"/>
  <c r="BI398" i="3" s="1"/>
  <c r="AW399" i="3"/>
  <c r="AY399" i="3" s="1"/>
  <c r="AO400" i="3"/>
  <c r="BD397" i="3"/>
  <c r="BG397" i="3"/>
  <c r="BH397" i="3" s="1"/>
  <c r="BI397" i="3" s="1"/>
  <c r="AH400" i="3"/>
  <c r="X400" i="3"/>
  <c r="C401" i="3"/>
  <c r="AR401" i="3"/>
  <c r="B401" i="3"/>
  <c r="AQ401" i="3"/>
  <c r="A402" i="3"/>
  <c r="D401" i="3"/>
  <c r="G401" i="3"/>
  <c r="H401" i="3" s="1"/>
  <c r="BN401" i="3" s="1"/>
  <c r="F401" i="3"/>
  <c r="BM401" i="3" s="1"/>
  <c r="Q401" i="3"/>
  <c r="S401" i="3"/>
  <c r="O401" i="3"/>
  <c r="U401" i="3"/>
  <c r="M401" i="3"/>
  <c r="AM401" i="3"/>
  <c r="AK401" i="3"/>
  <c r="AE401" i="3"/>
  <c r="AD401" i="3"/>
  <c r="AF401" i="3"/>
  <c r="R401" i="3"/>
  <c r="T401" i="3"/>
  <c r="P401" i="3"/>
  <c r="V401" i="3"/>
  <c r="AT399" i="3"/>
  <c r="AU399" i="3"/>
  <c r="Y400" i="3"/>
  <c r="Z400" i="3" s="1"/>
  <c r="BJ396" i="3"/>
  <c r="BK396" i="3" s="1"/>
  <c r="AX400" i="3" l="1"/>
  <c r="BQ398" i="3"/>
  <c r="AO401" i="3"/>
  <c r="BF398" i="3"/>
  <c r="BJ397" i="3" s="1"/>
  <c r="BK397" i="3" s="1"/>
  <c r="AU400" i="3"/>
  <c r="AN401" i="3"/>
  <c r="AH401" i="3"/>
  <c r="X401" i="3"/>
  <c r="AG401" i="3"/>
  <c r="A403" i="3"/>
  <c r="C402" i="3"/>
  <c r="D402" i="3"/>
  <c r="AQ402" i="3"/>
  <c r="B402" i="3"/>
  <c r="AR402" i="3"/>
  <c r="F402" i="3"/>
  <c r="BM402" i="3" s="1"/>
  <c r="G402" i="3"/>
  <c r="H402" i="3" s="1"/>
  <c r="BN402" i="3" s="1"/>
  <c r="Q402" i="3"/>
  <c r="S402" i="3"/>
  <c r="O402" i="3"/>
  <c r="U402" i="3"/>
  <c r="AE402" i="3"/>
  <c r="AF402" i="3"/>
  <c r="M402" i="3"/>
  <c r="AD402" i="3"/>
  <c r="AK402" i="3"/>
  <c r="AM402" i="3"/>
  <c r="R402" i="3"/>
  <c r="T402" i="3"/>
  <c r="V402" i="3"/>
  <c r="P402" i="3"/>
  <c r="AT400" i="3"/>
  <c r="AW400" i="3"/>
  <c r="AY400" i="3" s="1"/>
  <c r="BA399" i="3"/>
  <c r="AV399" i="3"/>
  <c r="BC399" i="3" s="1"/>
  <c r="Y401" i="3"/>
  <c r="Z401" i="3" s="1"/>
  <c r="AU401" i="3" l="1"/>
  <c r="AW401" i="3"/>
  <c r="AN402" i="3"/>
  <c r="AV400" i="3"/>
  <c r="BC400" i="3" s="1"/>
  <c r="BA400" i="3"/>
  <c r="X402" i="3"/>
  <c r="AG402" i="3"/>
  <c r="AO402" i="3"/>
  <c r="BQ399" i="3"/>
  <c r="BB399" i="3"/>
  <c r="BF399" i="3"/>
  <c r="BJ398" i="3" s="1"/>
  <c r="BK398" i="3" s="1"/>
  <c r="AH402" i="3"/>
  <c r="AX402" i="3" s="1"/>
  <c r="Y402" i="3"/>
  <c r="Z402" i="3" s="1"/>
  <c r="A404" i="3"/>
  <c r="B403" i="3"/>
  <c r="AR403" i="3"/>
  <c r="AQ403" i="3"/>
  <c r="D403" i="3"/>
  <c r="C403" i="3"/>
  <c r="F403" i="3"/>
  <c r="BM403" i="3" s="1"/>
  <c r="G403" i="3"/>
  <c r="H403" i="3" s="1"/>
  <c r="BN403" i="3" s="1"/>
  <c r="S403" i="3"/>
  <c r="Q403" i="3"/>
  <c r="O403" i="3"/>
  <c r="U403" i="3"/>
  <c r="AK403" i="3"/>
  <c r="AD403" i="3"/>
  <c r="M403" i="3"/>
  <c r="AM403" i="3"/>
  <c r="AF403" i="3"/>
  <c r="AE403" i="3"/>
  <c r="R403" i="3"/>
  <c r="V403" i="3"/>
  <c r="T403" i="3"/>
  <c r="P403" i="3"/>
  <c r="AX401" i="3"/>
  <c r="AY401" i="3" s="1"/>
  <c r="AT401" i="3"/>
  <c r="BD399" i="3"/>
  <c r="BG399" i="3"/>
  <c r="BH399" i="3" s="1"/>
  <c r="BI399" i="3" s="1"/>
  <c r="AN403" i="3" l="1"/>
  <c r="AG403" i="3"/>
  <c r="X403" i="3"/>
  <c r="AR404" i="3"/>
  <c r="D404" i="3"/>
  <c r="B404" i="3"/>
  <c r="AQ404" i="3"/>
  <c r="A405" i="3"/>
  <c r="C404" i="3"/>
  <c r="F404" i="3"/>
  <c r="BM404" i="3" s="1"/>
  <c r="G404" i="3"/>
  <c r="H404" i="3" s="1"/>
  <c r="BN404" i="3" s="1"/>
  <c r="Q404" i="3"/>
  <c r="S404" i="3"/>
  <c r="O404" i="3"/>
  <c r="U404" i="3"/>
  <c r="AK404" i="3"/>
  <c r="AE404" i="3"/>
  <c r="AM404" i="3"/>
  <c r="AF404" i="3"/>
  <c r="M404" i="3"/>
  <c r="AD404" i="3"/>
  <c r="P404" i="3"/>
  <c r="V404" i="3"/>
  <c r="T404" i="3"/>
  <c r="R404" i="3"/>
  <c r="AO403" i="3"/>
  <c r="AT402" i="3"/>
  <c r="AU402" i="3"/>
  <c r="AH403" i="3"/>
  <c r="BA401" i="3"/>
  <c r="AV401" i="3"/>
  <c r="BC401" i="3" s="1"/>
  <c r="BQ400" i="3"/>
  <c r="BF400" i="3"/>
  <c r="BJ399" i="3" s="1"/>
  <c r="BK399" i="3" s="1"/>
  <c r="BB400" i="3"/>
  <c r="AW402" i="3"/>
  <c r="AY402" i="3" s="1"/>
  <c r="Y403" i="3"/>
  <c r="Z403" i="3" s="1"/>
  <c r="BD400" i="3"/>
  <c r="BG400" i="3"/>
  <c r="BH400" i="3" s="1"/>
  <c r="BI400" i="3" s="1"/>
  <c r="AN404" i="3" l="1"/>
  <c r="AX403" i="3"/>
  <c r="AH404" i="3"/>
  <c r="Y404" i="3"/>
  <c r="Z404" i="3" s="1"/>
  <c r="BA402" i="3"/>
  <c r="AV402" i="3"/>
  <c r="BC402" i="3" s="1"/>
  <c r="AO404" i="3"/>
  <c r="AG404" i="3"/>
  <c r="BQ401" i="3"/>
  <c r="BB401" i="3"/>
  <c r="BF401" i="3"/>
  <c r="BJ400" i="3" s="1"/>
  <c r="BK400" i="3" s="1"/>
  <c r="B405" i="3"/>
  <c r="AR405" i="3"/>
  <c r="AQ405" i="3"/>
  <c r="A406" i="3"/>
  <c r="C405" i="3"/>
  <c r="D405" i="3"/>
  <c r="F405" i="3"/>
  <c r="BM405" i="3" s="1"/>
  <c r="G405" i="3"/>
  <c r="H405" i="3" s="1"/>
  <c r="BN405" i="3" s="1"/>
  <c r="Q405" i="3"/>
  <c r="S405" i="3"/>
  <c r="O405" i="3"/>
  <c r="U405" i="3"/>
  <c r="AD405" i="3"/>
  <c r="M405" i="3"/>
  <c r="AF405" i="3"/>
  <c r="AE405" i="3"/>
  <c r="AM405" i="3"/>
  <c r="AK405" i="3"/>
  <c r="R405" i="3"/>
  <c r="T405" i="3"/>
  <c r="P405" i="3"/>
  <c r="V405" i="3"/>
  <c r="BD401" i="3"/>
  <c r="BG401" i="3"/>
  <c r="BH401" i="3" s="1"/>
  <c r="BI401" i="3" s="1"/>
  <c r="AU403" i="3"/>
  <c r="X404" i="3"/>
  <c r="AW403" i="3"/>
  <c r="AT403" i="3"/>
  <c r="AY403" i="3" l="1"/>
  <c r="AO405" i="3"/>
  <c r="AW404" i="3"/>
  <c r="AG405" i="3"/>
  <c r="Y405" i="3"/>
  <c r="Z405" i="3" s="1"/>
  <c r="AT404" i="3"/>
  <c r="AN405" i="3"/>
  <c r="AU404" i="3"/>
  <c r="X405" i="3"/>
  <c r="AV403" i="3"/>
  <c r="BC403" i="3" s="1"/>
  <c r="BA403" i="3"/>
  <c r="AV404" i="3"/>
  <c r="AH405" i="3"/>
  <c r="AX405" i="3" s="1"/>
  <c r="AX404" i="3"/>
  <c r="AY404" i="3" s="1"/>
  <c r="AQ406" i="3"/>
  <c r="C406" i="3"/>
  <c r="B406" i="3"/>
  <c r="A407" i="3"/>
  <c r="AR406" i="3"/>
  <c r="D406" i="3"/>
  <c r="F406" i="3"/>
  <c r="BM406" i="3" s="1"/>
  <c r="G406" i="3"/>
  <c r="H406" i="3" s="1"/>
  <c r="BN406" i="3" s="1"/>
  <c r="S406" i="3"/>
  <c r="Q406" i="3"/>
  <c r="O406" i="3"/>
  <c r="U406" i="3"/>
  <c r="M406" i="3"/>
  <c r="AE406" i="3"/>
  <c r="AD406" i="3"/>
  <c r="AK406" i="3"/>
  <c r="AM406" i="3"/>
  <c r="AF406" i="3"/>
  <c r="P406" i="3"/>
  <c r="T406" i="3"/>
  <c r="R406" i="3"/>
  <c r="V406" i="3"/>
  <c r="BD402" i="3"/>
  <c r="BG402" i="3"/>
  <c r="BH402" i="3" s="1"/>
  <c r="BI402" i="3" s="1"/>
  <c r="BB402" i="3"/>
  <c r="BQ402" i="3"/>
  <c r="BF402" i="3"/>
  <c r="BJ401" i="3" s="1"/>
  <c r="BK401" i="3" s="1"/>
  <c r="AU405" i="3" l="1"/>
  <c r="AO406" i="3"/>
  <c r="AG406" i="3"/>
  <c r="AH406" i="3"/>
  <c r="B407" i="3"/>
  <c r="C407" i="3"/>
  <c r="A408" i="3"/>
  <c r="AR407" i="3"/>
  <c r="AQ407" i="3"/>
  <c r="D407" i="3"/>
  <c r="F407" i="3"/>
  <c r="BM407" i="3" s="1"/>
  <c r="G407" i="3"/>
  <c r="H407" i="3" s="1"/>
  <c r="BN407" i="3" s="1"/>
  <c r="Q407" i="3"/>
  <c r="S407" i="3"/>
  <c r="O407" i="3"/>
  <c r="U407" i="3"/>
  <c r="AM407" i="3"/>
  <c r="M407" i="3"/>
  <c r="AK407" i="3"/>
  <c r="AD407" i="3"/>
  <c r="AF407" i="3"/>
  <c r="AE407" i="3"/>
  <c r="T407" i="3"/>
  <c r="P407" i="3"/>
  <c r="R407" i="3"/>
  <c r="V407" i="3"/>
  <c r="BF403" i="3"/>
  <c r="BJ402" i="3" s="1"/>
  <c r="BK402" i="3" s="1"/>
  <c r="BB403" i="3"/>
  <c r="BQ403" i="3"/>
  <c r="AT405" i="3"/>
  <c r="BD403" i="3"/>
  <c r="BG403" i="3"/>
  <c r="BH403" i="3" s="1"/>
  <c r="BI403" i="3" s="1"/>
  <c r="BC404" i="3"/>
  <c r="BA404" i="3"/>
  <c r="AN406" i="3"/>
  <c r="X406" i="3"/>
  <c r="Y406" i="3"/>
  <c r="Z406" i="3" s="1"/>
  <c r="AW405" i="3"/>
  <c r="AY405" i="3" s="1"/>
  <c r="AT406" i="3" l="1"/>
  <c r="AO407" i="3"/>
  <c r="Y407" i="3"/>
  <c r="Z407" i="3" s="1"/>
  <c r="AX406" i="3"/>
  <c r="AN407" i="3"/>
  <c r="BA405" i="3"/>
  <c r="AV405" i="3"/>
  <c r="BC405" i="3" s="1"/>
  <c r="AH407" i="3"/>
  <c r="AG407" i="3"/>
  <c r="X407" i="3"/>
  <c r="BQ404" i="3"/>
  <c r="BF404" i="3"/>
  <c r="BJ403" i="3" s="1"/>
  <c r="BK403" i="3" s="1"/>
  <c r="BB404" i="3"/>
  <c r="AU406" i="3"/>
  <c r="BA406" i="3" s="1"/>
  <c r="AR408" i="3"/>
  <c r="B408" i="3"/>
  <c r="AQ408" i="3"/>
  <c r="A409" i="3"/>
  <c r="D408" i="3"/>
  <c r="C408" i="3"/>
  <c r="F408" i="3"/>
  <c r="G408" i="3"/>
  <c r="H408" i="3" s="1"/>
  <c r="BN408" i="3" s="1"/>
  <c r="Q408" i="3"/>
  <c r="S408" i="3"/>
  <c r="O408" i="3"/>
  <c r="U408" i="3"/>
  <c r="AM408" i="3"/>
  <c r="AK408" i="3"/>
  <c r="AF408" i="3"/>
  <c r="AD408" i="3"/>
  <c r="M408" i="3"/>
  <c r="AE408" i="3"/>
  <c r="R408" i="3"/>
  <c r="P408" i="3"/>
  <c r="T408" i="3"/>
  <c r="V408" i="3"/>
  <c r="BD404" i="3"/>
  <c r="BG404" i="3"/>
  <c r="BH404" i="3" s="1"/>
  <c r="BI404" i="3" s="1"/>
  <c r="AW406" i="3"/>
  <c r="BM408" i="3" l="1"/>
  <c r="AW407" i="3"/>
  <c r="AO408" i="3"/>
  <c r="AY406" i="3"/>
  <c r="AT407" i="3"/>
  <c r="X408" i="3"/>
  <c r="AH408" i="3"/>
  <c r="AU407" i="3"/>
  <c r="BF406" i="3"/>
  <c r="BQ406" i="3"/>
  <c r="BB406" i="3"/>
  <c r="BQ405" i="3"/>
  <c r="BB405" i="3"/>
  <c r="BF405" i="3"/>
  <c r="BJ404" i="3" s="1"/>
  <c r="BK404" i="3" s="1"/>
  <c r="AV407" i="3"/>
  <c r="Y408" i="3"/>
  <c r="Z408" i="3" s="1"/>
  <c r="AN408" i="3"/>
  <c r="BD405" i="3"/>
  <c r="BG405" i="3"/>
  <c r="BH405" i="3" s="1"/>
  <c r="BI405" i="3" s="1"/>
  <c r="AG408" i="3"/>
  <c r="AV406" i="3"/>
  <c r="AR409" i="3"/>
  <c r="B409" i="3"/>
  <c r="AQ409" i="3"/>
  <c r="D409" i="3"/>
  <c r="C409" i="3"/>
  <c r="A410" i="3"/>
  <c r="F409" i="3"/>
  <c r="BM409" i="3" s="1"/>
  <c r="G409" i="3"/>
  <c r="H409" i="3" s="1"/>
  <c r="BN409" i="3" s="1"/>
  <c r="Q409" i="3"/>
  <c r="S409" i="3"/>
  <c r="O409" i="3"/>
  <c r="U409" i="3"/>
  <c r="AD409" i="3"/>
  <c r="AK409" i="3"/>
  <c r="M409" i="3"/>
  <c r="AM409" i="3"/>
  <c r="AF409" i="3"/>
  <c r="AE409" i="3"/>
  <c r="P409" i="3"/>
  <c r="V409" i="3"/>
  <c r="R409" i="3"/>
  <c r="T409" i="3"/>
  <c r="AX407" i="3"/>
  <c r="AY407" i="3" s="1"/>
  <c r="BC406" i="3" l="1"/>
  <c r="AW408" i="3"/>
  <c r="AH409" i="3"/>
  <c r="AN409" i="3"/>
  <c r="AX408" i="3"/>
  <c r="AY408" i="3" s="1"/>
  <c r="AQ410" i="3"/>
  <c r="AR410" i="3"/>
  <c r="B410" i="3"/>
  <c r="A411" i="3"/>
  <c r="D410" i="3"/>
  <c r="C410" i="3"/>
  <c r="F410" i="3"/>
  <c r="BM410" i="3" s="1"/>
  <c r="G410" i="3"/>
  <c r="H410" i="3" s="1"/>
  <c r="BN410" i="3" s="1"/>
  <c r="Q410" i="3"/>
  <c r="S410" i="3"/>
  <c r="O410" i="3"/>
  <c r="U410" i="3"/>
  <c r="AD410" i="3"/>
  <c r="AK410" i="3"/>
  <c r="AM410" i="3"/>
  <c r="AF410" i="3"/>
  <c r="M410" i="3"/>
  <c r="AE410" i="3"/>
  <c r="R410" i="3"/>
  <c r="T410" i="3"/>
  <c r="V410" i="3"/>
  <c r="P410" i="3"/>
  <c r="BC407" i="3"/>
  <c r="BD406" i="3"/>
  <c r="BG406" i="3"/>
  <c r="BH406" i="3" s="1"/>
  <c r="BI406" i="3" s="1"/>
  <c r="AU408" i="3"/>
  <c r="BA407" i="3"/>
  <c r="Y409" i="3"/>
  <c r="Z409" i="3" s="1"/>
  <c r="AT408" i="3"/>
  <c r="X409" i="3"/>
  <c r="AG409" i="3"/>
  <c r="AO409" i="3"/>
  <c r="BJ405" i="3"/>
  <c r="BK405" i="3" s="1"/>
  <c r="AX409" i="3" l="1"/>
  <c r="AT409" i="3"/>
  <c r="AG410" i="3"/>
  <c r="Y410" i="3"/>
  <c r="Z410" i="3" s="1"/>
  <c r="AN410" i="3"/>
  <c r="BQ407" i="3"/>
  <c r="BF407" i="3"/>
  <c r="BJ406" i="3" s="1"/>
  <c r="BK406" i="3" s="1"/>
  <c r="BB407" i="3"/>
  <c r="X410" i="3"/>
  <c r="AV408" i="3"/>
  <c r="BC408" i="3" s="1"/>
  <c r="BA408" i="3"/>
  <c r="AH410" i="3"/>
  <c r="AX410" i="3" s="1"/>
  <c r="A412" i="3"/>
  <c r="B411" i="3"/>
  <c r="AR411" i="3"/>
  <c r="AQ411" i="3"/>
  <c r="C411" i="3"/>
  <c r="D411" i="3"/>
  <c r="F411" i="3"/>
  <c r="BM411" i="3" s="1"/>
  <c r="G411" i="3"/>
  <c r="H411" i="3" s="1"/>
  <c r="BN411" i="3" s="1"/>
  <c r="Q411" i="3"/>
  <c r="S411" i="3"/>
  <c r="O411" i="3"/>
  <c r="U411" i="3"/>
  <c r="M411" i="3"/>
  <c r="AD411" i="3"/>
  <c r="AK411" i="3"/>
  <c r="AE411" i="3"/>
  <c r="AF411" i="3"/>
  <c r="AM411" i="3"/>
  <c r="V411" i="3"/>
  <c r="P411" i="3"/>
  <c r="T411" i="3"/>
  <c r="R411" i="3"/>
  <c r="AW409" i="3"/>
  <c r="AY409" i="3" s="1"/>
  <c r="AO410" i="3"/>
  <c r="BD407" i="3"/>
  <c r="BG407" i="3"/>
  <c r="BH407" i="3" s="1"/>
  <c r="BI407" i="3" s="1"/>
  <c r="AU409" i="3"/>
  <c r="AV409" i="3" s="1"/>
  <c r="AO411" i="3" l="1"/>
  <c r="AH411" i="3"/>
  <c r="BC409" i="3"/>
  <c r="BD409" i="3" s="1"/>
  <c r="BA409" i="3"/>
  <c r="BF409" i="3" s="1"/>
  <c r="AN411" i="3"/>
  <c r="A413" i="3"/>
  <c r="AR412" i="3"/>
  <c r="B412" i="3"/>
  <c r="AQ412" i="3"/>
  <c r="C412" i="3"/>
  <c r="D412" i="3"/>
  <c r="G412" i="3"/>
  <c r="H412" i="3" s="1"/>
  <c r="F412" i="3"/>
  <c r="BM412" i="3" s="1"/>
  <c r="S412" i="3"/>
  <c r="Q412" i="3"/>
  <c r="O412" i="3"/>
  <c r="U412" i="3"/>
  <c r="AE412" i="3"/>
  <c r="AD412" i="3"/>
  <c r="AK412" i="3"/>
  <c r="AM412" i="3"/>
  <c r="M412" i="3"/>
  <c r="AF412" i="3"/>
  <c r="T412" i="3"/>
  <c r="R412" i="3"/>
  <c r="V412" i="3"/>
  <c r="P412" i="3"/>
  <c r="AU410" i="3"/>
  <c r="X411" i="3"/>
  <c r="Y411" i="3"/>
  <c r="Z411" i="3" s="1"/>
  <c r="AW410" i="3"/>
  <c r="AY410" i="3" s="1"/>
  <c r="AG411" i="3"/>
  <c r="AT410" i="3"/>
  <c r="BB408" i="3"/>
  <c r="BQ408" i="3"/>
  <c r="BF408" i="3"/>
  <c r="BJ407" i="3" s="1"/>
  <c r="BK407" i="3" s="1"/>
  <c r="BD408" i="3"/>
  <c r="BG408" i="3"/>
  <c r="BH408" i="3" s="1"/>
  <c r="BI408" i="3" s="1"/>
  <c r="AT411" i="3" l="1"/>
  <c r="BB409" i="3"/>
  <c r="BN412" i="3"/>
  <c r="AN412" i="3"/>
  <c r="BQ409" i="3"/>
  <c r="BG409" i="3"/>
  <c r="BH409" i="3" s="1"/>
  <c r="BI409" i="3" s="1"/>
  <c r="BJ408" i="3"/>
  <c r="BK408" i="3" s="1"/>
  <c r="AW411" i="3"/>
  <c r="AX411" i="3"/>
  <c r="AG412" i="3"/>
  <c r="Y412" i="3"/>
  <c r="Z412" i="3" s="1"/>
  <c r="AH412" i="3"/>
  <c r="AV410" i="3"/>
  <c r="BC410" i="3" s="1"/>
  <c r="BA410" i="3"/>
  <c r="X412" i="3"/>
  <c r="AR413" i="3"/>
  <c r="AQ413" i="3"/>
  <c r="A414" i="3"/>
  <c r="D413" i="3"/>
  <c r="C413" i="3"/>
  <c r="B413" i="3"/>
  <c r="G413" i="3"/>
  <c r="H413" i="3" s="1"/>
  <c r="BN413" i="3" s="1"/>
  <c r="F413" i="3"/>
  <c r="BM413" i="3" s="1"/>
  <c r="Q413" i="3"/>
  <c r="S413" i="3"/>
  <c r="O413" i="3"/>
  <c r="U413" i="3"/>
  <c r="AK413" i="3"/>
  <c r="AF413" i="3"/>
  <c r="AE413" i="3"/>
  <c r="M413" i="3"/>
  <c r="AM413" i="3"/>
  <c r="AD413" i="3"/>
  <c r="T413" i="3"/>
  <c r="R413" i="3"/>
  <c r="P413" i="3"/>
  <c r="V413" i="3"/>
  <c r="AU411" i="3"/>
  <c r="AO412" i="3"/>
  <c r="AY411" i="3" l="1"/>
  <c r="AN413" i="3"/>
  <c r="Y413" i="3"/>
  <c r="Z413" i="3" s="1"/>
  <c r="AH413" i="3"/>
  <c r="BA411" i="3"/>
  <c r="BB411" i="3" s="1"/>
  <c r="AX412" i="3"/>
  <c r="AO413" i="3"/>
  <c r="X413" i="3"/>
  <c r="BB410" i="3"/>
  <c r="BQ410" i="3"/>
  <c r="BF410" i="3"/>
  <c r="BJ409" i="3" s="1"/>
  <c r="BK409" i="3" s="1"/>
  <c r="BD410" i="3"/>
  <c r="BG410" i="3"/>
  <c r="BH410" i="3" s="1"/>
  <c r="BI410" i="3" s="1"/>
  <c r="AV411" i="3"/>
  <c r="BC411" i="3" s="1"/>
  <c r="AQ414" i="3"/>
  <c r="B414" i="3"/>
  <c r="A415" i="3"/>
  <c r="AR414" i="3"/>
  <c r="D414" i="3"/>
  <c r="C414" i="3"/>
  <c r="G414" i="3"/>
  <c r="H414" i="3" s="1"/>
  <c r="BN414" i="3" s="1"/>
  <c r="F414" i="3"/>
  <c r="BM414" i="3" s="1"/>
  <c r="S414" i="3"/>
  <c r="Q414" i="3"/>
  <c r="O414" i="3"/>
  <c r="U414" i="3"/>
  <c r="AM414" i="3"/>
  <c r="AD414" i="3"/>
  <c r="AK414" i="3"/>
  <c r="AF414" i="3"/>
  <c r="AE414" i="3"/>
  <c r="M414" i="3"/>
  <c r="T414" i="3"/>
  <c r="R414" i="3"/>
  <c r="V414" i="3"/>
  <c r="P414" i="3"/>
  <c r="AU412" i="3"/>
  <c r="AG413" i="3"/>
  <c r="AT412" i="3"/>
  <c r="AW412" i="3"/>
  <c r="AX413" i="3" l="1"/>
  <c r="AO414" i="3"/>
  <c r="AY412" i="3"/>
  <c r="BF411" i="3"/>
  <c r="BJ410" i="3" s="1"/>
  <c r="BK410" i="3" s="1"/>
  <c r="BQ411" i="3"/>
  <c r="AW413" i="3"/>
  <c r="AY413" i="3" s="1"/>
  <c r="AU413" i="3"/>
  <c r="AG414" i="3"/>
  <c r="X414" i="3"/>
  <c r="BD411" i="3"/>
  <c r="BG411" i="3"/>
  <c r="BH411" i="3" s="1"/>
  <c r="BI411" i="3" s="1"/>
  <c r="AH414" i="3"/>
  <c r="AT414" i="3" s="1"/>
  <c r="AR415" i="3"/>
  <c r="D415" i="3"/>
  <c r="A416" i="3"/>
  <c r="AQ415" i="3"/>
  <c r="C415" i="3"/>
  <c r="B415" i="3"/>
  <c r="F415" i="3"/>
  <c r="BM415" i="3" s="1"/>
  <c r="G415" i="3"/>
  <c r="H415" i="3" s="1"/>
  <c r="BN415" i="3" s="1"/>
  <c r="S415" i="3"/>
  <c r="Q415" i="3"/>
  <c r="O415" i="3"/>
  <c r="U415" i="3"/>
  <c r="AK415" i="3"/>
  <c r="AD415" i="3"/>
  <c r="AM415" i="3"/>
  <c r="AF415" i="3"/>
  <c r="M415" i="3"/>
  <c r="AE415" i="3"/>
  <c r="T415" i="3"/>
  <c r="V415" i="3"/>
  <c r="R415" i="3"/>
  <c r="P415" i="3"/>
  <c r="AT413" i="3"/>
  <c r="AN414" i="3"/>
  <c r="Y414" i="3"/>
  <c r="Z414" i="3" s="1"/>
  <c r="BA412" i="3"/>
  <c r="AV412" i="3"/>
  <c r="AN415" i="3" l="1"/>
  <c r="BC412" i="3"/>
  <c r="AG415" i="3"/>
  <c r="X415" i="3"/>
  <c r="AO415" i="3"/>
  <c r="Y415" i="3"/>
  <c r="Z415" i="3" s="1"/>
  <c r="AX414" i="3"/>
  <c r="BF412" i="3"/>
  <c r="BJ411" i="3" s="1"/>
  <c r="BK411" i="3" s="1"/>
  <c r="BQ412" i="3"/>
  <c r="BB412" i="3"/>
  <c r="AV413" i="3"/>
  <c r="BC413" i="3" s="1"/>
  <c r="BA413" i="3"/>
  <c r="AQ416" i="3"/>
  <c r="AR416" i="3"/>
  <c r="D416" i="3"/>
  <c r="C416" i="3"/>
  <c r="A417" i="3"/>
  <c r="B416" i="3"/>
  <c r="F416" i="3"/>
  <c r="BM416" i="3" s="1"/>
  <c r="G416" i="3"/>
  <c r="H416" i="3" s="1"/>
  <c r="BN416" i="3" s="1"/>
  <c r="Q416" i="3"/>
  <c r="S416" i="3"/>
  <c r="O416" i="3"/>
  <c r="U416" i="3"/>
  <c r="AD416" i="3"/>
  <c r="AM416" i="3"/>
  <c r="M416" i="3"/>
  <c r="AK416" i="3"/>
  <c r="AF416" i="3"/>
  <c r="AE416" i="3"/>
  <c r="P416" i="3"/>
  <c r="T416" i="3"/>
  <c r="V416" i="3"/>
  <c r="R416" i="3"/>
  <c r="AH415" i="3"/>
  <c r="BD412" i="3"/>
  <c r="BG412" i="3"/>
  <c r="BH412" i="3" s="1"/>
  <c r="BI412" i="3" s="1"/>
  <c r="AU414" i="3"/>
  <c r="AV414" i="3" s="1"/>
  <c r="AW414" i="3"/>
  <c r="AO416" i="3" l="1"/>
  <c r="AX415" i="3"/>
  <c r="AY414" i="3"/>
  <c r="BC414" i="3" s="1"/>
  <c r="AH416" i="3"/>
  <c r="AT415" i="3"/>
  <c r="BF413" i="3"/>
  <c r="BJ412" i="3" s="1"/>
  <c r="BK412" i="3" s="1"/>
  <c r="BB413" i="3"/>
  <c r="BQ413" i="3"/>
  <c r="AN416" i="3"/>
  <c r="AX416" i="3" s="1"/>
  <c r="D417" i="3"/>
  <c r="C417" i="3"/>
  <c r="AR417" i="3"/>
  <c r="B417" i="3"/>
  <c r="AQ417" i="3"/>
  <c r="A418" i="3"/>
  <c r="F417" i="3"/>
  <c r="BM417" i="3" s="1"/>
  <c r="G417" i="3"/>
  <c r="H417" i="3" s="1"/>
  <c r="BN417" i="3" s="1"/>
  <c r="Q417" i="3"/>
  <c r="S417" i="3"/>
  <c r="O417" i="3"/>
  <c r="U417" i="3"/>
  <c r="M417" i="3"/>
  <c r="AD417" i="3"/>
  <c r="AE417" i="3"/>
  <c r="AF417" i="3"/>
  <c r="AK417" i="3"/>
  <c r="AM417" i="3"/>
  <c r="P417" i="3"/>
  <c r="V417" i="3"/>
  <c r="T417" i="3"/>
  <c r="R417" i="3"/>
  <c r="BD413" i="3"/>
  <c r="BG413" i="3"/>
  <c r="BH413" i="3" s="1"/>
  <c r="BI413" i="3" s="1"/>
  <c r="AW415" i="3"/>
  <c r="AG416" i="3"/>
  <c r="X416" i="3"/>
  <c r="AU415" i="3"/>
  <c r="BA414" i="3"/>
  <c r="Y416" i="3"/>
  <c r="Z416" i="3" s="1"/>
  <c r="AV415" i="3" l="1"/>
  <c r="AY415" i="3"/>
  <c r="BC415" i="3" s="1"/>
  <c r="BD414" i="3"/>
  <c r="BG414" i="3"/>
  <c r="BH414" i="3" s="1"/>
  <c r="BI414" i="3" s="1"/>
  <c r="AU416" i="3"/>
  <c r="AH417" i="3"/>
  <c r="AO417" i="3"/>
  <c r="AN417" i="3"/>
  <c r="BQ414" i="3"/>
  <c r="BF414" i="3"/>
  <c r="BJ413" i="3" s="1"/>
  <c r="BK413" i="3" s="1"/>
  <c r="BB414" i="3"/>
  <c r="BA415" i="3"/>
  <c r="Y417" i="3"/>
  <c r="Z417" i="3" s="1"/>
  <c r="AG417" i="3"/>
  <c r="X417" i="3"/>
  <c r="B418" i="3"/>
  <c r="D418" i="3"/>
  <c r="C418" i="3"/>
  <c r="AR418" i="3"/>
  <c r="A419" i="3"/>
  <c r="AQ418" i="3"/>
  <c r="G418" i="3"/>
  <c r="H418" i="3" s="1"/>
  <c r="BN418" i="3" s="1"/>
  <c r="F418" i="3"/>
  <c r="BM418" i="3" s="1"/>
  <c r="Q418" i="3"/>
  <c r="S418" i="3"/>
  <c r="O418" i="3"/>
  <c r="U418" i="3"/>
  <c r="AE418" i="3"/>
  <c r="AM418" i="3"/>
  <c r="AD418" i="3"/>
  <c r="AK418" i="3"/>
  <c r="AF418" i="3"/>
  <c r="M418" i="3"/>
  <c r="V418" i="3"/>
  <c r="R418" i="3"/>
  <c r="P418" i="3"/>
  <c r="T418" i="3"/>
  <c r="AW416" i="3"/>
  <c r="AY416" i="3" s="1"/>
  <c r="AT416" i="3"/>
  <c r="AW417" i="3" l="1"/>
  <c r="AH418" i="3"/>
  <c r="Y418" i="3"/>
  <c r="Z418" i="3" s="1"/>
  <c r="AN418" i="3"/>
  <c r="A420" i="3"/>
  <c r="B419" i="3"/>
  <c r="AR419" i="3"/>
  <c r="AQ419" i="3"/>
  <c r="C419" i="3"/>
  <c r="D419" i="3"/>
  <c r="G419" i="3"/>
  <c r="H419" i="3" s="1"/>
  <c r="BN419" i="3" s="1"/>
  <c r="F419" i="3"/>
  <c r="BM419" i="3" s="1"/>
  <c r="Q419" i="3"/>
  <c r="S419" i="3"/>
  <c r="O419" i="3"/>
  <c r="U419" i="3"/>
  <c r="AD419" i="3"/>
  <c r="M419" i="3"/>
  <c r="AM419" i="3"/>
  <c r="AF419" i="3"/>
  <c r="AE419" i="3"/>
  <c r="AK419" i="3"/>
  <c r="P419" i="3"/>
  <c r="T419" i="3"/>
  <c r="R419" i="3"/>
  <c r="V419" i="3"/>
  <c r="BD415" i="3"/>
  <c r="BG415" i="3"/>
  <c r="BH415" i="3" s="1"/>
  <c r="BI415" i="3" s="1"/>
  <c r="AG418" i="3"/>
  <c r="X418" i="3"/>
  <c r="BF415" i="3"/>
  <c r="BJ414" i="3" s="1"/>
  <c r="BK414" i="3" s="1"/>
  <c r="BQ415" i="3"/>
  <c r="BB415" i="3"/>
  <c r="AO418" i="3"/>
  <c r="AU417" i="3"/>
  <c r="AX417" i="3"/>
  <c r="AY417" i="3" s="1"/>
  <c r="AT417" i="3"/>
  <c r="AV416" i="3"/>
  <c r="BC416" i="3" s="1"/>
  <c r="BA416" i="3"/>
  <c r="AT418" i="3" l="1"/>
  <c r="AO419" i="3"/>
  <c r="Y419" i="3"/>
  <c r="Z419" i="3" s="1"/>
  <c r="AG419" i="3"/>
  <c r="AH419" i="3"/>
  <c r="BD416" i="3"/>
  <c r="BG416" i="3"/>
  <c r="BH416" i="3" s="1"/>
  <c r="BI416" i="3" s="1"/>
  <c r="AV417" i="3"/>
  <c r="BC417" i="3" s="1"/>
  <c r="BA417" i="3"/>
  <c r="AW418" i="3"/>
  <c r="AN419" i="3"/>
  <c r="AU418" i="3"/>
  <c r="AV418" i="3" s="1"/>
  <c r="AT419" i="3"/>
  <c r="X419" i="3"/>
  <c r="BQ416" i="3"/>
  <c r="BB416" i="3"/>
  <c r="BF416" i="3"/>
  <c r="BJ415" i="3" s="1"/>
  <c r="BK415" i="3" s="1"/>
  <c r="AU419" i="3"/>
  <c r="AX418" i="3"/>
  <c r="A421" i="3"/>
  <c r="B420" i="3"/>
  <c r="AQ420" i="3"/>
  <c r="AR420" i="3"/>
  <c r="C420" i="3"/>
  <c r="D420" i="3"/>
  <c r="F420" i="3"/>
  <c r="BM420" i="3" s="1"/>
  <c r="G420" i="3"/>
  <c r="H420" i="3" s="1"/>
  <c r="BN420" i="3" s="1"/>
  <c r="S420" i="3"/>
  <c r="Q420" i="3"/>
  <c r="O420" i="3"/>
  <c r="U420" i="3"/>
  <c r="AK420" i="3"/>
  <c r="AM420" i="3"/>
  <c r="AD420" i="3"/>
  <c r="M420" i="3"/>
  <c r="AE420" i="3"/>
  <c r="AF420" i="3"/>
  <c r="T420" i="3"/>
  <c r="V420" i="3"/>
  <c r="R420" i="3"/>
  <c r="P420" i="3"/>
  <c r="AY418" i="3" l="1"/>
  <c r="BC418" i="3" s="1"/>
  <c r="AG420" i="3"/>
  <c r="AO420" i="3"/>
  <c r="AW419" i="3"/>
  <c r="X420" i="3"/>
  <c r="B421" i="3"/>
  <c r="AR421" i="3"/>
  <c r="AQ421" i="3"/>
  <c r="A422" i="3"/>
  <c r="C421" i="3"/>
  <c r="D421" i="3"/>
  <c r="F421" i="3"/>
  <c r="BM421" i="3" s="1"/>
  <c r="G421" i="3"/>
  <c r="H421" i="3" s="1"/>
  <c r="BN421" i="3" s="1"/>
  <c r="Q421" i="3"/>
  <c r="S421" i="3"/>
  <c r="O421" i="3"/>
  <c r="U421" i="3"/>
  <c r="AE421" i="3"/>
  <c r="M421" i="3"/>
  <c r="AD421" i="3"/>
  <c r="AK421" i="3"/>
  <c r="AF421" i="3"/>
  <c r="AM421" i="3"/>
  <c r="V421" i="3"/>
  <c r="T421" i="3"/>
  <c r="P421" i="3"/>
  <c r="R421" i="3"/>
  <c r="Y420" i="3"/>
  <c r="Z420" i="3" s="1"/>
  <c r="BD417" i="3"/>
  <c r="BG417" i="3"/>
  <c r="BH417" i="3" s="1"/>
  <c r="BI417" i="3" s="1"/>
  <c r="AH420" i="3"/>
  <c r="BA418" i="3"/>
  <c r="AV419" i="3"/>
  <c r="BQ417" i="3"/>
  <c r="BF417" i="3"/>
  <c r="BJ416" i="3" s="1"/>
  <c r="BK416" i="3" s="1"/>
  <c r="BB417" i="3"/>
  <c r="AX419" i="3"/>
  <c r="AN420" i="3"/>
  <c r="AT420" i="3" l="1"/>
  <c r="BA419" i="3"/>
  <c r="BD418" i="3"/>
  <c r="BG418" i="3"/>
  <c r="BH418" i="3" s="1"/>
  <c r="BI418" i="3" s="1"/>
  <c r="AU420" i="3"/>
  <c r="AH421" i="3"/>
  <c r="AO421" i="3"/>
  <c r="Y421" i="3"/>
  <c r="Z421" i="3" s="1"/>
  <c r="BQ419" i="3"/>
  <c r="BB419" i="3"/>
  <c r="BF419" i="3"/>
  <c r="AG421" i="3"/>
  <c r="X421" i="3"/>
  <c r="AV420" i="3"/>
  <c r="AY419" i="3"/>
  <c r="BC419" i="3" s="1"/>
  <c r="AN421" i="3"/>
  <c r="AX421" i="3" s="1"/>
  <c r="AT421" i="3"/>
  <c r="BQ418" i="3"/>
  <c r="BB418" i="3"/>
  <c r="BF418" i="3"/>
  <c r="BJ417" i="3" s="1"/>
  <c r="BK417" i="3" s="1"/>
  <c r="AR422" i="3"/>
  <c r="A423" i="3"/>
  <c r="B422" i="3"/>
  <c r="AQ422" i="3"/>
  <c r="C422" i="3"/>
  <c r="D422" i="3"/>
  <c r="F422" i="3"/>
  <c r="BM422" i="3" s="1"/>
  <c r="G422" i="3"/>
  <c r="H422" i="3" s="1"/>
  <c r="BN422" i="3" s="1"/>
  <c r="S422" i="3"/>
  <c r="Q422" i="3"/>
  <c r="O422" i="3"/>
  <c r="U422" i="3"/>
  <c r="AK422" i="3"/>
  <c r="M422" i="3"/>
  <c r="AE422" i="3"/>
  <c r="AD422" i="3"/>
  <c r="AF422" i="3"/>
  <c r="AM422" i="3"/>
  <c r="T422" i="3"/>
  <c r="P422" i="3"/>
  <c r="R422" i="3"/>
  <c r="V422" i="3"/>
  <c r="AW420" i="3"/>
  <c r="AX420" i="3"/>
  <c r="AO422" i="3" l="1"/>
  <c r="AG422" i="3"/>
  <c r="BA420" i="3"/>
  <c r="BD419" i="3"/>
  <c r="BG419" i="3"/>
  <c r="BH419" i="3" s="1"/>
  <c r="BI419" i="3" s="1"/>
  <c r="BB420" i="3"/>
  <c r="BQ420" i="3"/>
  <c r="BF420" i="3"/>
  <c r="BJ419" i="3" s="1"/>
  <c r="BK419" i="3" s="1"/>
  <c r="X422" i="3"/>
  <c r="AY420" i="3"/>
  <c r="BC420" i="3" s="1"/>
  <c r="AW421" i="3"/>
  <c r="AY421" i="3" s="1"/>
  <c r="BJ418" i="3"/>
  <c r="BK418" i="3" s="1"/>
  <c r="Y422" i="3"/>
  <c r="Z422" i="3" s="1"/>
  <c r="AH422" i="3"/>
  <c r="B423" i="3"/>
  <c r="D423" i="3"/>
  <c r="A424" i="3"/>
  <c r="AR423" i="3"/>
  <c r="AQ423" i="3"/>
  <c r="C423" i="3"/>
  <c r="F423" i="3"/>
  <c r="BM423" i="3" s="1"/>
  <c r="G423" i="3"/>
  <c r="H423" i="3" s="1"/>
  <c r="BN423" i="3" s="1"/>
  <c r="Q423" i="3"/>
  <c r="S423" i="3"/>
  <c r="O423" i="3"/>
  <c r="U423" i="3"/>
  <c r="M423" i="3"/>
  <c r="AM423" i="3"/>
  <c r="AD423" i="3"/>
  <c r="AK423" i="3"/>
  <c r="AE423" i="3"/>
  <c r="AF423" i="3"/>
  <c r="V423" i="3"/>
  <c r="P423" i="3"/>
  <c r="T423" i="3"/>
  <c r="R423" i="3"/>
  <c r="AU421" i="3"/>
  <c r="AV421" i="3" s="1"/>
  <c r="AN422" i="3"/>
  <c r="AO423" i="3" l="1"/>
  <c r="AX422" i="3"/>
  <c r="AH423" i="3"/>
  <c r="BC421" i="3"/>
  <c r="BD420" i="3"/>
  <c r="BG420" i="3"/>
  <c r="BH420" i="3" s="1"/>
  <c r="BI420" i="3" s="1"/>
  <c r="A425" i="3"/>
  <c r="B424" i="3"/>
  <c r="AQ424" i="3"/>
  <c r="AR424" i="3"/>
  <c r="C424" i="3"/>
  <c r="D424" i="3"/>
  <c r="G424" i="3"/>
  <c r="H424" i="3" s="1"/>
  <c r="BN424" i="3" s="1"/>
  <c r="F424" i="3"/>
  <c r="BM424" i="3" s="1"/>
  <c r="Q424" i="3"/>
  <c r="S424" i="3"/>
  <c r="O424" i="3"/>
  <c r="U424" i="3"/>
  <c r="AM424" i="3"/>
  <c r="M424" i="3"/>
  <c r="AE424" i="3"/>
  <c r="AD424" i="3"/>
  <c r="AK424" i="3"/>
  <c r="AF424" i="3"/>
  <c r="P424" i="3"/>
  <c r="V424" i="3"/>
  <c r="T424" i="3"/>
  <c r="R424" i="3"/>
  <c r="AW422" i="3"/>
  <c r="BA421" i="3"/>
  <c r="Y423" i="3"/>
  <c r="Z423" i="3" s="1"/>
  <c r="X423" i="3"/>
  <c r="AT422" i="3"/>
  <c r="AN423" i="3"/>
  <c r="AU422" i="3"/>
  <c r="AG423" i="3"/>
  <c r="AO424" i="3" l="1"/>
  <c r="AY422" i="3"/>
  <c r="AX423" i="3"/>
  <c r="AW423" i="3"/>
  <c r="AN424" i="3"/>
  <c r="Y424" i="3"/>
  <c r="Z424" i="3" s="1"/>
  <c r="X424" i="3"/>
  <c r="BF421" i="3"/>
  <c r="BJ420" i="3" s="1"/>
  <c r="BK420" i="3" s="1"/>
  <c r="BB421" i="3"/>
  <c r="BQ421" i="3"/>
  <c r="AG424" i="3"/>
  <c r="AW424" i="3" s="1"/>
  <c r="AR425" i="3"/>
  <c r="B425" i="3"/>
  <c r="AQ425" i="3"/>
  <c r="A426" i="3"/>
  <c r="C425" i="3"/>
  <c r="D425" i="3"/>
  <c r="G425" i="3"/>
  <c r="H425" i="3" s="1"/>
  <c r="BN425" i="3" s="1"/>
  <c r="F425" i="3"/>
  <c r="BM425" i="3" s="1"/>
  <c r="Q425" i="3"/>
  <c r="S425" i="3"/>
  <c r="O425" i="3"/>
  <c r="U425" i="3"/>
  <c r="AM425" i="3"/>
  <c r="AK425" i="3"/>
  <c r="M425" i="3"/>
  <c r="AF425" i="3"/>
  <c r="AD425" i="3"/>
  <c r="AE425" i="3"/>
  <c r="P425" i="3"/>
  <c r="T425" i="3"/>
  <c r="R425" i="3"/>
  <c r="V425" i="3"/>
  <c r="AU423" i="3"/>
  <c r="AH424" i="3"/>
  <c r="AT423" i="3"/>
  <c r="AV422" i="3"/>
  <c r="BA422" i="3"/>
  <c r="BD421" i="3"/>
  <c r="BG421" i="3"/>
  <c r="BH421" i="3" s="1"/>
  <c r="BI421" i="3" s="1"/>
  <c r="BC422" i="3" l="1"/>
  <c r="BD422" i="3" s="1"/>
  <c r="AY423" i="3"/>
  <c r="Y425" i="3"/>
  <c r="Z425" i="3" s="1"/>
  <c r="AO425" i="3"/>
  <c r="AG425" i="3"/>
  <c r="AN425" i="3"/>
  <c r="AQ426" i="3"/>
  <c r="C426" i="3"/>
  <c r="D426" i="3"/>
  <c r="AR426" i="3"/>
  <c r="B426" i="3"/>
  <c r="A427" i="3"/>
  <c r="F426" i="3"/>
  <c r="BM426" i="3" s="1"/>
  <c r="G426" i="3"/>
  <c r="H426" i="3" s="1"/>
  <c r="BN426" i="3" s="1"/>
  <c r="S426" i="3"/>
  <c r="Q426" i="3"/>
  <c r="O426" i="3"/>
  <c r="U426" i="3"/>
  <c r="AM426" i="3"/>
  <c r="AD426" i="3"/>
  <c r="AK426" i="3"/>
  <c r="M426" i="3"/>
  <c r="AE426" i="3"/>
  <c r="AF426" i="3"/>
  <c r="P426" i="3"/>
  <c r="T426" i="3"/>
  <c r="R426" i="3"/>
  <c r="V426" i="3"/>
  <c r="X425" i="3"/>
  <c r="BG422" i="3"/>
  <c r="BH422" i="3" s="1"/>
  <c r="BI422" i="3" s="1"/>
  <c r="AH425" i="3"/>
  <c r="AT424" i="3"/>
  <c r="AX424" i="3"/>
  <c r="AY424" i="3" s="1"/>
  <c r="AU424" i="3"/>
  <c r="BB422" i="3"/>
  <c r="BQ422" i="3"/>
  <c r="BF422" i="3"/>
  <c r="BJ421" i="3" s="1"/>
  <c r="BK421" i="3" s="1"/>
  <c r="BA423" i="3"/>
  <c r="AV423" i="3"/>
  <c r="AX425" i="3" l="1"/>
  <c r="AO426" i="3"/>
  <c r="BC423" i="3"/>
  <c r="BD423" i="3" s="1"/>
  <c r="Y426" i="3"/>
  <c r="Z426" i="3" s="1"/>
  <c r="AG426" i="3"/>
  <c r="AH426" i="3"/>
  <c r="AV424" i="3"/>
  <c r="BC424" i="3" s="1"/>
  <c r="BA424" i="3"/>
  <c r="X426" i="3"/>
  <c r="AT425" i="3"/>
  <c r="BQ423" i="3"/>
  <c r="BF423" i="3"/>
  <c r="BJ422" i="3" s="1"/>
  <c r="BK422" i="3" s="1"/>
  <c r="BB423" i="3"/>
  <c r="AN426" i="3"/>
  <c r="AT426" i="3"/>
  <c r="AU425" i="3"/>
  <c r="A428" i="3"/>
  <c r="B427" i="3"/>
  <c r="AR427" i="3"/>
  <c r="AQ427" i="3"/>
  <c r="D427" i="3"/>
  <c r="C427" i="3"/>
  <c r="F427" i="3"/>
  <c r="BM427" i="3" s="1"/>
  <c r="G427" i="3"/>
  <c r="H427" i="3" s="1"/>
  <c r="BN427" i="3" s="1"/>
  <c r="Q427" i="3"/>
  <c r="S427" i="3"/>
  <c r="O427" i="3"/>
  <c r="U427" i="3"/>
  <c r="AE427" i="3"/>
  <c r="M427" i="3"/>
  <c r="AD427" i="3"/>
  <c r="AM427" i="3"/>
  <c r="AK427" i="3"/>
  <c r="AF427" i="3"/>
  <c r="T427" i="3"/>
  <c r="V427" i="3"/>
  <c r="P427" i="3"/>
  <c r="R427" i="3"/>
  <c r="AW425" i="3"/>
  <c r="AY425" i="3" s="1"/>
  <c r="AW426" i="3" l="1"/>
  <c r="BG423" i="3"/>
  <c r="BH423" i="3" s="1"/>
  <c r="BI423" i="3" s="1"/>
  <c r="AU426" i="3"/>
  <c r="AV426" i="3" s="1"/>
  <c r="AN427" i="3"/>
  <c r="AO427" i="3"/>
  <c r="BF424" i="3"/>
  <c r="BJ423" i="3" s="1"/>
  <c r="BK423" i="3" s="1"/>
  <c r="BB424" i="3"/>
  <c r="BQ424" i="3"/>
  <c r="AG427" i="3"/>
  <c r="BA425" i="3"/>
  <c r="AV425" i="3"/>
  <c r="BC425" i="3" s="1"/>
  <c r="BD424" i="3"/>
  <c r="BG424" i="3"/>
  <c r="BH424" i="3" s="1"/>
  <c r="BI424" i="3" s="1"/>
  <c r="Y427" i="3"/>
  <c r="Z427" i="3" s="1"/>
  <c r="AR428" i="3"/>
  <c r="A429" i="3"/>
  <c r="B428" i="3"/>
  <c r="AQ428" i="3"/>
  <c r="C428" i="3"/>
  <c r="D428" i="3"/>
  <c r="G428" i="3"/>
  <c r="H428" i="3" s="1"/>
  <c r="BN428" i="3" s="1"/>
  <c r="F428" i="3"/>
  <c r="BM428" i="3" s="1"/>
  <c r="S428" i="3"/>
  <c r="Q428" i="3"/>
  <c r="O428" i="3"/>
  <c r="U428" i="3"/>
  <c r="AE428" i="3"/>
  <c r="M428" i="3"/>
  <c r="AM428" i="3"/>
  <c r="AD428" i="3"/>
  <c r="AK428" i="3"/>
  <c r="AF428" i="3"/>
  <c r="V428" i="3"/>
  <c r="T428" i="3"/>
  <c r="P428" i="3"/>
  <c r="R428" i="3"/>
  <c r="AH427" i="3"/>
  <c r="X427" i="3"/>
  <c r="AX426" i="3"/>
  <c r="AY426" i="3" s="1"/>
  <c r="AO428" i="3" l="1"/>
  <c r="AG428" i="3"/>
  <c r="AX427" i="3"/>
  <c r="BQ425" i="3"/>
  <c r="BB425" i="3"/>
  <c r="BF425" i="3"/>
  <c r="BJ424" i="3" s="1"/>
  <c r="BK424" i="3" s="1"/>
  <c r="AR429" i="3"/>
  <c r="AQ429" i="3"/>
  <c r="A430" i="3"/>
  <c r="D429" i="3"/>
  <c r="C429" i="3"/>
  <c r="B429" i="3"/>
  <c r="G429" i="3"/>
  <c r="H429" i="3" s="1"/>
  <c r="BN429" i="3" s="1"/>
  <c r="F429" i="3"/>
  <c r="BM429" i="3" s="1"/>
  <c r="Q429" i="3"/>
  <c r="S429" i="3"/>
  <c r="O429" i="3"/>
  <c r="U429" i="3"/>
  <c r="AK429" i="3"/>
  <c r="AD429" i="3"/>
  <c r="AM429" i="3"/>
  <c r="AF429" i="3"/>
  <c r="M429" i="3"/>
  <c r="AE429" i="3"/>
  <c r="P429" i="3"/>
  <c r="T429" i="3"/>
  <c r="V429" i="3"/>
  <c r="R429" i="3"/>
  <c r="BC426" i="3"/>
  <c r="BA426" i="3"/>
  <c r="AH428" i="3"/>
  <c r="X428" i="3"/>
  <c r="AU427" i="3"/>
  <c r="Y428" i="3"/>
  <c r="Z428" i="3" s="1"/>
  <c r="AT427" i="3"/>
  <c r="AN428" i="3"/>
  <c r="BD425" i="3"/>
  <c r="BG425" i="3"/>
  <c r="BH425" i="3" s="1"/>
  <c r="BI425" i="3" s="1"/>
  <c r="AW427" i="3"/>
  <c r="AY427" i="3" l="1"/>
  <c r="AG429" i="3"/>
  <c r="AX428" i="3"/>
  <c r="AN429" i="3"/>
  <c r="AH429" i="3"/>
  <c r="AU429" i="3" s="1"/>
  <c r="AU428" i="3"/>
  <c r="AR430" i="3"/>
  <c r="A431" i="3"/>
  <c r="B430" i="3"/>
  <c r="AQ430" i="3"/>
  <c r="C430" i="3"/>
  <c r="D430" i="3"/>
  <c r="G430" i="3"/>
  <c r="H430" i="3" s="1"/>
  <c r="F430" i="3"/>
  <c r="BM430" i="3" s="1"/>
  <c r="Q430" i="3"/>
  <c r="S430" i="3"/>
  <c r="O430" i="3"/>
  <c r="U430" i="3"/>
  <c r="AD430" i="3"/>
  <c r="AM430" i="3"/>
  <c r="AK430" i="3"/>
  <c r="M430" i="3"/>
  <c r="AF430" i="3"/>
  <c r="AE430" i="3"/>
  <c r="V430" i="3"/>
  <c r="P430" i="3"/>
  <c r="R430" i="3"/>
  <c r="T430" i="3"/>
  <c r="Y429" i="3"/>
  <c r="Z429" i="3" s="1"/>
  <c r="BF426" i="3"/>
  <c r="BJ425" i="3" s="1"/>
  <c r="BK425" i="3" s="1"/>
  <c r="BB426" i="3"/>
  <c r="BQ426" i="3"/>
  <c r="BD426" i="3"/>
  <c r="BG426" i="3"/>
  <c r="BH426" i="3" s="1"/>
  <c r="BI426" i="3" s="1"/>
  <c r="X429" i="3"/>
  <c r="AV427" i="3"/>
  <c r="BA427" i="3"/>
  <c r="AT428" i="3"/>
  <c r="AO429" i="3"/>
  <c r="AT429" i="3"/>
  <c r="AW428" i="3"/>
  <c r="AY428" i="3" s="1"/>
  <c r="BC427" i="3" l="1"/>
  <c r="BD427" i="3" s="1"/>
  <c r="BN430" i="3"/>
  <c r="AW429" i="3"/>
  <c r="AO430" i="3"/>
  <c r="AN430" i="3"/>
  <c r="AG430" i="3"/>
  <c r="AH430" i="3"/>
  <c r="AU430" i="3" s="1"/>
  <c r="AV429" i="3"/>
  <c r="D431" i="3"/>
  <c r="A432" i="3"/>
  <c r="B431" i="3"/>
  <c r="AR431" i="3"/>
  <c r="AQ431" i="3"/>
  <c r="C431" i="3"/>
  <c r="G431" i="3"/>
  <c r="H431" i="3" s="1"/>
  <c r="BN431" i="3" s="1"/>
  <c r="F431" i="3"/>
  <c r="BM431" i="3" s="1"/>
  <c r="Q431" i="3"/>
  <c r="S431" i="3"/>
  <c r="O431" i="3"/>
  <c r="U431" i="3"/>
  <c r="AM431" i="3"/>
  <c r="AD431" i="3"/>
  <c r="AK431" i="3"/>
  <c r="AF431" i="3"/>
  <c r="M431" i="3"/>
  <c r="AE431" i="3"/>
  <c r="P431" i="3"/>
  <c r="V431" i="3"/>
  <c r="R431" i="3"/>
  <c r="T431" i="3"/>
  <c r="X430" i="3"/>
  <c r="Y430" i="3"/>
  <c r="Z430" i="3" s="1"/>
  <c r="BG427" i="3"/>
  <c r="BH427" i="3" s="1"/>
  <c r="BI427" i="3" s="1"/>
  <c r="BA428" i="3"/>
  <c r="AV428" i="3"/>
  <c r="BC428" i="3" s="1"/>
  <c r="BQ427" i="3"/>
  <c r="BF427" i="3"/>
  <c r="BJ426" i="3" s="1"/>
  <c r="BK426" i="3" s="1"/>
  <c r="BB427" i="3"/>
  <c r="AX429" i="3"/>
  <c r="AT430" i="3" l="1"/>
  <c r="AY429" i="3"/>
  <c r="BC429" i="3" s="1"/>
  <c r="AX430" i="3"/>
  <c r="AO431" i="3"/>
  <c r="AG431" i="3"/>
  <c r="AV430" i="3"/>
  <c r="AH431" i="3"/>
  <c r="AU431" i="3" s="1"/>
  <c r="A433" i="3"/>
  <c r="AQ432" i="3"/>
  <c r="AR432" i="3"/>
  <c r="B432" i="3"/>
  <c r="D432" i="3"/>
  <c r="C432" i="3"/>
  <c r="F432" i="3"/>
  <c r="BM432" i="3" s="1"/>
  <c r="G432" i="3"/>
  <c r="H432" i="3" s="1"/>
  <c r="BN432" i="3" s="1"/>
  <c r="Q432" i="3"/>
  <c r="S432" i="3"/>
  <c r="O432" i="3"/>
  <c r="U432" i="3"/>
  <c r="AD432" i="3"/>
  <c r="AK432" i="3"/>
  <c r="M432" i="3"/>
  <c r="AE432" i="3"/>
  <c r="AM432" i="3"/>
  <c r="AF432" i="3"/>
  <c r="P432" i="3"/>
  <c r="V432" i="3"/>
  <c r="R432" i="3"/>
  <c r="T432" i="3"/>
  <c r="X431" i="3"/>
  <c r="BD428" i="3"/>
  <c r="BG428" i="3"/>
  <c r="BH428" i="3" s="1"/>
  <c r="BI428" i="3" s="1"/>
  <c r="BA429" i="3"/>
  <c r="Y431" i="3"/>
  <c r="Z431" i="3" s="1"/>
  <c r="BF428" i="3"/>
  <c r="BJ427" i="3" s="1"/>
  <c r="BK427" i="3" s="1"/>
  <c r="BQ428" i="3"/>
  <c r="BB428" i="3"/>
  <c r="AN431" i="3"/>
  <c r="AW430" i="3"/>
  <c r="AT431" i="3" l="1"/>
  <c r="AY430" i="3"/>
  <c r="BC430" i="3" s="1"/>
  <c r="AW431" i="3"/>
  <c r="AO432" i="3"/>
  <c r="BB429" i="3"/>
  <c r="BF429" i="3"/>
  <c r="BJ428" i="3" s="1"/>
  <c r="BK428" i="3" s="1"/>
  <c r="BQ429" i="3"/>
  <c r="BD429" i="3"/>
  <c r="BG429" i="3"/>
  <c r="BH429" i="3" s="1"/>
  <c r="BI429" i="3" s="1"/>
  <c r="AG432" i="3"/>
  <c r="X432" i="3"/>
  <c r="Y432" i="3"/>
  <c r="Z432" i="3" s="1"/>
  <c r="AH432" i="3"/>
  <c r="AX431" i="3"/>
  <c r="AV431" i="3"/>
  <c r="AN432" i="3"/>
  <c r="D433" i="3"/>
  <c r="AR433" i="3"/>
  <c r="B433" i="3"/>
  <c r="AQ433" i="3"/>
  <c r="A434" i="3"/>
  <c r="C433" i="3"/>
  <c r="F433" i="3"/>
  <c r="BM433" i="3" s="1"/>
  <c r="G433" i="3"/>
  <c r="H433" i="3" s="1"/>
  <c r="BN433" i="3" s="1"/>
  <c r="Q433" i="3"/>
  <c r="S433" i="3"/>
  <c r="O433" i="3"/>
  <c r="U433" i="3"/>
  <c r="AD433" i="3"/>
  <c r="AF433" i="3"/>
  <c r="AE433" i="3"/>
  <c r="M433" i="3"/>
  <c r="AK433" i="3"/>
  <c r="AM433" i="3"/>
  <c r="P433" i="3"/>
  <c r="T433" i="3"/>
  <c r="V433" i="3"/>
  <c r="R433" i="3"/>
  <c r="BA430" i="3"/>
  <c r="AY431" i="3" l="1"/>
  <c r="BC431" i="3" s="1"/>
  <c r="AG433" i="3"/>
  <c r="AO433" i="3"/>
  <c r="X433" i="3"/>
  <c r="B434" i="3"/>
  <c r="C434" i="3"/>
  <c r="D434" i="3"/>
  <c r="AQ434" i="3"/>
  <c r="AR434" i="3"/>
  <c r="A435" i="3"/>
  <c r="G434" i="3"/>
  <c r="H434" i="3" s="1"/>
  <c r="BN434" i="3" s="1"/>
  <c r="F434" i="3"/>
  <c r="BM434" i="3" s="1"/>
  <c r="Q434" i="3"/>
  <c r="S434" i="3"/>
  <c r="O434" i="3"/>
  <c r="U434" i="3"/>
  <c r="AD434" i="3"/>
  <c r="AM434" i="3"/>
  <c r="AE434" i="3"/>
  <c r="M434" i="3"/>
  <c r="AK434" i="3"/>
  <c r="AF434" i="3"/>
  <c r="P434" i="3"/>
  <c r="V434" i="3"/>
  <c r="R434" i="3"/>
  <c r="T434" i="3"/>
  <c r="AX432" i="3"/>
  <c r="AT432" i="3"/>
  <c r="AH433" i="3"/>
  <c r="BD430" i="3"/>
  <c r="BG430" i="3"/>
  <c r="BH430" i="3" s="1"/>
  <c r="BI430" i="3" s="1"/>
  <c r="BA431" i="3"/>
  <c r="AW432" i="3"/>
  <c r="AU432" i="3"/>
  <c r="BF430" i="3"/>
  <c r="BJ429" i="3" s="1"/>
  <c r="BK429" i="3" s="1"/>
  <c r="BB430" i="3"/>
  <c r="BQ430" i="3"/>
  <c r="Y433" i="3"/>
  <c r="Z433" i="3" s="1"/>
  <c r="AN433" i="3"/>
  <c r="AO434" i="3" l="1"/>
  <c r="AX433" i="3"/>
  <c r="AG434" i="3"/>
  <c r="BD431" i="3"/>
  <c r="BG431" i="3"/>
  <c r="BH431" i="3" s="1"/>
  <c r="BI431" i="3" s="1"/>
  <c r="AH434" i="3"/>
  <c r="A436" i="3"/>
  <c r="B435" i="3"/>
  <c r="AR435" i="3"/>
  <c r="AQ435" i="3"/>
  <c r="C435" i="3"/>
  <c r="D435" i="3"/>
  <c r="G435" i="3"/>
  <c r="H435" i="3" s="1"/>
  <c r="BN435" i="3" s="1"/>
  <c r="F435" i="3"/>
  <c r="BM435" i="3" s="1"/>
  <c r="S435" i="3"/>
  <c r="Q435" i="3"/>
  <c r="O435" i="3"/>
  <c r="U435" i="3"/>
  <c r="AK435" i="3"/>
  <c r="AM435" i="3"/>
  <c r="AD435" i="3"/>
  <c r="AF435" i="3"/>
  <c r="AE435" i="3"/>
  <c r="M435" i="3"/>
  <c r="V435" i="3"/>
  <c r="P435" i="3"/>
  <c r="R435" i="3"/>
  <c r="T435" i="3"/>
  <c r="AV432" i="3"/>
  <c r="BA432" i="3"/>
  <c r="AN434" i="3"/>
  <c r="AT433" i="3"/>
  <c r="AW433" i="3"/>
  <c r="Y434" i="3"/>
  <c r="Z434" i="3" s="1"/>
  <c r="AY432" i="3"/>
  <c r="AU433" i="3"/>
  <c r="X434" i="3"/>
  <c r="BB431" i="3"/>
  <c r="BF431" i="3"/>
  <c r="BJ430" i="3" s="1"/>
  <c r="BK430" i="3" s="1"/>
  <c r="BQ431" i="3"/>
  <c r="AY433" i="3" l="1"/>
  <c r="AN435" i="3"/>
  <c r="BC432" i="3"/>
  <c r="AH435" i="3"/>
  <c r="AV433" i="3"/>
  <c r="BC433" i="3" s="1"/>
  <c r="BA433" i="3"/>
  <c r="X435" i="3"/>
  <c r="BD432" i="3"/>
  <c r="BG432" i="3"/>
  <c r="BH432" i="3" s="1"/>
  <c r="BI432" i="3" s="1"/>
  <c r="BB432" i="3"/>
  <c r="BQ432" i="3"/>
  <c r="BF432" i="3"/>
  <c r="BJ431" i="3" s="1"/>
  <c r="BK431" i="3" s="1"/>
  <c r="Y435" i="3"/>
  <c r="Z435" i="3" s="1"/>
  <c r="AO435" i="3"/>
  <c r="AX434" i="3"/>
  <c r="AG435" i="3"/>
  <c r="A437" i="3"/>
  <c r="B436" i="3"/>
  <c r="AQ436" i="3"/>
  <c r="AR436" i="3"/>
  <c r="D436" i="3"/>
  <c r="C436" i="3"/>
  <c r="G436" i="3"/>
  <c r="H436" i="3" s="1"/>
  <c r="BN436" i="3" s="1"/>
  <c r="F436" i="3"/>
  <c r="BM436" i="3" s="1"/>
  <c r="S436" i="3"/>
  <c r="Q436" i="3"/>
  <c r="O436" i="3"/>
  <c r="U436" i="3"/>
  <c r="AM436" i="3"/>
  <c r="AE436" i="3"/>
  <c r="AK436" i="3"/>
  <c r="M436" i="3"/>
  <c r="AD436" i="3"/>
  <c r="AF436" i="3"/>
  <c r="V436" i="3"/>
  <c r="P436" i="3"/>
  <c r="T436" i="3"/>
  <c r="R436" i="3"/>
  <c r="AT434" i="3"/>
  <c r="AU434" i="3"/>
  <c r="AW434" i="3"/>
  <c r="AY434" i="3" l="1"/>
  <c r="AW435" i="3"/>
  <c r="AO436" i="3"/>
  <c r="AH436" i="3"/>
  <c r="AG436" i="3"/>
  <c r="AN436" i="3"/>
  <c r="B437" i="3"/>
  <c r="AR437" i="3"/>
  <c r="AQ437" i="3"/>
  <c r="A438" i="3"/>
  <c r="D437" i="3"/>
  <c r="C437" i="3"/>
  <c r="F437" i="3"/>
  <c r="BM437" i="3" s="1"/>
  <c r="G437" i="3"/>
  <c r="H437" i="3" s="1"/>
  <c r="BN437" i="3" s="1"/>
  <c r="S437" i="3"/>
  <c r="Q437" i="3"/>
  <c r="O437" i="3"/>
  <c r="U437" i="3"/>
  <c r="AE437" i="3"/>
  <c r="AM437" i="3"/>
  <c r="AD437" i="3"/>
  <c r="AK437" i="3"/>
  <c r="M437" i="3"/>
  <c r="AF437" i="3"/>
  <c r="P437" i="3"/>
  <c r="R437" i="3"/>
  <c r="V437" i="3"/>
  <c r="T437" i="3"/>
  <c r="AU435" i="3"/>
  <c r="BA434" i="3"/>
  <c r="AV434" i="3"/>
  <c r="AX435" i="3"/>
  <c r="X436" i="3"/>
  <c r="Y436" i="3"/>
  <c r="Z436" i="3" s="1"/>
  <c r="BB433" i="3"/>
  <c r="BQ433" i="3"/>
  <c r="BF433" i="3"/>
  <c r="BJ432" i="3" s="1"/>
  <c r="BK432" i="3" s="1"/>
  <c r="AT435" i="3"/>
  <c r="BD433" i="3"/>
  <c r="BG433" i="3"/>
  <c r="BH433" i="3" s="1"/>
  <c r="BI433" i="3" s="1"/>
  <c r="BC434" i="3" l="1"/>
  <c r="AX436" i="3"/>
  <c r="AY435" i="3"/>
  <c r="AO437" i="3"/>
  <c r="AU436" i="3"/>
  <c r="AG437" i="3"/>
  <c r="AN437" i="3"/>
  <c r="BD434" i="3"/>
  <c r="BG434" i="3"/>
  <c r="BH434" i="3" s="1"/>
  <c r="BI434" i="3" s="1"/>
  <c r="X437" i="3"/>
  <c r="AV435" i="3"/>
  <c r="BC435" i="3" s="1"/>
  <c r="BA435" i="3"/>
  <c r="Y437" i="3"/>
  <c r="Z437" i="3" s="1"/>
  <c r="BB434" i="3"/>
  <c r="BF434" i="3"/>
  <c r="BJ433" i="3" s="1"/>
  <c r="BK433" i="3" s="1"/>
  <c r="BQ434" i="3"/>
  <c r="AH437" i="3"/>
  <c r="AX437" i="3" s="1"/>
  <c r="AW436" i="3"/>
  <c r="AY436" i="3" s="1"/>
  <c r="AR438" i="3"/>
  <c r="A439" i="3"/>
  <c r="B438" i="3"/>
  <c r="AQ438" i="3"/>
  <c r="D438" i="3"/>
  <c r="C438" i="3"/>
  <c r="F438" i="3"/>
  <c r="BM438" i="3" s="1"/>
  <c r="G438" i="3"/>
  <c r="H438" i="3" s="1"/>
  <c r="BN438" i="3" s="1"/>
  <c r="Q438" i="3"/>
  <c r="S438" i="3"/>
  <c r="O438" i="3"/>
  <c r="U438" i="3"/>
  <c r="AK438" i="3"/>
  <c r="AM438" i="3"/>
  <c r="AE438" i="3"/>
  <c r="AD438" i="3"/>
  <c r="AF438" i="3"/>
  <c r="M438" i="3"/>
  <c r="P438" i="3"/>
  <c r="R438" i="3"/>
  <c r="V438" i="3"/>
  <c r="T438" i="3"/>
  <c r="AT436" i="3"/>
  <c r="AN438" i="3" l="1"/>
  <c r="AH438" i="3"/>
  <c r="AO438" i="3"/>
  <c r="BD435" i="3"/>
  <c r="BG435" i="3"/>
  <c r="BH435" i="3" s="1"/>
  <c r="BI435" i="3" s="1"/>
  <c r="X438" i="3"/>
  <c r="AU438" i="3"/>
  <c r="B439" i="3"/>
  <c r="C439" i="3"/>
  <c r="A440" i="3"/>
  <c r="AR439" i="3"/>
  <c r="D439" i="3"/>
  <c r="AQ439" i="3"/>
  <c r="F439" i="3"/>
  <c r="BM439" i="3" s="1"/>
  <c r="G439" i="3"/>
  <c r="H439" i="3" s="1"/>
  <c r="BN439" i="3" s="1"/>
  <c r="Q439" i="3"/>
  <c r="S439" i="3"/>
  <c r="O439" i="3"/>
  <c r="U439" i="3"/>
  <c r="AM439" i="3"/>
  <c r="AK439" i="3"/>
  <c r="M439" i="3"/>
  <c r="AD439" i="3"/>
  <c r="AE439" i="3"/>
  <c r="AF439" i="3"/>
  <c r="R439" i="3"/>
  <c r="T439" i="3"/>
  <c r="P439" i="3"/>
  <c r="V439" i="3"/>
  <c r="AU437" i="3"/>
  <c r="BA436" i="3"/>
  <c r="AV436" i="3"/>
  <c r="BC436" i="3" s="1"/>
  <c r="AT437" i="3"/>
  <c r="AG438" i="3"/>
  <c r="BB435" i="3"/>
  <c r="BF435" i="3"/>
  <c r="BJ434" i="3" s="1"/>
  <c r="BK434" i="3" s="1"/>
  <c r="BQ435" i="3"/>
  <c r="Y438" i="3"/>
  <c r="Z438" i="3" s="1"/>
  <c r="AW437" i="3"/>
  <c r="AY437" i="3" s="1"/>
  <c r="AT438" i="3" l="1"/>
  <c r="AV438" i="3" s="1"/>
  <c r="Y439" i="3"/>
  <c r="Z439" i="3" s="1"/>
  <c r="AO439" i="3"/>
  <c r="AW438" i="3"/>
  <c r="AG439" i="3"/>
  <c r="BB436" i="3"/>
  <c r="BF436" i="3"/>
  <c r="BJ435" i="3" s="1"/>
  <c r="BK435" i="3" s="1"/>
  <c r="BQ436" i="3"/>
  <c r="AH439" i="3"/>
  <c r="AT439" i="3" s="1"/>
  <c r="AN439" i="3"/>
  <c r="BD436" i="3"/>
  <c r="BG436" i="3"/>
  <c r="BH436" i="3" s="1"/>
  <c r="BI436" i="3" s="1"/>
  <c r="B440" i="3"/>
  <c r="AQ440" i="3"/>
  <c r="AR440" i="3"/>
  <c r="D440" i="3"/>
  <c r="C440" i="3"/>
  <c r="A441" i="3"/>
  <c r="F440" i="3"/>
  <c r="BM440" i="3" s="1"/>
  <c r="G440" i="3"/>
  <c r="H440" i="3" s="1"/>
  <c r="BN440" i="3" s="1"/>
  <c r="Q440" i="3"/>
  <c r="S440" i="3"/>
  <c r="O440" i="3"/>
  <c r="U440" i="3"/>
  <c r="AF440" i="3"/>
  <c r="AE440" i="3"/>
  <c r="AK440" i="3"/>
  <c r="M440" i="3"/>
  <c r="AD440" i="3"/>
  <c r="AM440" i="3"/>
  <c r="P440" i="3"/>
  <c r="V440" i="3"/>
  <c r="T440" i="3"/>
  <c r="R440" i="3"/>
  <c r="X439" i="3"/>
  <c r="AV437" i="3"/>
  <c r="BC437" i="3" s="1"/>
  <c r="BA437" i="3"/>
  <c r="AX438" i="3"/>
  <c r="AN440" i="3" l="1"/>
  <c r="BA438" i="3"/>
  <c r="BF438" i="3" s="1"/>
  <c r="AW439" i="3"/>
  <c r="Y440" i="3"/>
  <c r="Z440" i="3" s="1"/>
  <c r="AH440" i="3"/>
  <c r="AO440" i="3"/>
  <c r="X440" i="3"/>
  <c r="BB437" i="3"/>
  <c r="BF437" i="3"/>
  <c r="BJ436" i="3" s="1"/>
  <c r="BK436" i="3" s="1"/>
  <c r="BQ437" i="3"/>
  <c r="AY438" i="3"/>
  <c r="BC438" i="3" s="1"/>
  <c r="AG440" i="3"/>
  <c r="AX439" i="3"/>
  <c r="AY439" i="3" s="1"/>
  <c r="AR441" i="3"/>
  <c r="B441" i="3"/>
  <c r="AQ441" i="3"/>
  <c r="C441" i="3"/>
  <c r="D441" i="3"/>
  <c r="A442" i="3"/>
  <c r="G441" i="3"/>
  <c r="H441" i="3" s="1"/>
  <c r="BN441" i="3" s="1"/>
  <c r="F441" i="3"/>
  <c r="BM441" i="3" s="1"/>
  <c r="Q441" i="3"/>
  <c r="S441" i="3"/>
  <c r="O441" i="3"/>
  <c r="U441" i="3"/>
  <c r="AK441" i="3"/>
  <c r="AE441" i="3"/>
  <c r="AF441" i="3"/>
  <c r="AM441" i="3"/>
  <c r="AD441" i="3"/>
  <c r="M441" i="3"/>
  <c r="T441" i="3"/>
  <c r="P441" i="3"/>
  <c r="V441" i="3"/>
  <c r="R441" i="3"/>
  <c r="BD437" i="3"/>
  <c r="BG437" i="3"/>
  <c r="BH437" i="3" s="1"/>
  <c r="BI437" i="3" s="1"/>
  <c r="AU439" i="3"/>
  <c r="AV439" i="3" s="1"/>
  <c r="BB438" i="3" l="1"/>
  <c r="BQ438" i="3"/>
  <c r="AW440" i="3"/>
  <c r="AN441" i="3"/>
  <c r="AX440" i="3"/>
  <c r="AY440" i="3" s="1"/>
  <c r="AH441" i="3"/>
  <c r="BC439" i="3"/>
  <c r="X441" i="3"/>
  <c r="AO441" i="3"/>
  <c r="AT440" i="3"/>
  <c r="BA439" i="3"/>
  <c r="BD438" i="3"/>
  <c r="BG438" i="3"/>
  <c r="BH438" i="3" s="1"/>
  <c r="BI438" i="3" s="1"/>
  <c r="AU440" i="3"/>
  <c r="BJ437" i="3"/>
  <c r="BK437" i="3" s="1"/>
  <c r="AG441" i="3"/>
  <c r="AW441" i="3" s="1"/>
  <c r="A443" i="3"/>
  <c r="AR442" i="3"/>
  <c r="AQ442" i="3"/>
  <c r="B442" i="3"/>
  <c r="C442" i="3"/>
  <c r="D442" i="3"/>
  <c r="G442" i="3"/>
  <c r="H442" i="3" s="1"/>
  <c r="BN442" i="3" s="1"/>
  <c r="F442" i="3"/>
  <c r="BM442" i="3" s="1"/>
  <c r="Q442" i="3"/>
  <c r="S442" i="3"/>
  <c r="O442" i="3"/>
  <c r="U442" i="3"/>
  <c r="AK442" i="3"/>
  <c r="AM442" i="3"/>
  <c r="AE442" i="3"/>
  <c r="AF442" i="3"/>
  <c r="AD442" i="3"/>
  <c r="M442" i="3"/>
  <c r="T442" i="3"/>
  <c r="V442" i="3"/>
  <c r="R442" i="3"/>
  <c r="P442" i="3"/>
  <c r="Y441" i="3"/>
  <c r="Z441" i="3" s="1"/>
  <c r="AH442" i="3" l="1"/>
  <c r="AO442" i="3"/>
  <c r="AN442" i="3"/>
  <c r="AT441" i="3"/>
  <c r="AG442" i="3"/>
  <c r="BF439" i="3"/>
  <c r="BJ438" i="3" s="1"/>
  <c r="BK438" i="3" s="1"/>
  <c r="BQ439" i="3"/>
  <c r="BB439" i="3"/>
  <c r="AX442" i="3"/>
  <c r="X442" i="3"/>
  <c r="AX441" i="3"/>
  <c r="AY441" i="3" s="1"/>
  <c r="AQ443" i="3"/>
  <c r="A444" i="3"/>
  <c r="D443" i="3"/>
  <c r="C443" i="3"/>
  <c r="B443" i="3"/>
  <c r="AR443" i="3"/>
  <c r="F443" i="3"/>
  <c r="BM443" i="3" s="1"/>
  <c r="G443" i="3"/>
  <c r="H443" i="3" s="1"/>
  <c r="BN443" i="3" s="1"/>
  <c r="Q443" i="3"/>
  <c r="S443" i="3"/>
  <c r="O443" i="3"/>
  <c r="U443" i="3"/>
  <c r="AK443" i="3"/>
  <c r="AE443" i="3"/>
  <c r="M443" i="3"/>
  <c r="AF443" i="3"/>
  <c r="AD443" i="3"/>
  <c r="AM443" i="3"/>
  <c r="AN443" i="3" s="1"/>
  <c r="R443" i="3"/>
  <c r="T443" i="3"/>
  <c r="P443" i="3"/>
  <c r="V443" i="3"/>
  <c r="AV440" i="3"/>
  <c r="BC440" i="3" s="1"/>
  <c r="BA440" i="3"/>
  <c r="AU441" i="3"/>
  <c r="Y442" i="3"/>
  <c r="Z442" i="3" s="1"/>
  <c r="BD439" i="3"/>
  <c r="BG439" i="3"/>
  <c r="BH439" i="3" s="1"/>
  <c r="BI439" i="3" s="1"/>
  <c r="AW442" i="3" l="1"/>
  <c r="AH443" i="3"/>
  <c r="AU442" i="3"/>
  <c r="AO443" i="3"/>
  <c r="X443" i="3"/>
  <c r="AY442" i="3"/>
  <c r="AV441" i="3"/>
  <c r="BC441" i="3" s="1"/>
  <c r="BA441" i="3"/>
  <c r="Y443" i="3"/>
  <c r="Z443" i="3" s="1"/>
  <c r="AT442" i="3"/>
  <c r="AG443" i="3"/>
  <c r="AW443" i="3" s="1"/>
  <c r="A445" i="3"/>
  <c r="AQ444" i="3"/>
  <c r="AR444" i="3"/>
  <c r="B444" i="3"/>
  <c r="D444" i="3"/>
  <c r="C444" i="3"/>
  <c r="F444" i="3"/>
  <c r="BM444" i="3" s="1"/>
  <c r="G444" i="3"/>
  <c r="H444" i="3" s="1"/>
  <c r="BN444" i="3" s="1"/>
  <c r="Q444" i="3"/>
  <c r="S444" i="3"/>
  <c r="O444" i="3"/>
  <c r="U444" i="3"/>
  <c r="AE444" i="3"/>
  <c r="AM444" i="3"/>
  <c r="AD444" i="3"/>
  <c r="AF444" i="3"/>
  <c r="M444" i="3"/>
  <c r="AK444" i="3"/>
  <c r="R444" i="3"/>
  <c r="P444" i="3"/>
  <c r="V444" i="3"/>
  <c r="T444" i="3"/>
  <c r="BQ440" i="3"/>
  <c r="BB440" i="3"/>
  <c r="BF440" i="3"/>
  <c r="BJ439" i="3" s="1"/>
  <c r="BK439" i="3" s="1"/>
  <c r="BD440" i="3"/>
  <c r="BG440" i="3"/>
  <c r="BH440" i="3" s="1"/>
  <c r="BI440" i="3" s="1"/>
  <c r="AO444" i="3" l="1"/>
  <c r="AH444" i="3"/>
  <c r="AU443" i="3"/>
  <c r="AG444" i="3"/>
  <c r="AN444" i="3"/>
  <c r="A446" i="3"/>
  <c r="AR445" i="3"/>
  <c r="C445" i="3"/>
  <c r="D445" i="3"/>
  <c r="AQ445" i="3"/>
  <c r="B445" i="3"/>
  <c r="G445" i="3"/>
  <c r="H445" i="3" s="1"/>
  <c r="BN445" i="3" s="1"/>
  <c r="F445" i="3"/>
  <c r="BM445" i="3" s="1"/>
  <c r="S445" i="3"/>
  <c r="Q445" i="3"/>
  <c r="O445" i="3"/>
  <c r="U445" i="3"/>
  <c r="AK445" i="3"/>
  <c r="AE445" i="3"/>
  <c r="AM445" i="3"/>
  <c r="AF445" i="3"/>
  <c r="AD445" i="3"/>
  <c r="M445" i="3"/>
  <c r="P445" i="3"/>
  <c r="R445" i="3"/>
  <c r="T445" i="3"/>
  <c r="V445" i="3"/>
  <c r="BB441" i="3"/>
  <c r="BQ441" i="3"/>
  <c r="BF441" i="3"/>
  <c r="BJ440" i="3" s="1"/>
  <c r="BK440" i="3" s="1"/>
  <c r="X444" i="3"/>
  <c r="AT443" i="3"/>
  <c r="BA442" i="3"/>
  <c r="AV442" i="3"/>
  <c r="BC442" i="3" s="1"/>
  <c r="Y444" i="3"/>
  <c r="Z444" i="3" s="1"/>
  <c r="BD441" i="3"/>
  <c r="BG441" i="3"/>
  <c r="BH441" i="3" s="1"/>
  <c r="BI441" i="3" s="1"/>
  <c r="AX443" i="3"/>
  <c r="AY443" i="3" s="1"/>
  <c r="AU444" i="3" l="1"/>
  <c r="AX444" i="3"/>
  <c r="AN445" i="3"/>
  <c r="Y445" i="3"/>
  <c r="Z445" i="3" s="1"/>
  <c r="AO445" i="3"/>
  <c r="AW444" i="3"/>
  <c r="AY444" i="3" s="1"/>
  <c r="AH445" i="3"/>
  <c r="B446" i="3"/>
  <c r="A447" i="3"/>
  <c r="AQ446" i="3"/>
  <c r="AR446" i="3"/>
  <c r="C446" i="3"/>
  <c r="D446" i="3"/>
  <c r="G446" i="3"/>
  <c r="H446" i="3" s="1"/>
  <c r="BN446" i="3" s="1"/>
  <c r="F446" i="3"/>
  <c r="BM446" i="3" s="1"/>
  <c r="Q446" i="3"/>
  <c r="S446" i="3"/>
  <c r="O446" i="3"/>
  <c r="U446" i="3"/>
  <c r="AK446" i="3"/>
  <c r="AD446" i="3"/>
  <c r="AM446" i="3"/>
  <c r="AF446" i="3"/>
  <c r="M446" i="3"/>
  <c r="AE446" i="3"/>
  <c r="P446" i="3"/>
  <c r="V446" i="3"/>
  <c r="T446" i="3"/>
  <c r="R446" i="3"/>
  <c r="X445" i="3"/>
  <c r="BD442" i="3"/>
  <c r="BG442" i="3"/>
  <c r="BH442" i="3" s="1"/>
  <c r="BI442" i="3" s="1"/>
  <c r="AT444" i="3"/>
  <c r="AG445" i="3"/>
  <c r="BB442" i="3"/>
  <c r="BF442" i="3"/>
  <c r="BJ441" i="3" s="1"/>
  <c r="BK441" i="3" s="1"/>
  <c r="BQ442" i="3"/>
  <c r="AV443" i="3"/>
  <c r="BC443" i="3" s="1"/>
  <c r="BA443" i="3"/>
  <c r="AG446" i="3" l="1"/>
  <c r="AN446" i="3"/>
  <c r="AW445" i="3"/>
  <c r="AV444" i="3"/>
  <c r="BC444" i="3" s="1"/>
  <c r="BA444" i="3"/>
  <c r="X446" i="3"/>
  <c r="AU445" i="3"/>
  <c r="Y446" i="3"/>
  <c r="Z446" i="3" s="1"/>
  <c r="D447" i="3"/>
  <c r="B447" i="3"/>
  <c r="AQ447" i="3"/>
  <c r="AR447" i="3"/>
  <c r="A448" i="3"/>
  <c r="C447" i="3"/>
  <c r="G447" i="3"/>
  <c r="H447" i="3" s="1"/>
  <c r="BN447" i="3" s="1"/>
  <c r="F447" i="3"/>
  <c r="BM447" i="3" s="1"/>
  <c r="S447" i="3"/>
  <c r="Q447" i="3"/>
  <c r="O447" i="3"/>
  <c r="U447" i="3"/>
  <c r="AK447" i="3"/>
  <c r="AM447" i="3"/>
  <c r="AD447" i="3"/>
  <c r="M447" i="3"/>
  <c r="AE447" i="3"/>
  <c r="AF447" i="3"/>
  <c r="V447" i="3"/>
  <c r="T447" i="3"/>
  <c r="R447" i="3"/>
  <c r="P447" i="3"/>
  <c r="AH446" i="3"/>
  <c r="BQ443" i="3"/>
  <c r="BB443" i="3"/>
  <c r="BF443" i="3"/>
  <c r="BJ442" i="3" s="1"/>
  <c r="BK442" i="3" s="1"/>
  <c r="AT445" i="3"/>
  <c r="AO446" i="3"/>
  <c r="BD443" i="3"/>
  <c r="BG443" i="3"/>
  <c r="BH443" i="3" s="1"/>
  <c r="BI443" i="3" s="1"/>
  <c r="AX445" i="3"/>
  <c r="AX446" i="3" l="1"/>
  <c r="AY445" i="3"/>
  <c r="AN447" i="3"/>
  <c r="AG447" i="3"/>
  <c r="AT446" i="3"/>
  <c r="AR448" i="3"/>
  <c r="B448" i="3"/>
  <c r="A449" i="3"/>
  <c r="C448" i="3"/>
  <c r="AQ448" i="3"/>
  <c r="D448" i="3"/>
  <c r="F448" i="3"/>
  <c r="BM448" i="3" s="1"/>
  <c r="G448" i="3"/>
  <c r="H448" i="3" s="1"/>
  <c r="BN448" i="3" s="1"/>
  <c r="Q448" i="3"/>
  <c r="S448" i="3"/>
  <c r="O448" i="3"/>
  <c r="U448" i="3"/>
  <c r="AK448" i="3"/>
  <c r="AD448" i="3"/>
  <c r="AE448" i="3"/>
  <c r="AM448" i="3"/>
  <c r="AF448" i="3"/>
  <c r="M448" i="3"/>
  <c r="R448" i="3"/>
  <c r="P448" i="3"/>
  <c r="V448" i="3"/>
  <c r="T448" i="3"/>
  <c r="Y447" i="3"/>
  <c r="Z447" i="3" s="1"/>
  <c r="AH447" i="3"/>
  <c r="AO447" i="3"/>
  <c r="BQ444" i="3"/>
  <c r="BB444" i="3"/>
  <c r="BF444" i="3"/>
  <c r="BJ443" i="3" s="1"/>
  <c r="BK443" i="3" s="1"/>
  <c r="AV445" i="3"/>
  <c r="BC445" i="3" s="1"/>
  <c r="BA445" i="3"/>
  <c r="BD444" i="3"/>
  <c r="BG444" i="3"/>
  <c r="BH444" i="3" s="1"/>
  <c r="BI444" i="3" s="1"/>
  <c r="X447" i="3"/>
  <c r="AU446" i="3"/>
  <c r="AW446" i="3"/>
  <c r="AY446" i="3" s="1"/>
  <c r="AU447" i="3" l="1"/>
  <c r="AW447" i="3"/>
  <c r="AT447" i="3"/>
  <c r="X448" i="3"/>
  <c r="AO448" i="3"/>
  <c r="AH448" i="3"/>
  <c r="AN448" i="3"/>
  <c r="D449" i="3"/>
  <c r="B449" i="3"/>
  <c r="AQ449" i="3"/>
  <c r="A450" i="3"/>
  <c r="AR449" i="3"/>
  <c r="C449" i="3"/>
  <c r="F449" i="3"/>
  <c r="BM449" i="3" s="1"/>
  <c r="G449" i="3"/>
  <c r="H449" i="3" s="1"/>
  <c r="BN449" i="3" s="1"/>
  <c r="Q449" i="3"/>
  <c r="S449" i="3"/>
  <c r="O449" i="3"/>
  <c r="U449" i="3"/>
  <c r="AM449" i="3"/>
  <c r="M449" i="3"/>
  <c r="AK449" i="3"/>
  <c r="AD449" i="3"/>
  <c r="AF449" i="3"/>
  <c r="AE449" i="3"/>
  <c r="P449" i="3"/>
  <c r="R449" i="3"/>
  <c r="T449" i="3"/>
  <c r="V449" i="3"/>
  <c r="BQ445" i="3"/>
  <c r="BB445" i="3"/>
  <c r="BF445" i="3"/>
  <c r="BJ444" i="3" s="1"/>
  <c r="BK444" i="3" s="1"/>
  <c r="AX447" i="3"/>
  <c r="Y448" i="3"/>
  <c r="Z448" i="3" s="1"/>
  <c r="AG448" i="3"/>
  <c r="BD445" i="3"/>
  <c r="BG445" i="3"/>
  <c r="BH445" i="3" s="1"/>
  <c r="BI445" i="3" s="1"/>
  <c r="BA446" i="3"/>
  <c r="AV446" i="3"/>
  <c r="BC446" i="3" s="1"/>
  <c r="AV447" i="3" l="1"/>
  <c r="AY447" i="3"/>
  <c r="BC447" i="3" s="1"/>
  <c r="AU448" i="3"/>
  <c r="Y449" i="3"/>
  <c r="Z449" i="3" s="1"/>
  <c r="AN449" i="3"/>
  <c r="AG449" i="3"/>
  <c r="AO449" i="3"/>
  <c r="BD446" i="3"/>
  <c r="BG446" i="3"/>
  <c r="BH446" i="3" s="1"/>
  <c r="BI446" i="3" s="1"/>
  <c r="AW448" i="3"/>
  <c r="BA447" i="3"/>
  <c r="A451" i="3"/>
  <c r="D450" i="3"/>
  <c r="AQ450" i="3"/>
  <c r="B450" i="3"/>
  <c r="C450" i="3"/>
  <c r="AR450" i="3"/>
  <c r="G450" i="3"/>
  <c r="H450" i="3" s="1"/>
  <c r="BN450" i="3" s="1"/>
  <c r="F450" i="3"/>
  <c r="BM450" i="3" s="1"/>
  <c r="Q450" i="3"/>
  <c r="S450" i="3"/>
  <c r="O450" i="3"/>
  <c r="U450" i="3"/>
  <c r="AD450" i="3"/>
  <c r="M450" i="3"/>
  <c r="AK450" i="3"/>
  <c r="AM450" i="3"/>
  <c r="AE450" i="3"/>
  <c r="AF450" i="3"/>
  <c r="T450" i="3"/>
  <c r="V450" i="3"/>
  <c r="P450" i="3"/>
  <c r="R450" i="3"/>
  <c r="AH449" i="3"/>
  <c r="X449" i="3"/>
  <c r="BF446" i="3"/>
  <c r="BJ445" i="3" s="1"/>
  <c r="BK445" i="3" s="1"/>
  <c r="BQ446" i="3"/>
  <c r="BB446" i="3"/>
  <c r="AX448" i="3"/>
  <c r="AT448" i="3"/>
  <c r="AX449" i="3" l="1"/>
  <c r="AG450" i="3"/>
  <c r="AY448" i="3"/>
  <c r="AN450" i="3"/>
  <c r="AT449" i="3"/>
  <c r="BD447" i="3"/>
  <c r="BG447" i="3"/>
  <c r="BH447" i="3" s="1"/>
  <c r="BI447" i="3" s="1"/>
  <c r="AO450" i="3"/>
  <c r="BQ447" i="3"/>
  <c r="BF447" i="3"/>
  <c r="BJ446" i="3" s="1"/>
  <c r="BK446" i="3" s="1"/>
  <c r="BB447" i="3"/>
  <c r="BA448" i="3"/>
  <c r="AV448" i="3"/>
  <c r="BC448" i="3" s="1"/>
  <c r="AU449" i="3"/>
  <c r="AV449" i="3" s="1"/>
  <c r="Y450" i="3"/>
  <c r="Z450" i="3" s="1"/>
  <c r="X450" i="3"/>
  <c r="AH450" i="3"/>
  <c r="AX450" i="3" s="1"/>
  <c r="AR451" i="3"/>
  <c r="B451" i="3"/>
  <c r="AQ451" i="3"/>
  <c r="A452" i="3"/>
  <c r="D451" i="3"/>
  <c r="C451" i="3"/>
  <c r="F451" i="3"/>
  <c r="BM451" i="3" s="1"/>
  <c r="G451" i="3"/>
  <c r="H451" i="3" s="1"/>
  <c r="BN451" i="3" s="1"/>
  <c r="Q451" i="3"/>
  <c r="S451" i="3"/>
  <c r="O451" i="3"/>
  <c r="U451" i="3"/>
  <c r="M451" i="3"/>
  <c r="AK451" i="3"/>
  <c r="AD451" i="3"/>
  <c r="AM451" i="3"/>
  <c r="AF451" i="3"/>
  <c r="AE451" i="3"/>
  <c r="T451" i="3"/>
  <c r="R451" i="3"/>
  <c r="P451" i="3"/>
  <c r="V451" i="3"/>
  <c r="AW449" i="3"/>
  <c r="AY449" i="3" l="1"/>
  <c r="BC449" i="3" s="1"/>
  <c r="AN451" i="3"/>
  <c r="AH451" i="3"/>
  <c r="AQ452" i="3"/>
  <c r="AR452" i="3"/>
  <c r="B452" i="3"/>
  <c r="A453" i="3"/>
  <c r="D452" i="3"/>
  <c r="C452" i="3"/>
  <c r="F452" i="3"/>
  <c r="BM452" i="3" s="1"/>
  <c r="G452" i="3"/>
  <c r="H452" i="3" s="1"/>
  <c r="BN452" i="3" s="1"/>
  <c r="Q452" i="3"/>
  <c r="S452" i="3"/>
  <c r="O452" i="3"/>
  <c r="U452" i="3"/>
  <c r="M452" i="3"/>
  <c r="AK452" i="3"/>
  <c r="AM452" i="3"/>
  <c r="AE452" i="3"/>
  <c r="AF452" i="3"/>
  <c r="AD452" i="3"/>
  <c r="P452" i="3"/>
  <c r="V452" i="3"/>
  <c r="T452" i="3"/>
  <c r="R452" i="3"/>
  <c r="AO451" i="3"/>
  <c r="AU450" i="3"/>
  <c r="BA449" i="3"/>
  <c r="AT450" i="3"/>
  <c r="BQ448" i="3"/>
  <c r="BB448" i="3"/>
  <c r="BF448" i="3"/>
  <c r="BJ447" i="3" s="1"/>
  <c r="BK447" i="3" s="1"/>
  <c r="X451" i="3"/>
  <c r="BD448" i="3"/>
  <c r="BG448" i="3"/>
  <c r="BH448" i="3" s="1"/>
  <c r="BI448" i="3" s="1"/>
  <c r="Y451" i="3"/>
  <c r="Z451" i="3" s="1"/>
  <c r="AG451" i="3"/>
  <c r="AU451" i="3" s="1"/>
  <c r="AW450" i="3"/>
  <c r="AY450" i="3" s="1"/>
  <c r="BG449" i="3" l="1"/>
  <c r="BH449" i="3" s="1"/>
  <c r="BI449" i="3" s="1"/>
  <c r="BD449" i="3"/>
  <c r="AN452" i="3"/>
  <c r="AH452" i="3"/>
  <c r="AX451" i="3"/>
  <c r="AT451" i="3"/>
  <c r="BB449" i="3"/>
  <c r="BQ449" i="3"/>
  <c r="BF449" i="3"/>
  <c r="BJ448" i="3" s="1"/>
  <c r="BK448" i="3" s="1"/>
  <c r="Y452" i="3"/>
  <c r="Z452" i="3" s="1"/>
  <c r="AO452" i="3"/>
  <c r="AG452" i="3"/>
  <c r="X452" i="3"/>
  <c r="AQ453" i="3"/>
  <c r="A454" i="3"/>
  <c r="B453" i="3"/>
  <c r="AR453" i="3"/>
  <c r="C453" i="3"/>
  <c r="D453" i="3"/>
  <c r="G453" i="3"/>
  <c r="H453" i="3" s="1"/>
  <c r="BN453" i="3" s="1"/>
  <c r="F453" i="3"/>
  <c r="Q453" i="3"/>
  <c r="S453" i="3"/>
  <c r="O453" i="3"/>
  <c r="U453" i="3"/>
  <c r="AK453" i="3"/>
  <c r="AM453" i="3"/>
  <c r="AE453" i="3"/>
  <c r="AD453" i="3"/>
  <c r="M453" i="3"/>
  <c r="AF453" i="3"/>
  <c r="T453" i="3"/>
  <c r="V453" i="3"/>
  <c r="P453" i="3"/>
  <c r="R453" i="3"/>
  <c r="BA450" i="3"/>
  <c r="AV450" i="3"/>
  <c r="BC450" i="3" s="1"/>
  <c r="AW451" i="3"/>
  <c r="AN453" i="3" l="1"/>
  <c r="BM453" i="3"/>
  <c r="AY451" i="3"/>
  <c r="AW452" i="3"/>
  <c r="AO453" i="3"/>
  <c r="AH453" i="3"/>
  <c r="Y453" i="3"/>
  <c r="Z453" i="3" s="1"/>
  <c r="X453" i="3"/>
  <c r="B454" i="3"/>
  <c r="A455" i="3"/>
  <c r="AQ454" i="3"/>
  <c r="AR454" i="3"/>
  <c r="C454" i="3"/>
  <c r="D454" i="3"/>
  <c r="F454" i="3"/>
  <c r="BM454" i="3" s="1"/>
  <c r="G454" i="3"/>
  <c r="H454" i="3" s="1"/>
  <c r="BN454" i="3" s="1"/>
  <c r="Q454" i="3"/>
  <c r="S454" i="3"/>
  <c r="O454" i="3"/>
  <c r="U454" i="3"/>
  <c r="M454" i="3"/>
  <c r="AK454" i="3"/>
  <c r="AD454" i="3"/>
  <c r="AF454" i="3"/>
  <c r="AE454" i="3"/>
  <c r="AM454" i="3"/>
  <c r="V454" i="3"/>
  <c r="R454" i="3"/>
  <c r="T454" i="3"/>
  <c r="P454" i="3"/>
  <c r="BD450" i="3"/>
  <c r="BG450" i="3"/>
  <c r="BH450" i="3" s="1"/>
  <c r="BI450" i="3" s="1"/>
  <c r="AV451" i="3"/>
  <c r="BA451" i="3"/>
  <c r="BF450" i="3"/>
  <c r="BJ449" i="3" s="1"/>
  <c r="BK449" i="3" s="1"/>
  <c r="BQ450" i="3"/>
  <c r="BB450" i="3"/>
  <c r="AT452" i="3"/>
  <c r="AU452" i="3"/>
  <c r="AX452" i="3"/>
  <c r="AG453" i="3"/>
  <c r="BC451" i="3" l="1"/>
  <c r="BG451" i="3" s="1"/>
  <c r="BH451" i="3" s="1"/>
  <c r="BI451" i="3" s="1"/>
  <c r="AW453" i="3"/>
  <c r="AY452" i="3"/>
  <c r="AN454" i="3"/>
  <c r="AG454" i="3"/>
  <c r="AO454" i="3"/>
  <c r="Y454" i="3"/>
  <c r="Z454" i="3" s="1"/>
  <c r="AH454" i="3"/>
  <c r="X454" i="3"/>
  <c r="AU454" i="3"/>
  <c r="AU453" i="3"/>
  <c r="BQ451" i="3"/>
  <c r="BF451" i="3"/>
  <c r="BJ450" i="3" s="1"/>
  <c r="BK450" i="3" s="1"/>
  <c r="BB451" i="3"/>
  <c r="AT454" i="3"/>
  <c r="AQ455" i="3"/>
  <c r="D455" i="3"/>
  <c r="B455" i="3"/>
  <c r="AR455" i="3"/>
  <c r="A456" i="3"/>
  <c r="C455" i="3"/>
  <c r="G455" i="3"/>
  <c r="H455" i="3" s="1"/>
  <c r="BN455" i="3" s="1"/>
  <c r="F455" i="3"/>
  <c r="BM455" i="3" s="1"/>
  <c r="Q455" i="3"/>
  <c r="S455" i="3"/>
  <c r="O455" i="3"/>
  <c r="U455" i="3"/>
  <c r="AK455" i="3"/>
  <c r="M455" i="3"/>
  <c r="AD455" i="3"/>
  <c r="AF455" i="3"/>
  <c r="AE455" i="3"/>
  <c r="AM455" i="3"/>
  <c r="T455" i="3"/>
  <c r="R455" i="3"/>
  <c r="V455" i="3"/>
  <c r="P455" i="3"/>
  <c r="AT453" i="3"/>
  <c r="AV452" i="3"/>
  <c r="BC452" i="3" s="1"/>
  <c r="BA452" i="3"/>
  <c r="AX453" i="3"/>
  <c r="AY453" i="3" s="1"/>
  <c r="BD451" i="3" l="1"/>
  <c r="AX454" i="3"/>
  <c r="AG455" i="3"/>
  <c r="AO455" i="3"/>
  <c r="AH455" i="3"/>
  <c r="AV454" i="3"/>
  <c r="BD452" i="3"/>
  <c r="BG452" i="3"/>
  <c r="BH452" i="3" s="1"/>
  <c r="BI452" i="3" s="1"/>
  <c r="X455" i="3"/>
  <c r="B456" i="3"/>
  <c r="AQ456" i="3"/>
  <c r="A457" i="3"/>
  <c r="C456" i="3"/>
  <c r="D456" i="3"/>
  <c r="AR456" i="3"/>
  <c r="G456" i="3"/>
  <c r="H456" i="3" s="1"/>
  <c r="BN456" i="3" s="1"/>
  <c r="F456" i="3"/>
  <c r="BM456" i="3" s="1"/>
  <c r="Q456" i="3"/>
  <c r="S456" i="3"/>
  <c r="O456" i="3"/>
  <c r="U456" i="3"/>
  <c r="M456" i="3"/>
  <c r="AE456" i="3"/>
  <c r="AK456" i="3"/>
  <c r="AM456" i="3"/>
  <c r="AD456" i="3"/>
  <c r="AF456" i="3"/>
  <c r="R456" i="3"/>
  <c r="T456" i="3"/>
  <c r="P456" i="3"/>
  <c r="V456" i="3"/>
  <c r="BF452" i="3"/>
  <c r="BJ451" i="3" s="1"/>
  <c r="BK451" i="3" s="1"/>
  <c r="BB452" i="3"/>
  <c r="BQ452" i="3"/>
  <c r="BA453" i="3"/>
  <c r="AV453" i="3"/>
  <c r="BC453" i="3" s="1"/>
  <c r="Y455" i="3"/>
  <c r="Z455" i="3" s="1"/>
  <c r="AW454" i="3"/>
  <c r="AY454" i="3" s="1"/>
  <c r="AN455" i="3"/>
  <c r="AT455" i="3" l="1"/>
  <c r="AN456" i="3"/>
  <c r="AU455" i="3"/>
  <c r="AQ457" i="3"/>
  <c r="A458" i="3"/>
  <c r="C457" i="3"/>
  <c r="B457" i="3"/>
  <c r="D457" i="3"/>
  <c r="AR457" i="3"/>
  <c r="F457" i="3"/>
  <c r="BM457" i="3" s="1"/>
  <c r="G457" i="3"/>
  <c r="H457" i="3" s="1"/>
  <c r="BN457" i="3" s="1"/>
  <c r="Q457" i="3"/>
  <c r="S457" i="3"/>
  <c r="O457" i="3"/>
  <c r="U457" i="3"/>
  <c r="AK457" i="3"/>
  <c r="AM457" i="3"/>
  <c r="AE457" i="3"/>
  <c r="AF457" i="3"/>
  <c r="AD457" i="3"/>
  <c r="M457" i="3"/>
  <c r="P457" i="3"/>
  <c r="T457" i="3"/>
  <c r="V457" i="3"/>
  <c r="R457" i="3"/>
  <c r="Y456" i="3"/>
  <c r="Z456" i="3" s="1"/>
  <c r="BA454" i="3"/>
  <c r="AO456" i="3"/>
  <c r="X456" i="3"/>
  <c r="BC454" i="3"/>
  <c r="AG456" i="3"/>
  <c r="AX455" i="3"/>
  <c r="AH456" i="3"/>
  <c r="BD453" i="3"/>
  <c r="BG453" i="3"/>
  <c r="BH453" i="3" s="1"/>
  <c r="BI453" i="3" s="1"/>
  <c r="BQ453" i="3"/>
  <c r="BB453" i="3"/>
  <c r="BF453" i="3"/>
  <c r="BJ452" i="3" s="1"/>
  <c r="BK452" i="3" s="1"/>
  <c r="AW455" i="3"/>
  <c r="AV455" i="3" l="1"/>
  <c r="BA455" i="3"/>
  <c r="BB455" i="3" s="1"/>
  <c r="AO457" i="3"/>
  <c r="AH457" i="3"/>
  <c r="AW456" i="3"/>
  <c r="AG457" i="3"/>
  <c r="AT457" i="3" s="1"/>
  <c r="AT456" i="3"/>
  <c r="AY455" i="3"/>
  <c r="BC455" i="3" s="1"/>
  <c r="BF454" i="3"/>
  <c r="BJ453" i="3" s="1"/>
  <c r="BK453" i="3" s="1"/>
  <c r="BQ454" i="3"/>
  <c r="BB454" i="3"/>
  <c r="X457" i="3"/>
  <c r="BQ455" i="3"/>
  <c r="BF455" i="3"/>
  <c r="BJ454" i="3" s="1"/>
  <c r="BK454" i="3" s="1"/>
  <c r="AU456" i="3"/>
  <c r="AV456" i="3" s="1"/>
  <c r="BD454" i="3"/>
  <c r="BG454" i="3"/>
  <c r="BH454" i="3" s="1"/>
  <c r="BI454" i="3" s="1"/>
  <c r="Y457" i="3"/>
  <c r="Z457" i="3" s="1"/>
  <c r="AN457" i="3"/>
  <c r="AX456" i="3"/>
  <c r="AR458" i="3"/>
  <c r="D458" i="3"/>
  <c r="AQ458" i="3"/>
  <c r="B458" i="3"/>
  <c r="A459" i="3"/>
  <c r="C458" i="3"/>
  <c r="F458" i="3"/>
  <c r="G458" i="3"/>
  <c r="H458" i="3" s="1"/>
  <c r="BN458" i="3" s="1"/>
  <c r="Q458" i="3"/>
  <c r="S458" i="3"/>
  <c r="O458" i="3"/>
  <c r="U458" i="3"/>
  <c r="AM458" i="3"/>
  <c r="AK458" i="3"/>
  <c r="AF458" i="3"/>
  <c r="AE458" i="3"/>
  <c r="AD458" i="3"/>
  <c r="M458" i="3"/>
  <c r="P458" i="3"/>
  <c r="T458" i="3"/>
  <c r="R458" i="3"/>
  <c r="V458" i="3"/>
  <c r="AU457" i="3"/>
  <c r="AY456" i="3" l="1"/>
  <c r="AW457" i="3"/>
  <c r="BG455" i="3"/>
  <c r="BH455" i="3" s="1"/>
  <c r="BI455" i="3" s="1"/>
  <c r="BD455" i="3"/>
  <c r="BC456" i="3"/>
  <c r="AN458" i="3"/>
  <c r="AH458" i="3"/>
  <c r="BD456" i="3"/>
  <c r="BG456" i="3"/>
  <c r="BH456" i="3" s="1"/>
  <c r="BI456" i="3" s="1"/>
  <c r="AV457" i="3"/>
  <c r="AX457" i="3"/>
  <c r="AY457" i="3" s="1"/>
  <c r="X458" i="3"/>
  <c r="BM458" i="3"/>
  <c r="AU458" i="3"/>
  <c r="Y458" i="3"/>
  <c r="Z458" i="3" s="1"/>
  <c r="AQ459" i="3"/>
  <c r="A460" i="3"/>
  <c r="D459" i="3"/>
  <c r="C459" i="3"/>
  <c r="AR459" i="3"/>
  <c r="B459" i="3"/>
  <c r="G459" i="3"/>
  <c r="H459" i="3" s="1"/>
  <c r="BN459" i="3" s="1"/>
  <c r="F459" i="3"/>
  <c r="BM459" i="3" s="1"/>
  <c r="Q459" i="3"/>
  <c r="S459" i="3"/>
  <c r="O459" i="3"/>
  <c r="U459" i="3"/>
  <c r="AD459" i="3"/>
  <c r="AE459" i="3"/>
  <c r="AK459" i="3"/>
  <c r="AF459" i="3"/>
  <c r="M459" i="3"/>
  <c r="AM459" i="3"/>
  <c r="T459" i="3"/>
  <c r="P459" i="3"/>
  <c r="R459" i="3"/>
  <c r="V459" i="3"/>
  <c r="BA456" i="3"/>
  <c r="AG458" i="3"/>
  <c r="AO458" i="3"/>
  <c r="AN459" i="3" l="1"/>
  <c r="AT458" i="3"/>
  <c r="AX458" i="3"/>
  <c r="X459" i="3"/>
  <c r="AH459" i="3"/>
  <c r="AV458" i="3"/>
  <c r="AO459" i="3"/>
  <c r="BA457" i="3"/>
  <c r="AG459" i="3"/>
  <c r="A461" i="3"/>
  <c r="AQ460" i="3"/>
  <c r="AR460" i="3"/>
  <c r="B460" i="3"/>
  <c r="C460" i="3"/>
  <c r="D460" i="3"/>
  <c r="G460" i="3"/>
  <c r="H460" i="3" s="1"/>
  <c r="BN460" i="3" s="1"/>
  <c r="F460" i="3"/>
  <c r="BM460" i="3" s="1"/>
  <c r="Q460" i="3"/>
  <c r="S460" i="3"/>
  <c r="O460" i="3"/>
  <c r="U460" i="3"/>
  <c r="AD460" i="3"/>
  <c r="AE460" i="3"/>
  <c r="AM460" i="3"/>
  <c r="M460" i="3"/>
  <c r="AK460" i="3"/>
  <c r="AO460" i="3" s="1"/>
  <c r="AF460" i="3"/>
  <c r="P460" i="3"/>
  <c r="T460" i="3"/>
  <c r="R460" i="3"/>
  <c r="V460" i="3"/>
  <c r="BC457" i="3"/>
  <c r="AW458" i="3"/>
  <c r="BB456" i="3"/>
  <c r="BQ456" i="3"/>
  <c r="BF456" i="3"/>
  <c r="BJ455" i="3" s="1"/>
  <c r="BK455" i="3" s="1"/>
  <c r="Y459" i="3"/>
  <c r="Z459" i="3" s="1"/>
  <c r="BA458" i="3" l="1"/>
  <c r="AW459" i="3"/>
  <c r="AY458" i="3"/>
  <c r="BC458" i="3" s="1"/>
  <c r="AU459" i="3"/>
  <c r="AG460" i="3"/>
  <c r="X460" i="3"/>
  <c r="AN460" i="3"/>
  <c r="BB458" i="3"/>
  <c r="BF458" i="3"/>
  <c r="BQ458" i="3"/>
  <c r="BD457" i="3"/>
  <c r="BG457" i="3"/>
  <c r="BH457" i="3" s="1"/>
  <c r="BI457" i="3" s="1"/>
  <c r="A462" i="3"/>
  <c r="AR461" i="3"/>
  <c r="C461" i="3"/>
  <c r="D461" i="3"/>
  <c r="AQ461" i="3"/>
  <c r="B461" i="3"/>
  <c r="G461" i="3"/>
  <c r="H461" i="3" s="1"/>
  <c r="BN461" i="3" s="1"/>
  <c r="F461" i="3"/>
  <c r="BM461" i="3" s="1"/>
  <c r="S461" i="3"/>
  <c r="Q461" i="3"/>
  <c r="O461" i="3"/>
  <c r="U461" i="3"/>
  <c r="AK461" i="3"/>
  <c r="AD461" i="3"/>
  <c r="AE461" i="3"/>
  <c r="M461" i="3"/>
  <c r="AM461" i="3"/>
  <c r="AF461" i="3"/>
  <c r="P461" i="3"/>
  <c r="T461" i="3"/>
  <c r="R461" i="3"/>
  <c r="V461" i="3"/>
  <c r="BF457" i="3"/>
  <c r="BJ456" i="3" s="1"/>
  <c r="BK456" i="3" s="1"/>
  <c r="BQ457" i="3"/>
  <c r="BB457" i="3"/>
  <c r="AH460" i="3"/>
  <c r="Y460" i="3"/>
  <c r="Z460" i="3" s="1"/>
  <c r="AT459" i="3"/>
  <c r="AX459" i="3"/>
  <c r="AY459" i="3" l="1"/>
  <c r="AN461" i="3"/>
  <c r="AX460" i="3"/>
  <c r="AG461" i="3"/>
  <c r="BJ457" i="3"/>
  <c r="BK457" i="3" s="1"/>
  <c r="AH461" i="3"/>
  <c r="AU461" i="3" s="1"/>
  <c r="AT460" i="3"/>
  <c r="X461" i="3"/>
  <c r="B462" i="3"/>
  <c r="A463" i="3"/>
  <c r="AQ462" i="3"/>
  <c r="AR462" i="3"/>
  <c r="D462" i="3"/>
  <c r="C462" i="3"/>
  <c r="F462" i="3"/>
  <c r="BM462" i="3" s="1"/>
  <c r="G462" i="3"/>
  <c r="H462" i="3" s="1"/>
  <c r="BN462" i="3" s="1"/>
  <c r="Q462" i="3"/>
  <c r="S462" i="3"/>
  <c r="O462" i="3"/>
  <c r="U462" i="3"/>
  <c r="AM462" i="3"/>
  <c r="AD462" i="3"/>
  <c r="AK462" i="3"/>
  <c r="AE462" i="3"/>
  <c r="M462" i="3"/>
  <c r="AF462" i="3"/>
  <c r="T462" i="3"/>
  <c r="P462" i="3"/>
  <c r="V462" i="3"/>
  <c r="R462" i="3"/>
  <c r="AV459" i="3"/>
  <c r="BA459" i="3"/>
  <c r="AU460" i="3"/>
  <c r="BD458" i="3"/>
  <c r="BG458" i="3"/>
  <c r="BH458" i="3" s="1"/>
  <c r="BI458" i="3" s="1"/>
  <c r="AO461" i="3"/>
  <c r="Y461" i="3"/>
  <c r="Z461" i="3" s="1"/>
  <c r="AW460" i="3"/>
  <c r="AY460" i="3" s="1"/>
  <c r="BC459" i="3" l="1"/>
  <c r="BD459" i="3" s="1"/>
  <c r="AT461" i="3"/>
  <c r="AV461" i="3" s="1"/>
  <c r="AO462" i="3"/>
  <c r="Y462" i="3"/>
  <c r="Z462" i="3" s="1"/>
  <c r="AN462" i="3"/>
  <c r="X462" i="3"/>
  <c r="D463" i="3"/>
  <c r="B463" i="3"/>
  <c r="AQ463" i="3"/>
  <c r="AR463" i="3"/>
  <c r="A464" i="3"/>
  <c r="C463" i="3"/>
  <c r="G463" i="3"/>
  <c r="H463" i="3" s="1"/>
  <c r="BN463" i="3" s="1"/>
  <c r="F463" i="3"/>
  <c r="BM463" i="3" s="1"/>
  <c r="Q463" i="3"/>
  <c r="S463" i="3"/>
  <c r="O463" i="3"/>
  <c r="U463" i="3"/>
  <c r="AK463" i="3"/>
  <c r="AM463" i="3"/>
  <c r="AD463" i="3"/>
  <c r="M463" i="3"/>
  <c r="AE463" i="3"/>
  <c r="AF463" i="3"/>
  <c r="T463" i="3"/>
  <c r="V463" i="3"/>
  <c r="R463" i="3"/>
  <c r="P463" i="3"/>
  <c r="AV460" i="3"/>
  <c r="BC460" i="3" s="1"/>
  <c r="BA460" i="3"/>
  <c r="AG462" i="3"/>
  <c r="BG459" i="3"/>
  <c r="BH459" i="3" s="1"/>
  <c r="BI459" i="3" s="1"/>
  <c r="BF459" i="3"/>
  <c r="BJ458" i="3" s="1"/>
  <c r="BK458" i="3" s="1"/>
  <c r="BQ459" i="3"/>
  <c r="BB459" i="3"/>
  <c r="AH462" i="3"/>
  <c r="AW461" i="3"/>
  <c r="AX461" i="3"/>
  <c r="AW462" i="3" l="1"/>
  <c r="AN463" i="3"/>
  <c r="AY461" i="3"/>
  <c r="AO463" i="3"/>
  <c r="AH463" i="3"/>
  <c r="BA461" i="3"/>
  <c r="BQ461" i="3" s="1"/>
  <c r="AT462" i="3"/>
  <c r="BD460" i="3"/>
  <c r="BG460" i="3"/>
  <c r="BH460" i="3" s="1"/>
  <c r="BI460" i="3" s="1"/>
  <c r="AU462" i="3"/>
  <c r="AV462" i="3" s="1"/>
  <c r="BQ460" i="3"/>
  <c r="BF460" i="3"/>
  <c r="BJ459" i="3" s="1"/>
  <c r="BK459" i="3" s="1"/>
  <c r="BB460" i="3"/>
  <c r="Y463" i="3"/>
  <c r="Z463" i="3" s="1"/>
  <c r="B464" i="3"/>
  <c r="C464" i="3"/>
  <c r="A465" i="3"/>
  <c r="D464" i="3"/>
  <c r="AR464" i="3"/>
  <c r="AQ464" i="3"/>
  <c r="F464" i="3"/>
  <c r="BM464" i="3" s="1"/>
  <c r="G464" i="3"/>
  <c r="H464" i="3" s="1"/>
  <c r="BN464" i="3" s="1"/>
  <c r="Q464" i="3"/>
  <c r="S464" i="3"/>
  <c r="O464" i="3"/>
  <c r="U464" i="3"/>
  <c r="AM464" i="3"/>
  <c r="AD464" i="3"/>
  <c r="AE464" i="3"/>
  <c r="AK464" i="3"/>
  <c r="AF464" i="3"/>
  <c r="M464" i="3"/>
  <c r="P464" i="3"/>
  <c r="R464" i="3"/>
  <c r="T464" i="3"/>
  <c r="V464" i="3"/>
  <c r="AX462" i="3"/>
  <c r="AY462" i="3" s="1"/>
  <c r="AG463" i="3"/>
  <c r="AW463" i="3" s="1"/>
  <c r="X463" i="3"/>
  <c r="BC461" i="3"/>
  <c r="BF461" i="3" l="1"/>
  <c r="BB461" i="3"/>
  <c r="BC462" i="3"/>
  <c r="BG462" i="3" s="1"/>
  <c r="BH462" i="3" s="1"/>
  <c r="BI462" i="3" s="1"/>
  <c r="AO464" i="3"/>
  <c r="AG464" i="3"/>
  <c r="X464" i="3"/>
  <c r="BA462" i="3"/>
  <c r="AH464" i="3"/>
  <c r="AU463" i="3"/>
  <c r="BJ460" i="3"/>
  <c r="BK460" i="3" s="1"/>
  <c r="AN464" i="3"/>
  <c r="BD461" i="3"/>
  <c r="BG461" i="3"/>
  <c r="BH461" i="3" s="1"/>
  <c r="BI461" i="3" s="1"/>
  <c r="Y464" i="3"/>
  <c r="Z464" i="3" s="1"/>
  <c r="C465" i="3"/>
  <c r="AQ465" i="3"/>
  <c r="B465" i="3"/>
  <c r="A466" i="3"/>
  <c r="AR465" i="3"/>
  <c r="D465" i="3"/>
  <c r="F465" i="3"/>
  <c r="BM465" i="3" s="1"/>
  <c r="G465" i="3"/>
  <c r="H465" i="3" s="1"/>
  <c r="BN465" i="3" s="1"/>
  <c r="Q465" i="3"/>
  <c r="S465" i="3"/>
  <c r="O465" i="3"/>
  <c r="U465" i="3"/>
  <c r="M465" i="3"/>
  <c r="AM465" i="3"/>
  <c r="AD465" i="3"/>
  <c r="AF465" i="3"/>
  <c r="AE465" i="3"/>
  <c r="AK465" i="3"/>
  <c r="P465" i="3"/>
  <c r="V465" i="3"/>
  <c r="R465" i="3"/>
  <c r="T465" i="3"/>
  <c r="AT463" i="3"/>
  <c r="AX463" i="3"/>
  <c r="AY463" i="3" s="1"/>
  <c r="BD462" i="3" l="1"/>
  <c r="AN465" i="3"/>
  <c r="AW464" i="3"/>
  <c r="AH465" i="3"/>
  <c r="BF462" i="3"/>
  <c r="BJ461" i="3" s="1"/>
  <c r="BK461" i="3" s="1"/>
  <c r="BQ462" i="3"/>
  <c r="BB462" i="3"/>
  <c r="AU464" i="3"/>
  <c r="X465" i="3"/>
  <c r="Y465" i="3"/>
  <c r="Z465" i="3" s="1"/>
  <c r="AT464" i="3"/>
  <c r="A467" i="3"/>
  <c r="C466" i="3"/>
  <c r="AR466" i="3"/>
  <c r="D466" i="3"/>
  <c r="AQ466" i="3"/>
  <c r="B466" i="3"/>
  <c r="G466" i="3"/>
  <c r="H466" i="3" s="1"/>
  <c r="BN466" i="3" s="1"/>
  <c r="F466" i="3"/>
  <c r="BM466" i="3" s="1"/>
  <c r="Q466" i="3"/>
  <c r="S466" i="3"/>
  <c r="O466" i="3"/>
  <c r="U466" i="3"/>
  <c r="AE466" i="3"/>
  <c r="AD466" i="3"/>
  <c r="AK466" i="3"/>
  <c r="AM466" i="3"/>
  <c r="AF466" i="3"/>
  <c r="M466" i="3"/>
  <c r="R466" i="3"/>
  <c r="P466" i="3"/>
  <c r="T466" i="3"/>
  <c r="V466" i="3"/>
  <c r="AX464" i="3"/>
  <c r="AO465" i="3"/>
  <c r="BA463" i="3"/>
  <c r="AV463" i="3"/>
  <c r="BC463" i="3" s="1"/>
  <c r="AG465" i="3"/>
  <c r="AW465" i="3" l="1"/>
  <c r="AN466" i="3"/>
  <c r="AY464" i="3"/>
  <c r="AH466" i="3"/>
  <c r="AG466" i="3"/>
  <c r="BA464" i="3"/>
  <c r="AV464" i="3"/>
  <c r="BC464" i="3" s="1"/>
  <c r="X466" i="3"/>
  <c r="AT466" i="3"/>
  <c r="AO466" i="3"/>
  <c r="BB463" i="3"/>
  <c r="BF463" i="3"/>
  <c r="BJ462" i="3" s="1"/>
  <c r="BK462" i="3" s="1"/>
  <c r="BQ463" i="3"/>
  <c r="AU465" i="3"/>
  <c r="AT465" i="3"/>
  <c r="Y466" i="3"/>
  <c r="Z466" i="3" s="1"/>
  <c r="AR467" i="3"/>
  <c r="B467" i="3"/>
  <c r="AQ467" i="3"/>
  <c r="A468" i="3"/>
  <c r="D467" i="3"/>
  <c r="C467" i="3"/>
  <c r="F467" i="3"/>
  <c r="BM467" i="3" s="1"/>
  <c r="G467" i="3"/>
  <c r="H467" i="3" s="1"/>
  <c r="BN467" i="3" s="1"/>
  <c r="Q467" i="3"/>
  <c r="S467" i="3"/>
  <c r="O467" i="3"/>
  <c r="U467" i="3"/>
  <c r="AD467" i="3"/>
  <c r="M467" i="3"/>
  <c r="AE467" i="3"/>
  <c r="AF467" i="3"/>
  <c r="AK467" i="3"/>
  <c r="AM467" i="3"/>
  <c r="P467" i="3"/>
  <c r="T467" i="3"/>
  <c r="V467" i="3"/>
  <c r="R467" i="3"/>
  <c r="BD463" i="3"/>
  <c r="BG463" i="3"/>
  <c r="BH463" i="3" s="1"/>
  <c r="BI463" i="3" s="1"/>
  <c r="AX465" i="3"/>
  <c r="AY465" i="3" l="1"/>
  <c r="AU466" i="3"/>
  <c r="AV466" i="3" s="1"/>
  <c r="AG467" i="3"/>
  <c r="AN467" i="3"/>
  <c r="AH467" i="3"/>
  <c r="X467" i="3"/>
  <c r="BD464" i="3"/>
  <c r="BG464" i="3"/>
  <c r="BH464" i="3" s="1"/>
  <c r="BI464" i="3" s="1"/>
  <c r="BQ464" i="3"/>
  <c r="BB464" i="3"/>
  <c r="BF464" i="3"/>
  <c r="BJ463" i="3" s="1"/>
  <c r="BK463" i="3" s="1"/>
  <c r="AQ468" i="3"/>
  <c r="AR468" i="3"/>
  <c r="B468" i="3"/>
  <c r="A469" i="3"/>
  <c r="D468" i="3"/>
  <c r="C468" i="3"/>
  <c r="F468" i="3"/>
  <c r="BM468" i="3" s="1"/>
  <c r="G468" i="3"/>
  <c r="H468" i="3" s="1"/>
  <c r="BN468" i="3" s="1"/>
  <c r="Q468" i="3"/>
  <c r="S468" i="3"/>
  <c r="O468" i="3"/>
  <c r="U468" i="3"/>
  <c r="AD468" i="3"/>
  <c r="AK468" i="3"/>
  <c r="AM468" i="3"/>
  <c r="AF468" i="3"/>
  <c r="AE468" i="3"/>
  <c r="M468" i="3"/>
  <c r="P468" i="3"/>
  <c r="T468" i="3"/>
  <c r="V468" i="3"/>
  <c r="R468" i="3"/>
  <c r="Y467" i="3"/>
  <c r="Z467" i="3" s="1"/>
  <c r="AW466" i="3"/>
  <c r="BA465" i="3"/>
  <c r="AV465" i="3"/>
  <c r="AO467" i="3"/>
  <c r="AX466" i="3"/>
  <c r="BA466" i="3" s="1"/>
  <c r="BC465" i="3" l="1"/>
  <c r="BD465" i="3" s="1"/>
  <c r="AG468" i="3"/>
  <c r="AT467" i="3"/>
  <c r="AW467" i="3"/>
  <c r="AU467" i="3"/>
  <c r="AN468" i="3"/>
  <c r="BB466" i="3"/>
  <c r="BQ466" i="3"/>
  <c r="BF466" i="3"/>
  <c r="AH468" i="3"/>
  <c r="AQ469" i="3"/>
  <c r="A470" i="3"/>
  <c r="B469" i="3"/>
  <c r="AR469" i="3"/>
  <c r="C469" i="3"/>
  <c r="D469" i="3"/>
  <c r="G469" i="3"/>
  <c r="H469" i="3" s="1"/>
  <c r="BN469" i="3" s="1"/>
  <c r="F469" i="3"/>
  <c r="BM469" i="3" s="1"/>
  <c r="S469" i="3"/>
  <c r="Q469" i="3"/>
  <c r="O469" i="3"/>
  <c r="U469" i="3"/>
  <c r="AK469" i="3"/>
  <c r="M469" i="3"/>
  <c r="AF469" i="3"/>
  <c r="AD469" i="3"/>
  <c r="AM469" i="3"/>
  <c r="AE469" i="3"/>
  <c r="T469" i="3"/>
  <c r="R469" i="3"/>
  <c r="P469" i="3"/>
  <c r="V469" i="3"/>
  <c r="Y468" i="3"/>
  <c r="Z468" i="3" s="1"/>
  <c r="AO468" i="3"/>
  <c r="BQ465" i="3"/>
  <c r="BB465" i="3"/>
  <c r="BF465" i="3"/>
  <c r="BJ464" i="3" s="1"/>
  <c r="BK464" i="3" s="1"/>
  <c r="AY466" i="3"/>
  <c r="BC466" i="3" s="1"/>
  <c r="X468" i="3"/>
  <c r="AX467" i="3"/>
  <c r="BG465" i="3" l="1"/>
  <c r="BH465" i="3" s="1"/>
  <c r="BI465" i="3" s="1"/>
  <c r="AV467" i="3"/>
  <c r="AG469" i="3"/>
  <c r="AN469" i="3"/>
  <c r="BA467" i="3"/>
  <c r="AY467" i="3"/>
  <c r="BJ465" i="3"/>
  <c r="BK465" i="3" s="1"/>
  <c r="BQ467" i="3"/>
  <c r="BB467" i="3"/>
  <c r="BF467" i="3"/>
  <c r="BJ466" i="3" s="1"/>
  <c r="BK466" i="3" s="1"/>
  <c r="AH469" i="3"/>
  <c r="AU469" i="3" s="1"/>
  <c r="AX468" i="3"/>
  <c r="AW468" i="3"/>
  <c r="AO469" i="3"/>
  <c r="AT469" i="3"/>
  <c r="B470" i="3"/>
  <c r="A471" i="3"/>
  <c r="AQ470" i="3"/>
  <c r="AR470" i="3"/>
  <c r="D470" i="3"/>
  <c r="C470" i="3"/>
  <c r="G470" i="3"/>
  <c r="H470" i="3" s="1"/>
  <c r="F470" i="3"/>
  <c r="BM470" i="3" s="1"/>
  <c r="Q470" i="3"/>
  <c r="S470" i="3"/>
  <c r="O470" i="3"/>
  <c r="U470" i="3"/>
  <c r="AM470" i="3"/>
  <c r="AK470" i="3"/>
  <c r="AE470" i="3"/>
  <c r="M470" i="3"/>
  <c r="AD470" i="3"/>
  <c r="AF470" i="3"/>
  <c r="V470" i="3"/>
  <c r="P470" i="3"/>
  <c r="T470" i="3"/>
  <c r="R470" i="3"/>
  <c r="AU468" i="3"/>
  <c r="AT468" i="3"/>
  <c r="X469" i="3"/>
  <c r="Y469" i="3"/>
  <c r="Z469" i="3" s="1"/>
  <c r="BD466" i="3"/>
  <c r="BG466" i="3"/>
  <c r="BH466" i="3" s="1"/>
  <c r="BI466" i="3" s="1"/>
  <c r="BC467" i="3" l="1"/>
  <c r="BD467" i="3" s="1"/>
  <c r="AO470" i="3"/>
  <c r="AY468" i="3"/>
  <c r="Y470" i="3"/>
  <c r="Z470" i="3" s="1"/>
  <c r="AG470" i="3"/>
  <c r="BN470" i="3"/>
  <c r="AX469" i="3"/>
  <c r="AQ471" i="3"/>
  <c r="C471" i="3"/>
  <c r="B471" i="3"/>
  <c r="AR471" i="3"/>
  <c r="A472" i="3"/>
  <c r="D471" i="3"/>
  <c r="F471" i="3"/>
  <c r="G471" i="3"/>
  <c r="H471" i="3" s="1"/>
  <c r="BN471" i="3" s="1"/>
  <c r="Q471" i="3"/>
  <c r="S471" i="3"/>
  <c r="O471" i="3"/>
  <c r="U471" i="3"/>
  <c r="AK471" i="3"/>
  <c r="M471" i="3"/>
  <c r="AM471" i="3"/>
  <c r="AD471" i="3"/>
  <c r="AE471" i="3"/>
  <c r="AF471" i="3"/>
  <c r="P471" i="3"/>
  <c r="T471" i="3"/>
  <c r="R471" i="3"/>
  <c r="V471" i="3"/>
  <c r="AH470" i="3"/>
  <c r="X470" i="3"/>
  <c r="BA468" i="3"/>
  <c r="AV468" i="3"/>
  <c r="AN470" i="3"/>
  <c r="AV469" i="3"/>
  <c r="AW469" i="3"/>
  <c r="BG467" i="3" l="1"/>
  <c r="BH467" i="3" s="1"/>
  <c r="BI467" i="3" s="1"/>
  <c r="AT470" i="3"/>
  <c r="BM471" i="3"/>
  <c r="BC468" i="3"/>
  <c r="BG468" i="3" s="1"/>
  <c r="BH468" i="3" s="1"/>
  <c r="BI468" i="3" s="1"/>
  <c r="AN471" i="3"/>
  <c r="AO471" i="3"/>
  <c r="Y471" i="3"/>
  <c r="Z471" i="3" s="1"/>
  <c r="AG471" i="3"/>
  <c r="BQ468" i="3"/>
  <c r="BF468" i="3"/>
  <c r="BJ467" i="3" s="1"/>
  <c r="BK467" i="3" s="1"/>
  <c r="BB468" i="3"/>
  <c r="B472" i="3"/>
  <c r="AQ472" i="3"/>
  <c r="D472" i="3"/>
  <c r="C472" i="3"/>
  <c r="AR472" i="3"/>
  <c r="A473" i="3"/>
  <c r="F472" i="3"/>
  <c r="BM472" i="3" s="1"/>
  <c r="G472" i="3"/>
  <c r="H472" i="3" s="1"/>
  <c r="BN472" i="3" s="1"/>
  <c r="Q472" i="3"/>
  <c r="S472" i="3"/>
  <c r="O472" i="3"/>
  <c r="U472" i="3"/>
  <c r="AM472" i="3"/>
  <c r="AE472" i="3"/>
  <c r="AK472" i="3"/>
  <c r="M472" i="3"/>
  <c r="AD472" i="3"/>
  <c r="AF472" i="3"/>
  <c r="P472" i="3"/>
  <c r="V472" i="3"/>
  <c r="T472" i="3"/>
  <c r="R472" i="3"/>
  <c r="X471" i="3"/>
  <c r="AY469" i="3"/>
  <c r="BC469" i="3" s="1"/>
  <c r="AX470" i="3"/>
  <c r="AH471" i="3"/>
  <c r="BA469" i="3"/>
  <c r="AU470" i="3"/>
  <c r="AW470" i="3"/>
  <c r="AY470" i="3" l="1"/>
  <c r="BD468" i="3"/>
  <c r="AT471" i="3"/>
  <c r="AU471" i="3"/>
  <c r="AO472" i="3"/>
  <c r="X472" i="3"/>
  <c r="BA470" i="3"/>
  <c r="BQ470" i="3" s="1"/>
  <c r="AW471" i="3"/>
  <c r="AQ473" i="3"/>
  <c r="D473" i="3"/>
  <c r="C473" i="3"/>
  <c r="AR473" i="3"/>
  <c r="B473" i="3"/>
  <c r="A474" i="3"/>
  <c r="F473" i="3"/>
  <c r="BM473" i="3" s="1"/>
  <c r="G473" i="3"/>
  <c r="H473" i="3" s="1"/>
  <c r="BN473" i="3" s="1"/>
  <c r="Q473" i="3"/>
  <c r="S473" i="3"/>
  <c r="O473" i="3"/>
  <c r="U473" i="3"/>
  <c r="M473" i="3"/>
  <c r="AD473" i="3"/>
  <c r="AM473" i="3"/>
  <c r="AK473" i="3"/>
  <c r="AE473" i="3"/>
  <c r="AF473" i="3"/>
  <c r="P473" i="3"/>
  <c r="T473" i="3"/>
  <c r="R473" i="3"/>
  <c r="V473" i="3"/>
  <c r="AH472" i="3"/>
  <c r="BD469" i="3"/>
  <c r="BG469" i="3"/>
  <c r="BH469" i="3" s="1"/>
  <c r="BI469" i="3" s="1"/>
  <c r="BF469" i="3"/>
  <c r="BJ468" i="3" s="1"/>
  <c r="BK468" i="3" s="1"/>
  <c r="BQ469" i="3"/>
  <c r="BB469" i="3"/>
  <c r="Y472" i="3"/>
  <c r="Z472" i="3" s="1"/>
  <c r="AN472" i="3"/>
  <c r="AX471" i="3"/>
  <c r="AV470" i="3"/>
  <c r="AG472" i="3"/>
  <c r="BF470" i="3" l="1"/>
  <c r="BB470" i="3"/>
  <c r="BC470" i="3"/>
  <c r="BG470" i="3" s="1"/>
  <c r="BH470" i="3" s="1"/>
  <c r="BI470" i="3" s="1"/>
  <c r="AX472" i="3"/>
  <c r="AY471" i="3"/>
  <c r="AV471" i="3"/>
  <c r="BA471" i="3"/>
  <c r="BB471" i="3" s="1"/>
  <c r="AO473" i="3"/>
  <c r="AG473" i="3"/>
  <c r="AH473" i="3"/>
  <c r="AU472" i="3"/>
  <c r="AN473" i="3"/>
  <c r="AR474" i="3"/>
  <c r="B474" i="3"/>
  <c r="A475" i="3"/>
  <c r="C474" i="3"/>
  <c r="D474" i="3"/>
  <c r="AQ474" i="3"/>
  <c r="F474" i="3"/>
  <c r="BM474" i="3" s="1"/>
  <c r="G474" i="3"/>
  <c r="H474" i="3" s="1"/>
  <c r="BN474" i="3" s="1"/>
  <c r="Q474" i="3"/>
  <c r="S474" i="3"/>
  <c r="O474" i="3"/>
  <c r="U474" i="3"/>
  <c r="AD474" i="3"/>
  <c r="AK474" i="3"/>
  <c r="AE474" i="3"/>
  <c r="AF474" i="3"/>
  <c r="AM474" i="3"/>
  <c r="M474" i="3"/>
  <c r="T474" i="3"/>
  <c r="P474" i="3"/>
  <c r="R474" i="3"/>
  <c r="V474" i="3"/>
  <c r="X473" i="3"/>
  <c r="BJ469" i="3"/>
  <c r="BK469" i="3" s="1"/>
  <c r="Y473" i="3"/>
  <c r="Z473" i="3" s="1"/>
  <c r="AW472" i="3"/>
  <c r="AY472" i="3" s="1"/>
  <c r="AT472" i="3"/>
  <c r="AT473" i="3" l="1"/>
  <c r="BD470" i="3"/>
  <c r="AN474" i="3"/>
  <c r="AW473" i="3"/>
  <c r="BC471" i="3"/>
  <c r="BD471" i="3" s="1"/>
  <c r="BF471" i="3"/>
  <c r="BJ470" i="3" s="1"/>
  <c r="BK470" i="3" s="1"/>
  <c r="BQ471" i="3"/>
  <c r="Y474" i="3"/>
  <c r="Z474" i="3" s="1"/>
  <c r="AX473" i="3"/>
  <c r="AU473" i="3"/>
  <c r="AV473" i="3" s="1"/>
  <c r="AG474" i="3"/>
  <c r="X474" i="3"/>
  <c r="AO474" i="3"/>
  <c r="AR475" i="3"/>
  <c r="B475" i="3"/>
  <c r="AQ475" i="3"/>
  <c r="A476" i="3"/>
  <c r="C475" i="3"/>
  <c r="D475" i="3"/>
  <c r="G475" i="3"/>
  <c r="H475" i="3" s="1"/>
  <c r="BN475" i="3" s="1"/>
  <c r="F475" i="3"/>
  <c r="BM475" i="3" s="1"/>
  <c r="S475" i="3"/>
  <c r="Q475" i="3"/>
  <c r="O475" i="3"/>
  <c r="U475" i="3"/>
  <c r="AE475" i="3"/>
  <c r="AD475" i="3"/>
  <c r="AK475" i="3"/>
  <c r="M475" i="3"/>
  <c r="AM475" i="3"/>
  <c r="AF475" i="3"/>
  <c r="P475" i="3"/>
  <c r="R475" i="3"/>
  <c r="V475" i="3"/>
  <c r="T475" i="3"/>
  <c r="AH474" i="3"/>
  <c r="BA472" i="3"/>
  <c r="AV472" i="3"/>
  <c r="BC472" i="3" s="1"/>
  <c r="AY473" i="3" l="1"/>
  <c r="BG471" i="3"/>
  <c r="BH471" i="3" s="1"/>
  <c r="BI471" i="3" s="1"/>
  <c r="BA473" i="3"/>
  <c r="BB473" i="3" s="1"/>
  <c r="AN475" i="3"/>
  <c r="AH475" i="3"/>
  <c r="AX474" i="3"/>
  <c r="Y475" i="3"/>
  <c r="Z475" i="3" s="1"/>
  <c r="AU474" i="3"/>
  <c r="A477" i="3"/>
  <c r="B476" i="3"/>
  <c r="AQ476" i="3"/>
  <c r="AR476" i="3"/>
  <c r="D476" i="3"/>
  <c r="C476" i="3"/>
  <c r="F476" i="3"/>
  <c r="BM476" i="3" s="1"/>
  <c r="G476" i="3"/>
  <c r="H476" i="3" s="1"/>
  <c r="BN476" i="3" s="1"/>
  <c r="Q476" i="3"/>
  <c r="S476" i="3"/>
  <c r="O476" i="3"/>
  <c r="U476" i="3"/>
  <c r="AK476" i="3"/>
  <c r="AD476" i="3"/>
  <c r="AM476" i="3"/>
  <c r="M476" i="3"/>
  <c r="AF476" i="3"/>
  <c r="AE476" i="3"/>
  <c r="V476" i="3"/>
  <c r="P476" i="3"/>
  <c r="T476" i="3"/>
  <c r="R476" i="3"/>
  <c r="AO475" i="3"/>
  <c r="BF472" i="3"/>
  <c r="BJ471" i="3" s="1"/>
  <c r="BK471" i="3" s="1"/>
  <c r="BB472" i="3"/>
  <c r="BQ472" i="3"/>
  <c r="AG475" i="3"/>
  <c r="X475" i="3"/>
  <c r="AT474" i="3"/>
  <c r="BC473" i="3"/>
  <c r="BD472" i="3"/>
  <c r="BG472" i="3"/>
  <c r="BH472" i="3" s="1"/>
  <c r="BI472" i="3" s="1"/>
  <c r="AW474" i="3"/>
  <c r="AT475" i="3" l="1"/>
  <c r="BF473" i="3"/>
  <c r="BJ472" i="3" s="1"/>
  <c r="BK472" i="3" s="1"/>
  <c r="BQ473" i="3"/>
  <c r="AN476" i="3"/>
  <c r="AY474" i="3"/>
  <c r="AG476" i="3"/>
  <c r="AU475" i="3"/>
  <c r="AV475" i="3" s="1"/>
  <c r="X476" i="3"/>
  <c r="AO476" i="3"/>
  <c r="AH476" i="3"/>
  <c r="AQ477" i="3"/>
  <c r="AR477" i="3"/>
  <c r="C477" i="3"/>
  <c r="B477" i="3"/>
  <c r="A478" i="3"/>
  <c r="D477" i="3"/>
  <c r="F477" i="3"/>
  <c r="BM477" i="3" s="1"/>
  <c r="G477" i="3"/>
  <c r="H477" i="3" s="1"/>
  <c r="BN477" i="3" s="1"/>
  <c r="Q477" i="3"/>
  <c r="S477" i="3"/>
  <c r="O477" i="3"/>
  <c r="U477" i="3"/>
  <c r="AE477" i="3"/>
  <c r="AK477" i="3"/>
  <c r="AM477" i="3"/>
  <c r="AD477" i="3"/>
  <c r="AF477" i="3"/>
  <c r="M477" i="3"/>
  <c r="R477" i="3"/>
  <c r="T477" i="3"/>
  <c r="P477" i="3"/>
  <c r="V477" i="3"/>
  <c r="Y476" i="3"/>
  <c r="Z476" i="3" s="1"/>
  <c r="AW475" i="3"/>
  <c r="AX475" i="3"/>
  <c r="BD473" i="3"/>
  <c r="BG473" i="3"/>
  <c r="BH473" i="3" s="1"/>
  <c r="BI473" i="3" s="1"/>
  <c r="AV474" i="3"/>
  <c r="BA474" i="3"/>
  <c r="AX476" i="3" l="1"/>
  <c r="AU476" i="3"/>
  <c r="BC474" i="3"/>
  <c r="BG474" i="3" s="1"/>
  <c r="BH474" i="3" s="1"/>
  <c r="BI474" i="3" s="1"/>
  <c r="AN477" i="3"/>
  <c r="Y477" i="3"/>
  <c r="Z477" i="3" s="1"/>
  <c r="BA475" i="3"/>
  <c r="BF475" i="3" s="1"/>
  <c r="AY475" i="3"/>
  <c r="BC475" i="3" s="1"/>
  <c r="AO477" i="3"/>
  <c r="B478" i="3"/>
  <c r="A479" i="3"/>
  <c r="AQ478" i="3"/>
  <c r="AR478" i="3"/>
  <c r="D478" i="3"/>
  <c r="C478" i="3"/>
  <c r="F478" i="3"/>
  <c r="BM478" i="3" s="1"/>
  <c r="G478" i="3"/>
  <c r="H478" i="3" s="1"/>
  <c r="BN478" i="3" s="1"/>
  <c r="Q478" i="3"/>
  <c r="S478" i="3"/>
  <c r="O478" i="3"/>
  <c r="U478" i="3"/>
  <c r="AM478" i="3"/>
  <c r="AD478" i="3"/>
  <c r="AE478" i="3"/>
  <c r="M478" i="3"/>
  <c r="AF478" i="3"/>
  <c r="AK478" i="3"/>
  <c r="R478" i="3"/>
  <c r="T478" i="3"/>
  <c r="V478" i="3"/>
  <c r="P478" i="3"/>
  <c r="X477" i="3"/>
  <c r="AG477" i="3"/>
  <c r="AH477" i="3"/>
  <c r="BQ474" i="3"/>
  <c r="BF474" i="3"/>
  <c r="BJ473" i="3" s="1"/>
  <c r="BK473" i="3" s="1"/>
  <c r="BB474" i="3"/>
  <c r="AT476" i="3"/>
  <c r="AW476" i="3"/>
  <c r="AY476" i="3" s="1"/>
  <c r="BB475" i="3" l="1"/>
  <c r="BQ475" i="3"/>
  <c r="BD474" i="3"/>
  <c r="AO478" i="3"/>
  <c r="AG478" i="3"/>
  <c r="AW477" i="3"/>
  <c r="Y478" i="3"/>
  <c r="Z478" i="3" s="1"/>
  <c r="X478" i="3"/>
  <c r="AH478" i="3"/>
  <c r="BD475" i="3"/>
  <c r="BG475" i="3"/>
  <c r="BH475" i="3" s="1"/>
  <c r="BI475" i="3" s="1"/>
  <c r="AN478" i="3"/>
  <c r="AT478" i="3"/>
  <c r="AV476" i="3"/>
  <c r="BC476" i="3" s="1"/>
  <c r="BA476" i="3"/>
  <c r="AX477" i="3"/>
  <c r="AY477" i="3" s="1"/>
  <c r="AU477" i="3"/>
  <c r="AU478" i="3"/>
  <c r="D479" i="3"/>
  <c r="A480" i="3"/>
  <c r="B479" i="3"/>
  <c r="AQ479" i="3"/>
  <c r="C479" i="3"/>
  <c r="AR479" i="3"/>
  <c r="F479" i="3"/>
  <c r="BM479" i="3" s="1"/>
  <c r="G479" i="3"/>
  <c r="H479" i="3" s="1"/>
  <c r="BN479" i="3" s="1"/>
  <c r="Q479" i="3"/>
  <c r="S479" i="3"/>
  <c r="O479" i="3"/>
  <c r="U479" i="3"/>
  <c r="AM479" i="3"/>
  <c r="AE479" i="3"/>
  <c r="AK479" i="3"/>
  <c r="M479" i="3"/>
  <c r="AD479" i="3"/>
  <c r="AF479" i="3"/>
  <c r="V479" i="3"/>
  <c r="R479" i="3"/>
  <c r="T479" i="3"/>
  <c r="P479" i="3"/>
  <c r="AT477" i="3"/>
  <c r="BJ474" i="3"/>
  <c r="BK474" i="3" s="1"/>
  <c r="AO479" i="3" l="1"/>
  <c r="AH479" i="3"/>
  <c r="AG479" i="3"/>
  <c r="BQ476" i="3"/>
  <c r="BF476" i="3"/>
  <c r="BJ475" i="3" s="1"/>
  <c r="BK475" i="3" s="1"/>
  <c r="BB476" i="3"/>
  <c r="AN479" i="3"/>
  <c r="AX479" i="3" s="1"/>
  <c r="AR480" i="3"/>
  <c r="A481" i="3"/>
  <c r="C480" i="3"/>
  <c r="B480" i="3"/>
  <c r="AQ480" i="3"/>
  <c r="D480" i="3"/>
  <c r="G480" i="3"/>
  <c r="H480" i="3" s="1"/>
  <c r="BN480" i="3" s="1"/>
  <c r="F480" i="3"/>
  <c r="BM480" i="3" s="1"/>
  <c r="S480" i="3"/>
  <c r="Q480" i="3"/>
  <c r="O480" i="3"/>
  <c r="U480" i="3"/>
  <c r="AM480" i="3"/>
  <c r="AK480" i="3"/>
  <c r="AE480" i="3"/>
  <c r="M480" i="3"/>
  <c r="AD480" i="3"/>
  <c r="AF480" i="3"/>
  <c r="P480" i="3"/>
  <c r="V480" i="3"/>
  <c r="T480" i="3"/>
  <c r="R480" i="3"/>
  <c r="AX478" i="3"/>
  <c r="AV478" i="3"/>
  <c r="AV477" i="3"/>
  <c r="BC477" i="3" s="1"/>
  <c r="BA477" i="3"/>
  <c r="X479" i="3"/>
  <c r="BG476" i="3"/>
  <c r="BH476" i="3" s="1"/>
  <c r="BI476" i="3" s="1"/>
  <c r="BD476" i="3"/>
  <c r="Y479" i="3"/>
  <c r="Z479" i="3" s="1"/>
  <c r="AW478" i="3"/>
  <c r="AU479" i="3" l="1"/>
  <c r="AT479" i="3"/>
  <c r="AH480" i="3"/>
  <c r="AO480" i="3"/>
  <c r="AG480" i="3"/>
  <c r="X480" i="3"/>
  <c r="Y480" i="3"/>
  <c r="Z480" i="3" s="1"/>
  <c r="AY478" i="3"/>
  <c r="AN480" i="3"/>
  <c r="AX480" i="3" s="1"/>
  <c r="AV479" i="3"/>
  <c r="BC478" i="3"/>
  <c r="AT480" i="3"/>
  <c r="AW479" i="3"/>
  <c r="AY479" i="3" s="1"/>
  <c r="C481" i="3"/>
  <c r="AQ481" i="3"/>
  <c r="B481" i="3"/>
  <c r="A482" i="3"/>
  <c r="AR481" i="3"/>
  <c r="D481" i="3"/>
  <c r="F481" i="3"/>
  <c r="BM481" i="3" s="1"/>
  <c r="G481" i="3"/>
  <c r="H481" i="3" s="1"/>
  <c r="BN481" i="3" s="1"/>
  <c r="Q481" i="3"/>
  <c r="S481" i="3"/>
  <c r="O481" i="3"/>
  <c r="U481" i="3"/>
  <c r="AE481" i="3"/>
  <c r="AM481" i="3"/>
  <c r="AD481" i="3"/>
  <c r="AK481" i="3"/>
  <c r="M481" i="3"/>
  <c r="AF481" i="3"/>
  <c r="V481" i="3"/>
  <c r="R481" i="3"/>
  <c r="T481" i="3"/>
  <c r="P481" i="3"/>
  <c r="BF477" i="3"/>
  <c r="BJ476" i="3" s="1"/>
  <c r="BK476" i="3" s="1"/>
  <c r="BB477" i="3"/>
  <c r="BQ477" i="3"/>
  <c r="BD477" i="3"/>
  <c r="BG477" i="3"/>
  <c r="BH477" i="3" s="1"/>
  <c r="BI477" i="3" s="1"/>
  <c r="BA478" i="3"/>
  <c r="AU480" i="3" l="1"/>
  <c r="Y481" i="3"/>
  <c r="Z481" i="3" s="1"/>
  <c r="AN481" i="3"/>
  <c r="AG481" i="3"/>
  <c r="BD478" i="3"/>
  <c r="BG478" i="3"/>
  <c r="BH478" i="3" s="1"/>
  <c r="BI478" i="3" s="1"/>
  <c r="AH481" i="3"/>
  <c r="AX481" i="3" s="1"/>
  <c r="BB478" i="3"/>
  <c r="BQ478" i="3"/>
  <c r="BF478" i="3"/>
  <c r="BJ477" i="3" s="1"/>
  <c r="BK477" i="3" s="1"/>
  <c r="AQ482" i="3"/>
  <c r="D482" i="3"/>
  <c r="B482" i="3"/>
  <c r="A483" i="3"/>
  <c r="AR482" i="3"/>
  <c r="C482" i="3"/>
  <c r="G482" i="3"/>
  <c r="H482" i="3" s="1"/>
  <c r="BN482" i="3" s="1"/>
  <c r="F482" i="3"/>
  <c r="BM482" i="3" s="1"/>
  <c r="Q482" i="3"/>
  <c r="S482" i="3"/>
  <c r="O482" i="3"/>
  <c r="U482" i="3"/>
  <c r="AE482" i="3"/>
  <c r="AF482" i="3"/>
  <c r="AM482" i="3"/>
  <c r="AK482" i="3"/>
  <c r="AD482" i="3"/>
  <c r="M482" i="3"/>
  <c r="P482" i="3"/>
  <c r="R482" i="3"/>
  <c r="T482" i="3"/>
  <c r="V482" i="3"/>
  <c r="BC479" i="3"/>
  <c r="AO481" i="3"/>
  <c r="X481" i="3"/>
  <c r="BA479" i="3"/>
  <c r="AV480" i="3"/>
  <c r="AW480" i="3"/>
  <c r="AY480" i="3" s="1"/>
  <c r="AO482" i="3" l="1"/>
  <c r="AH482" i="3"/>
  <c r="X482" i="3"/>
  <c r="AN482" i="3"/>
  <c r="Y482" i="3"/>
  <c r="Z482" i="3" s="1"/>
  <c r="BA480" i="3"/>
  <c r="AG482" i="3"/>
  <c r="AW482" i="3" s="1"/>
  <c r="BF479" i="3"/>
  <c r="BJ478" i="3" s="1"/>
  <c r="BK478" i="3" s="1"/>
  <c r="BB479" i="3"/>
  <c r="BQ479" i="3"/>
  <c r="AU481" i="3"/>
  <c r="BD479" i="3"/>
  <c r="BG479" i="3"/>
  <c r="BH479" i="3" s="1"/>
  <c r="BI479" i="3" s="1"/>
  <c r="AR483" i="3"/>
  <c r="AQ483" i="3"/>
  <c r="A484" i="3"/>
  <c r="C483" i="3"/>
  <c r="B483" i="3"/>
  <c r="D483" i="3"/>
  <c r="F483" i="3"/>
  <c r="BM483" i="3" s="1"/>
  <c r="G483" i="3"/>
  <c r="H483" i="3" s="1"/>
  <c r="BN483" i="3" s="1"/>
  <c r="Q483" i="3"/>
  <c r="S483" i="3"/>
  <c r="O483" i="3"/>
  <c r="U483" i="3"/>
  <c r="M483" i="3"/>
  <c r="AK483" i="3"/>
  <c r="AE483" i="3"/>
  <c r="AD483" i="3"/>
  <c r="AF483" i="3"/>
  <c r="AM483" i="3"/>
  <c r="P483" i="3"/>
  <c r="R483" i="3"/>
  <c r="V483" i="3"/>
  <c r="T483" i="3"/>
  <c r="AW481" i="3"/>
  <c r="AY481" i="3" s="1"/>
  <c r="BC480" i="3"/>
  <c r="AT481" i="3"/>
  <c r="AN483" i="3" l="1"/>
  <c r="AX482" i="3"/>
  <c r="AT482" i="3"/>
  <c r="AH483" i="3"/>
  <c r="AO483" i="3"/>
  <c r="AG483" i="3"/>
  <c r="BA481" i="3"/>
  <c r="AV481" i="3"/>
  <c r="BC481" i="3" s="1"/>
  <c r="AT483" i="3"/>
  <c r="X483" i="3"/>
  <c r="AU483" i="3"/>
  <c r="AY482" i="3"/>
  <c r="B484" i="3"/>
  <c r="AQ484" i="3"/>
  <c r="AR484" i="3"/>
  <c r="A485" i="3"/>
  <c r="C484" i="3"/>
  <c r="D484" i="3"/>
  <c r="F484" i="3"/>
  <c r="BM484" i="3" s="1"/>
  <c r="G484" i="3"/>
  <c r="H484" i="3" s="1"/>
  <c r="BN484" i="3" s="1"/>
  <c r="Q484" i="3"/>
  <c r="S484" i="3"/>
  <c r="O484" i="3"/>
  <c r="U484" i="3"/>
  <c r="AK484" i="3"/>
  <c r="AM484" i="3"/>
  <c r="AD484" i="3"/>
  <c r="AF484" i="3"/>
  <c r="M484" i="3"/>
  <c r="AE484" i="3"/>
  <c r="T484" i="3"/>
  <c r="V484" i="3"/>
  <c r="P484" i="3"/>
  <c r="R484" i="3"/>
  <c r="BQ480" i="3"/>
  <c r="BF480" i="3"/>
  <c r="BJ479" i="3" s="1"/>
  <c r="BK479" i="3" s="1"/>
  <c r="BB480" i="3"/>
  <c r="BD480" i="3"/>
  <c r="BG480" i="3"/>
  <c r="BH480" i="3" s="1"/>
  <c r="BI480" i="3" s="1"/>
  <c r="Y483" i="3"/>
  <c r="Z483" i="3" s="1"/>
  <c r="AU482" i="3"/>
  <c r="AV482" i="3" s="1"/>
  <c r="AX483" i="3"/>
  <c r="AW483" i="3" l="1"/>
  <c r="AY483" i="3" s="1"/>
  <c r="AG484" i="3"/>
  <c r="AN484" i="3"/>
  <c r="BC482" i="3"/>
  <c r="BD482" i="3" s="1"/>
  <c r="Y484" i="3"/>
  <c r="Z484" i="3" s="1"/>
  <c r="BA482" i="3"/>
  <c r="B485" i="3"/>
  <c r="AQ485" i="3"/>
  <c r="A486" i="3"/>
  <c r="D485" i="3"/>
  <c r="C485" i="3"/>
  <c r="AR485" i="3"/>
  <c r="G485" i="3"/>
  <c r="H485" i="3" s="1"/>
  <c r="BN485" i="3" s="1"/>
  <c r="F485" i="3"/>
  <c r="BM485" i="3" s="1"/>
  <c r="Q485" i="3"/>
  <c r="S485" i="3"/>
  <c r="O485" i="3"/>
  <c r="U485" i="3"/>
  <c r="AK485" i="3"/>
  <c r="AD485" i="3"/>
  <c r="M485" i="3"/>
  <c r="AM485" i="3"/>
  <c r="AE485" i="3"/>
  <c r="AF485" i="3"/>
  <c r="P485" i="3"/>
  <c r="T485" i="3"/>
  <c r="V485" i="3"/>
  <c r="R485" i="3"/>
  <c r="AV483" i="3"/>
  <c r="BG481" i="3"/>
  <c r="BH481" i="3" s="1"/>
  <c r="BI481" i="3" s="1"/>
  <c r="BD481" i="3"/>
  <c r="AH484" i="3"/>
  <c r="BF481" i="3"/>
  <c r="BJ480" i="3" s="1"/>
  <c r="BK480" i="3" s="1"/>
  <c r="BB481" i="3"/>
  <c r="BQ481" i="3"/>
  <c r="AO484" i="3"/>
  <c r="X484" i="3"/>
  <c r="BA483" i="3" l="1"/>
  <c r="BC483" i="3"/>
  <c r="BD483" i="3" s="1"/>
  <c r="BG482" i="3"/>
  <c r="BH482" i="3" s="1"/>
  <c r="BI482" i="3" s="1"/>
  <c r="AN485" i="3"/>
  <c r="AX484" i="3"/>
  <c r="AG485" i="3"/>
  <c r="Y485" i="3"/>
  <c r="Z485" i="3" s="1"/>
  <c r="AW484" i="3"/>
  <c r="AY484" i="3" s="1"/>
  <c r="AT484" i="3"/>
  <c r="BQ483" i="3"/>
  <c r="BB483" i="3"/>
  <c r="BF483" i="3"/>
  <c r="AH485" i="3"/>
  <c r="X485" i="3"/>
  <c r="BQ482" i="3"/>
  <c r="BB482" i="3"/>
  <c r="BF482" i="3"/>
  <c r="BJ481" i="3" s="1"/>
  <c r="BK481" i="3" s="1"/>
  <c r="AQ486" i="3"/>
  <c r="B486" i="3"/>
  <c r="A487" i="3"/>
  <c r="AR486" i="3"/>
  <c r="D486" i="3"/>
  <c r="C486" i="3"/>
  <c r="G486" i="3"/>
  <c r="H486" i="3" s="1"/>
  <c r="BN486" i="3" s="1"/>
  <c r="F486" i="3"/>
  <c r="BM486" i="3" s="1"/>
  <c r="Q486" i="3"/>
  <c r="S486" i="3"/>
  <c r="O486" i="3"/>
  <c r="U486" i="3"/>
  <c r="AM486" i="3"/>
  <c r="M486" i="3"/>
  <c r="AD486" i="3"/>
  <c r="AF486" i="3"/>
  <c r="AK486" i="3"/>
  <c r="AE486" i="3"/>
  <c r="P486" i="3"/>
  <c r="T486" i="3"/>
  <c r="R486" i="3"/>
  <c r="V486" i="3"/>
  <c r="AO485" i="3"/>
  <c r="AU484" i="3"/>
  <c r="BG483" i="3" l="1"/>
  <c r="BH483" i="3" s="1"/>
  <c r="BI483" i="3" s="1"/>
  <c r="AO486" i="3"/>
  <c r="AX485" i="3"/>
  <c r="X486" i="3"/>
  <c r="AH486" i="3"/>
  <c r="AN486" i="3"/>
  <c r="AT485" i="3"/>
  <c r="BA484" i="3"/>
  <c r="AV484" i="3"/>
  <c r="BC484" i="3" s="1"/>
  <c r="AU485" i="3"/>
  <c r="B487" i="3"/>
  <c r="D487" i="3"/>
  <c r="AR487" i="3"/>
  <c r="AQ487" i="3"/>
  <c r="A488" i="3"/>
  <c r="C487" i="3"/>
  <c r="F487" i="3"/>
  <c r="BM487" i="3" s="1"/>
  <c r="G487" i="3"/>
  <c r="H487" i="3" s="1"/>
  <c r="BN487" i="3" s="1"/>
  <c r="Q487" i="3"/>
  <c r="S487" i="3"/>
  <c r="O487" i="3"/>
  <c r="U487" i="3"/>
  <c r="AD487" i="3"/>
  <c r="AE487" i="3"/>
  <c r="M487" i="3"/>
  <c r="AK487" i="3"/>
  <c r="AF487" i="3"/>
  <c r="AM487" i="3"/>
  <c r="V487" i="3"/>
  <c r="P487" i="3"/>
  <c r="T487" i="3"/>
  <c r="R487" i="3"/>
  <c r="AW485" i="3"/>
  <c r="BJ482" i="3"/>
  <c r="BK482" i="3" s="1"/>
  <c r="Y486" i="3"/>
  <c r="Z486" i="3" s="1"/>
  <c r="AG486" i="3"/>
  <c r="AY485" i="3" l="1"/>
  <c r="AG487" i="3"/>
  <c r="AX486" i="3"/>
  <c r="AW486" i="3"/>
  <c r="Y487" i="3"/>
  <c r="Z487" i="3" s="1"/>
  <c r="AO487" i="3"/>
  <c r="AH487" i="3"/>
  <c r="BA485" i="3"/>
  <c r="AV485" i="3"/>
  <c r="X487" i="3"/>
  <c r="BD484" i="3"/>
  <c r="BG484" i="3"/>
  <c r="BH484" i="3" s="1"/>
  <c r="BI484" i="3" s="1"/>
  <c r="AT486" i="3"/>
  <c r="AN487" i="3"/>
  <c r="BQ484" i="3"/>
  <c r="BF484" i="3"/>
  <c r="BJ483" i="3" s="1"/>
  <c r="BK483" i="3" s="1"/>
  <c r="BB484" i="3"/>
  <c r="AU487" i="3"/>
  <c r="AU486" i="3"/>
  <c r="AQ488" i="3"/>
  <c r="AR488" i="3"/>
  <c r="C488" i="3"/>
  <c r="D488" i="3"/>
  <c r="B488" i="3"/>
  <c r="A489" i="3"/>
  <c r="G488" i="3"/>
  <c r="H488" i="3" s="1"/>
  <c r="BN488" i="3" s="1"/>
  <c r="F488" i="3"/>
  <c r="BM488" i="3" s="1"/>
  <c r="Q488" i="3"/>
  <c r="S488" i="3"/>
  <c r="O488" i="3"/>
  <c r="U488" i="3"/>
  <c r="AK488" i="3"/>
  <c r="AO488" i="3" s="1"/>
  <c r="AD488" i="3"/>
  <c r="AF488" i="3"/>
  <c r="M488" i="3"/>
  <c r="AM488" i="3"/>
  <c r="AE488" i="3"/>
  <c r="V488" i="3"/>
  <c r="T488" i="3"/>
  <c r="P488" i="3"/>
  <c r="R488" i="3"/>
  <c r="BC485" i="3" l="1"/>
  <c r="AY486" i="3"/>
  <c r="AG488" i="3"/>
  <c r="X488" i="3"/>
  <c r="AQ489" i="3"/>
  <c r="B489" i="3"/>
  <c r="A490" i="3"/>
  <c r="AR489" i="3"/>
  <c r="D489" i="3"/>
  <c r="C489" i="3"/>
  <c r="G489" i="3"/>
  <c r="H489" i="3" s="1"/>
  <c r="BN489" i="3" s="1"/>
  <c r="F489" i="3"/>
  <c r="BM489" i="3" s="1"/>
  <c r="Q489" i="3"/>
  <c r="S489" i="3"/>
  <c r="O489" i="3"/>
  <c r="U489" i="3"/>
  <c r="AK489" i="3"/>
  <c r="M489" i="3"/>
  <c r="AE489" i="3"/>
  <c r="AM489" i="3"/>
  <c r="AF489" i="3"/>
  <c r="AD489" i="3"/>
  <c r="V489" i="3"/>
  <c r="P489" i="3"/>
  <c r="R489" i="3"/>
  <c r="T489" i="3"/>
  <c r="BB485" i="3"/>
  <c r="BF485" i="3"/>
  <c r="BJ484" i="3" s="1"/>
  <c r="BK484" i="3" s="1"/>
  <c r="BQ485" i="3"/>
  <c r="AH488" i="3"/>
  <c r="AW487" i="3"/>
  <c r="AX487" i="3"/>
  <c r="AV486" i="3"/>
  <c r="BA486" i="3"/>
  <c r="AT487" i="3"/>
  <c r="BD485" i="3"/>
  <c r="BG485" i="3"/>
  <c r="BH485" i="3" s="1"/>
  <c r="BI485" i="3" s="1"/>
  <c r="Y488" i="3"/>
  <c r="Z488" i="3" s="1"/>
  <c r="AN488" i="3"/>
  <c r="AU488" i="3" l="1"/>
  <c r="BC486" i="3"/>
  <c r="AY487" i="3"/>
  <c r="AN489" i="3"/>
  <c r="AH489" i="3"/>
  <c r="Y489" i="3"/>
  <c r="Z489" i="3" s="1"/>
  <c r="BD486" i="3"/>
  <c r="BG486" i="3"/>
  <c r="BH486" i="3" s="1"/>
  <c r="BI486" i="3" s="1"/>
  <c r="AG489" i="3"/>
  <c r="AT489" i="3" s="1"/>
  <c r="AW488" i="3"/>
  <c r="AX488" i="3"/>
  <c r="AO489" i="3"/>
  <c r="AX489" i="3" s="1"/>
  <c r="AR490" i="3"/>
  <c r="B490" i="3"/>
  <c r="A491" i="3"/>
  <c r="AQ490" i="3"/>
  <c r="D490" i="3"/>
  <c r="C490" i="3"/>
  <c r="F490" i="3"/>
  <c r="BM490" i="3" s="1"/>
  <c r="G490" i="3"/>
  <c r="H490" i="3" s="1"/>
  <c r="BN490" i="3" s="1"/>
  <c r="S490" i="3"/>
  <c r="Q490" i="3"/>
  <c r="O490" i="3"/>
  <c r="U490" i="3"/>
  <c r="AE490" i="3"/>
  <c r="AD490" i="3"/>
  <c r="AM490" i="3"/>
  <c r="M490" i="3"/>
  <c r="AF490" i="3"/>
  <c r="AK490" i="3"/>
  <c r="V490" i="3"/>
  <c r="T490" i="3"/>
  <c r="R490" i="3"/>
  <c r="P490" i="3"/>
  <c r="AT488" i="3"/>
  <c r="AV487" i="3"/>
  <c r="BA487" i="3"/>
  <c r="X489" i="3"/>
  <c r="BB486" i="3"/>
  <c r="BQ486" i="3"/>
  <c r="BF486" i="3"/>
  <c r="BJ485" i="3" s="1"/>
  <c r="BK485" i="3" s="1"/>
  <c r="BC487" i="3" l="1"/>
  <c r="AO490" i="3"/>
  <c r="X490" i="3"/>
  <c r="BA488" i="3"/>
  <c r="AV488" i="3"/>
  <c r="AN490" i="3"/>
  <c r="Y490" i="3"/>
  <c r="Z490" i="3" s="1"/>
  <c r="AH490" i="3"/>
  <c r="AV489" i="3"/>
  <c r="AR491" i="3"/>
  <c r="B491" i="3"/>
  <c r="AQ491" i="3"/>
  <c r="A492" i="3"/>
  <c r="D491" i="3"/>
  <c r="C491" i="3"/>
  <c r="F491" i="3"/>
  <c r="BM491" i="3" s="1"/>
  <c r="G491" i="3"/>
  <c r="H491" i="3" s="1"/>
  <c r="BN491" i="3" s="1"/>
  <c r="Q491" i="3"/>
  <c r="S491" i="3"/>
  <c r="O491" i="3"/>
  <c r="U491" i="3"/>
  <c r="AD491" i="3"/>
  <c r="AE491" i="3"/>
  <c r="AM491" i="3"/>
  <c r="M491" i="3"/>
  <c r="AK491" i="3"/>
  <c r="AO491" i="3" s="1"/>
  <c r="AF491" i="3"/>
  <c r="V491" i="3"/>
  <c r="P491" i="3"/>
  <c r="R491" i="3"/>
  <c r="T491" i="3"/>
  <c r="AW489" i="3"/>
  <c r="AY489" i="3" s="1"/>
  <c r="AG490" i="3"/>
  <c r="AY488" i="3"/>
  <c r="BQ487" i="3"/>
  <c r="BB487" i="3"/>
  <c r="BF487" i="3"/>
  <c r="BJ486" i="3" s="1"/>
  <c r="BK486" i="3" s="1"/>
  <c r="AU489" i="3"/>
  <c r="BD487" i="3"/>
  <c r="BG487" i="3"/>
  <c r="BH487" i="3" s="1"/>
  <c r="BI487" i="3" s="1"/>
  <c r="AW490" i="3" l="1"/>
  <c r="AH491" i="3"/>
  <c r="BA489" i="3"/>
  <c r="BF489" i="3" s="1"/>
  <c r="X491" i="3"/>
  <c r="Y491" i="3"/>
  <c r="Z491" i="3" s="1"/>
  <c r="BC489" i="3"/>
  <c r="AG491" i="3"/>
  <c r="AN491" i="3"/>
  <c r="A493" i="3"/>
  <c r="B492" i="3"/>
  <c r="AR492" i="3"/>
  <c r="AQ492" i="3"/>
  <c r="D492" i="3"/>
  <c r="C492" i="3"/>
  <c r="F492" i="3"/>
  <c r="BM492" i="3" s="1"/>
  <c r="G492" i="3"/>
  <c r="H492" i="3" s="1"/>
  <c r="BN492" i="3" s="1"/>
  <c r="Q492" i="3"/>
  <c r="S492" i="3"/>
  <c r="O492" i="3"/>
  <c r="U492" i="3"/>
  <c r="AK492" i="3"/>
  <c r="AE492" i="3"/>
  <c r="AD492" i="3"/>
  <c r="M492" i="3"/>
  <c r="AM492" i="3"/>
  <c r="AF492" i="3"/>
  <c r="V492" i="3"/>
  <c r="P492" i="3"/>
  <c r="T492" i="3"/>
  <c r="R492" i="3"/>
  <c r="AT490" i="3"/>
  <c r="AU490" i="3"/>
  <c r="BC488" i="3"/>
  <c r="AX490" i="3"/>
  <c r="BB488" i="3"/>
  <c r="BQ488" i="3"/>
  <c r="BF488" i="3"/>
  <c r="BJ487" i="3" s="1"/>
  <c r="BK487" i="3" s="1"/>
  <c r="AY490" i="3" l="1"/>
  <c r="AN492" i="3"/>
  <c r="BQ489" i="3"/>
  <c r="BB489" i="3"/>
  <c r="AX491" i="3"/>
  <c r="AW491" i="3"/>
  <c r="AG492" i="3"/>
  <c r="AH492" i="3"/>
  <c r="BD489" i="3"/>
  <c r="BG489" i="3"/>
  <c r="BH489" i="3" s="1"/>
  <c r="BI489" i="3" s="1"/>
  <c r="AO492" i="3"/>
  <c r="X492" i="3"/>
  <c r="AU491" i="3"/>
  <c r="BD488" i="3"/>
  <c r="BG488" i="3"/>
  <c r="BH488" i="3" s="1"/>
  <c r="BI488" i="3" s="1"/>
  <c r="AV490" i="3"/>
  <c r="BC490" i="3" s="1"/>
  <c r="BA490" i="3"/>
  <c r="AT492" i="3"/>
  <c r="AQ493" i="3"/>
  <c r="AR493" i="3"/>
  <c r="C493" i="3"/>
  <c r="A494" i="3"/>
  <c r="B493" i="3"/>
  <c r="D493" i="3"/>
  <c r="G493" i="3"/>
  <c r="H493" i="3" s="1"/>
  <c r="BN493" i="3" s="1"/>
  <c r="F493" i="3"/>
  <c r="BM493" i="3" s="1"/>
  <c r="Q493" i="3"/>
  <c r="S493" i="3"/>
  <c r="O493" i="3"/>
  <c r="U493" i="3"/>
  <c r="AK493" i="3"/>
  <c r="AD493" i="3"/>
  <c r="AF493" i="3"/>
  <c r="M493" i="3"/>
  <c r="AM493" i="3"/>
  <c r="AE493" i="3"/>
  <c r="P493" i="3"/>
  <c r="T493" i="3"/>
  <c r="R493" i="3"/>
  <c r="V493" i="3"/>
  <c r="Y492" i="3"/>
  <c r="Z492" i="3" s="1"/>
  <c r="AT491" i="3"/>
  <c r="BJ488" i="3"/>
  <c r="BK488" i="3" s="1"/>
  <c r="AU492" i="3" l="1"/>
  <c r="AV492" i="3" s="1"/>
  <c r="AY491" i="3"/>
  <c r="AN493" i="3"/>
  <c r="AH493" i="3"/>
  <c r="AO493" i="3"/>
  <c r="Y493" i="3"/>
  <c r="Z493" i="3" s="1"/>
  <c r="X493" i="3"/>
  <c r="B494" i="3"/>
  <c r="A495" i="3"/>
  <c r="AQ494" i="3"/>
  <c r="D494" i="3"/>
  <c r="C494" i="3"/>
  <c r="AR494" i="3"/>
  <c r="G494" i="3"/>
  <c r="H494" i="3" s="1"/>
  <c r="BN494" i="3" s="1"/>
  <c r="F494" i="3"/>
  <c r="BM494" i="3" s="1"/>
  <c r="Q494" i="3"/>
  <c r="S494" i="3"/>
  <c r="O494" i="3"/>
  <c r="U494" i="3"/>
  <c r="AE494" i="3"/>
  <c r="AD494" i="3"/>
  <c r="AM494" i="3"/>
  <c r="AK494" i="3"/>
  <c r="AF494" i="3"/>
  <c r="M494" i="3"/>
  <c r="R494" i="3"/>
  <c r="P494" i="3"/>
  <c r="V494" i="3"/>
  <c r="T494" i="3"/>
  <c r="BB490" i="3"/>
  <c r="BQ490" i="3"/>
  <c r="BF490" i="3"/>
  <c r="BJ489" i="3" s="1"/>
  <c r="BK489" i="3" s="1"/>
  <c r="AV491" i="3"/>
  <c r="BA491" i="3"/>
  <c r="AX492" i="3"/>
  <c r="BD490" i="3"/>
  <c r="BG490" i="3"/>
  <c r="BH490" i="3" s="1"/>
  <c r="BI490" i="3" s="1"/>
  <c r="AG493" i="3"/>
  <c r="AW492" i="3"/>
  <c r="AY492" i="3" s="1"/>
  <c r="AO494" i="3" l="1"/>
  <c r="AW493" i="3"/>
  <c r="BC491" i="3"/>
  <c r="BD491" i="3" s="1"/>
  <c r="AG494" i="3"/>
  <c r="AH494" i="3"/>
  <c r="C495" i="3"/>
  <c r="A496" i="3"/>
  <c r="D495" i="3"/>
  <c r="B495" i="3"/>
  <c r="AR495" i="3"/>
  <c r="AQ495" i="3"/>
  <c r="G495" i="3"/>
  <c r="H495" i="3" s="1"/>
  <c r="BN495" i="3" s="1"/>
  <c r="F495" i="3"/>
  <c r="BM495" i="3" s="1"/>
  <c r="Q495" i="3"/>
  <c r="S495" i="3"/>
  <c r="O495" i="3"/>
  <c r="U495" i="3"/>
  <c r="AM495" i="3"/>
  <c r="AK495" i="3"/>
  <c r="M495" i="3"/>
  <c r="AE495" i="3"/>
  <c r="AD495" i="3"/>
  <c r="AF495" i="3"/>
  <c r="R495" i="3"/>
  <c r="T495" i="3"/>
  <c r="P495" i="3"/>
  <c r="V495" i="3"/>
  <c r="AU493" i="3"/>
  <c r="Y494" i="3"/>
  <c r="Z494" i="3" s="1"/>
  <c r="BC492" i="3"/>
  <c r="AT493" i="3"/>
  <c r="X494" i="3"/>
  <c r="AN494" i="3"/>
  <c r="BA492" i="3"/>
  <c r="BQ491" i="3"/>
  <c r="BB491" i="3"/>
  <c r="BF491" i="3"/>
  <c r="BJ490" i="3" s="1"/>
  <c r="BK490" i="3" s="1"/>
  <c r="AX493" i="3"/>
  <c r="AY493" i="3" s="1"/>
  <c r="BG491" i="3" l="1"/>
  <c r="BH491" i="3" s="1"/>
  <c r="BI491" i="3" s="1"/>
  <c r="AT494" i="3"/>
  <c r="AO495" i="3"/>
  <c r="AX494" i="3"/>
  <c r="AU494" i="3"/>
  <c r="AV494" i="3" s="1"/>
  <c r="AV493" i="3"/>
  <c r="BC493" i="3" s="1"/>
  <c r="BA493" i="3"/>
  <c r="AH495" i="3"/>
  <c r="BD492" i="3"/>
  <c r="BG492" i="3"/>
  <c r="BH492" i="3" s="1"/>
  <c r="BI492" i="3" s="1"/>
  <c r="AG495" i="3"/>
  <c r="AW495" i="3" s="1"/>
  <c r="X495" i="3"/>
  <c r="B496" i="3"/>
  <c r="AQ496" i="3"/>
  <c r="AR496" i="3"/>
  <c r="A497" i="3"/>
  <c r="C496" i="3"/>
  <c r="D496" i="3"/>
  <c r="G496" i="3"/>
  <c r="H496" i="3" s="1"/>
  <c r="BN496" i="3" s="1"/>
  <c r="F496" i="3"/>
  <c r="BM496" i="3" s="1"/>
  <c r="S496" i="3"/>
  <c r="Q496" i="3"/>
  <c r="O496" i="3"/>
  <c r="U496" i="3"/>
  <c r="M496" i="3"/>
  <c r="AM496" i="3"/>
  <c r="AK496" i="3"/>
  <c r="AE496" i="3"/>
  <c r="AF496" i="3"/>
  <c r="AD496" i="3"/>
  <c r="R496" i="3"/>
  <c r="T496" i="3"/>
  <c r="P496" i="3"/>
  <c r="V496" i="3"/>
  <c r="Y495" i="3"/>
  <c r="Z495" i="3" s="1"/>
  <c r="AN495" i="3"/>
  <c r="BQ492" i="3"/>
  <c r="BF492" i="3"/>
  <c r="BJ491" i="3" s="1"/>
  <c r="BK491" i="3" s="1"/>
  <c r="BB492" i="3"/>
  <c r="AW494" i="3"/>
  <c r="AY494" i="3" l="1"/>
  <c r="BC494" i="3" s="1"/>
  <c r="AO496" i="3"/>
  <c r="AT495" i="3"/>
  <c r="AH496" i="3"/>
  <c r="AU495" i="3"/>
  <c r="AG496" i="3"/>
  <c r="X496" i="3"/>
  <c r="D497" i="3"/>
  <c r="AQ497" i="3"/>
  <c r="B497" i="3"/>
  <c r="A498" i="3"/>
  <c r="AR497" i="3"/>
  <c r="C497" i="3"/>
  <c r="G497" i="3"/>
  <c r="H497" i="3" s="1"/>
  <c r="BN497" i="3" s="1"/>
  <c r="F497" i="3"/>
  <c r="BM497" i="3" s="1"/>
  <c r="Q497" i="3"/>
  <c r="S497" i="3"/>
  <c r="O497" i="3"/>
  <c r="U497" i="3"/>
  <c r="AE497" i="3"/>
  <c r="AK497" i="3"/>
  <c r="M497" i="3"/>
  <c r="AM497" i="3"/>
  <c r="AF497" i="3"/>
  <c r="AD497" i="3"/>
  <c r="R497" i="3"/>
  <c r="P497" i="3"/>
  <c r="V497" i="3"/>
  <c r="T497" i="3"/>
  <c r="AN496" i="3"/>
  <c r="AX495" i="3"/>
  <c r="AY495" i="3" s="1"/>
  <c r="Y496" i="3"/>
  <c r="Z496" i="3" s="1"/>
  <c r="BF493" i="3"/>
  <c r="BJ492" i="3" s="1"/>
  <c r="BK492" i="3" s="1"/>
  <c r="BB493" i="3"/>
  <c r="BQ493" i="3"/>
  <c r="BA494" i="3"/>
  <c r="BD493" i="3"/>
  <c r="BG493" i="3"/>
  <c r="BH493" i="3" s="1"/>
  <c r="BI493" i="3" s="1"/>
  <c r="AU496" i="3" l="1"/>
  <c r="AX496" i="3"/>
  <c r="AT496" i="3"/>
  <c r="AV496" i="3" s="1"/>
  <c r="AN497" i="3"/>
  <c r="AV495" i="3"/>
  <c r="BC495" i="3" s="1"/>
  <c r="Y497" i="3"/>
  <c r="Z497" i="3" s="1"/>
  <c r="AQ498" i="3"/>
  <c r="D498" i="3"/>
  <c r="B498" i="3"/>
  <c r="A499" i="3"/>
  <c r="AR498" i="3"/>
  <c r="C498" i="3"/>
  <c r="G498" i="3"/>
  <c r="H498" i="3" s="1"/>
  <c r="BN498" i="3" s="1"/>
  <c r="F498" i="3"/>
  <c r="BM498" i="3" s="1"/>
  <c r="Q498" i="3"/>
  <c r="S498" i="3"/>
  <c r="O498" i="3"/>
  <c r="U498" i="3"/>
  <c r="M498" i="3"/>
  <c r="AD498" i="3"/>
  <c r="AK498" i="3"/>
  <c r="AE498" i="3"/>
  <c r="AF498" i="3"/>
  <c r="AM498" i="3"/>
  <c r="V498" i="3"/>
  <c r="T498" i="3"/>
  <c r="P498" i="3"/>
  <c r="R498" i="3"/>
  <c r="AH497" i="3"/>
  <c r="BA495" i="3"/>
  <c r="AO497" i="3"/>
  <c r="X497" i="3"/>
  <c r="AG497" i="3"/>
  <c r="BQ494" i="3"/>
  <c r="BB494" i="3"/>
  <c r="BF494" i="3"/>
  <c r="BJ493" i="3" s="1"/>
  <c r="BK493" i="3" s="1"/>
  <c r="BD494" i="3"/>
  <c r="BG494" i="3"/>
  <c r="BH494" i="3" s="1"/>
  <c r="BI494" i="3" s="1"/>
  <c r="AW496" i="3"/>
  <c r="AY496" i="3" s="1"/>
  <c r="AN498" i="3" l="1"/>
  <c r="BA496" i="3"/>
  <c r="BB496" i="3" s="1"/>
  <c r="BC496" i="3"/>
  <c r="BD496" i="3" s="1"/>
  <c r="AG498" i="3"/>
  <c r="BD495" i="3"/>
  <c r="BG495" i="3"/>
  <c r="BH495" i="3" s="1"/>
  <c r="BI495" i="3" s="1"/>
  <c r="AO498" i="3"/>
  <c r="BQ495" i="3"/>
  <c r="BB495" i="3"/>
  <c r="BF495" i="3"/>
  <c r="BJ494" i="3" s="1"/>
  <c r="BK494" i="3" s="1"/>
  <c r="AR499" i="3"/>
  <c r="AQ499" i="3"/>
  <c r="A500" i="3"/>
  <c r="D499" i="3"/>
  <c r="B499" i="3"/>
  <c r="C499" i="3"/>
  <c r="F499" i="3"/>
  <c r="BM499" i="3" s="1"/>
  <c r="G499" i="3"/>
  <c r="H499" i="3" s="1"/>
  <c r="BN499" i="3" s="1"/>
  <c r="Q499" i="3"/>
  <c r="S499" i="3"/>
  <c r="O499" i="3"/>
  <c r="U499" i="3"/>
  <c r="AD499" i="3"/>
  <c r="AK499" i="3"/>
  <c r="AE499" i="3"/>
  <c r="AF499" i="3"/>
  <c r="M499" i="3"/>
  <c r="AM499" i="3"/>
  <c r="R499" i="3"/>
  <c r="T499" i="3"/>
  <c r="V499" i="3"/>
  <c r="P499" i="3"/>
  <c r="AX497" i="3"/>
  <c r="X498" i="3"/>
  <c r="Y498" i="3"/>
  <c r="Z498" i="3" s="1"/>
  <c r="AH498" i="3"/>
  <c r="AT497" i="3"/>
  <c r="AU497" i="3"/>
  <c r="AW497" i="3"/>
  <c r="BQ496" i="3" l="1"/>
  <c r="BG496" i="3"/>
  <c r="BH496" i="3" s="1"/>
  <c r="BI496" i="3" s="1"/>
  <c r="AY497" i="3"/>
  <c r="AX498" i="3"/>
  <c r="BF496" i="3"/>
  <c r="AU498" i="3"/>
  <c r="Y499" i="3"/>
  <c r="Z499" i="3" s="1"/>
  <c r="AO499" i="3"/>
  <c r="AG499" i="3"/>
  <c r="BA497" i="3"/>
  <c r="AV497" i="3"/>
  <c r="BC497" i="3" s="1"/>
  <c r="AN499" i="3"/>
  <c r="X499" i="3"/>
  <c r="AT498" i="3"/>
  <c r="AH499" i="3"/>
  <c r="AW498" i="3"/>
  <c r="AQ500" i="3"/>
  <c r="C500" i="3"/>
  <c r="A501" i="3"/>
  <c r="D500" i="3"/>
  <c r="B500" i="3"/>
  <c r="AR500" i="3"/>
  <c r="F500" i="3"/>
  <c r="BM500" i="3" s="1"/>
  <c r="G500" i="3"/>
  <c r="H500" i="3" s="1"/>
  <c r="Q500" i="3"/>
  <c r="S500" i="3"/>
  <c r="O500" i="3"/>
  <c r="U500" i="3"/>
  <c r="AD500" i="3"/>
  <c r="AE500" i="3"/>
  <c r="AM500" i="3"/>
  <c r="M500" i="3"/>
  <c r="AF500" i="3"/>
  <c r="AK500" i="3"/>
  <c r="P500" i="3"/>
  <c r="V500" i="3"/>
  <c r="R500" i="3"/>
  <c r="T500" i="3"/>
  <c r="BJ495" i="3"/>
  <c r="BK495" i="3" s="1"/>
  <c r="AO500" i="3" l="1"/>
  <c r="AY498" i="3"/>
  <c r="AG500" i="3"/>
  <c r="AX499" i="3"/>
  <c r="BN500" i="3"/>
  <c r="AH500" i="3"/>
  <c r="AU500" i="3" s="1"/>
  <c r="B501" i="3"/>
  <c r="C501" i="3"/>
  <c r="D501" i="3"/>
  <c r="AR501" i="3"/>
  <c r="AQ501" i="3"/>
  <c r="A502" i="3"/>
  <c r="F501" i="3"/>
  <c r="BM501" i="3" s="1"/>
  <c r="G501" i="3"/>
  <c r="H501" i="3" s="1"/>
  <c r="BN501" i="3" s="1"/>
  <c r="Q501" i="3"/>
  <c r="S501" i="3"/>
  <c r="O501" i="3"/>
  <c r="U501" i="3"/>
  <c r="AK501" i="3"/>
  <c r="AM501" i="3"/>
  <c r="AD501" i="3"/>
  <c r="M501" i="3"/>
  <c r="AF501" i="3"/>
  <c r="AE501" i="3"/>
  <c r="P501" i="3"/>
  <c r="V501" i="3"/>
  <c r="R501" i="3"/>
  <c r="T501" i="3"/>
  <c r="BD497" i="3"/>
  <c r="BG497" i="3"/>
  <c r="BH497" i="3" s="1"/>
  <c r="BI497" i="3" s="1"/>
  <c r="Y500" i="3"/>
  <c r="Z500" i="3" s="1"/>
  <c r="AU499" i="3"/>
  <c r="BB497" i="3"/>
  <c r="BF497" i="3"/>
  <c r="BJ496" i="3" s="1"/>
  <c r="BK496" i="3" s="1"/>
  <c r="BQ497" i="3"/>
  <c r="AN500" i="3"/>
  <c r="X500" i="3"/>
  <c r="AV498" i="3"/>
  <c r="BA498" i="3"/>
  <c r="AT499" i="3"/>
  <c r="AW499" i="3"/>
  <c r="AY499" i="3" s="1"/>
  <c r="BC498" i="3" l="1"/>
  <c r="BG498" i="3" s="1"/>
  <c r="BH498" i="3" s="1"/>
  <c r="BI498" i="3" s="1"/>
  <c r="AG501" i="3"/>
  <c r="AT500" i="3"/>
  <c r="AV500" i="3" s="1"/>
  <c r="AN501" i="3"/>
  <c r="Y501" i="3"/>
  <c r="Z501" i="3" s="1"/>
  <c r="AQ502" i="3"/>
  <c r="AR502" i="3"/>
  <c r="C502" i="3"/>
  <c r="D502" i="3"/>
  <c r="B502" i="3"/>
  <c r="A503" i="3"/>
  <c r="G502" i="3"/>
  <c r="H502" i="3" s="1"/>
  <c r="BN502" i="3" s="1"/>
  <c r="F502" i="3"/>
  <c r="BM502" i="3" s="1"/>
  <c r="Q502" i="3"/>
  <c r="S502" i="3"/>
  <c r="O502" i="3"/>
  <c r="U502" i="3"/>
  <c r="AK502" i="3"/>
  <c r="AD502" i="3"/>
  <c r="AE502" i="3"/>
  <c r="AM502" i="3"/>
  <c r="AF502" i="3"/>
  <c r="M502" i="3"/>
  <c r="R502" i="3"/>
  <c r="P502" i="3"/>
  <c r="T502" i="3"/>
  <c r="V502" i="3"/>
  <c r="BA499" i="3"/>
  <c r="AV499" i="3"/>
  <c r="BC499" i="3" s="1"/>
  <c r="AH501" i="3"/>
  <c r="AX500" i="3"/>
  <c r="AO501" i="3"/>
  <c r="X501" i="3"/>
  <c r="BQ498" i="3"/>
  <c r="BF498" i="3"/>
  <c r="BJ497" i="3" s="1"/>
  <c r="BK497" i="3" s="1"/>
  <c r="BB498" i="3"/>
  <c r="AW500" i="3"/>
  <c r="BD498" i="3" l="1"/>
  <c r="AN502" i="3"/>
  <c r="Y502" i="3"/>
  <c r="Z502" i="3" s="1"/>
  <c r="BA500" i="3"/>
  <c r="BF500" i="3" s="1"/>
  <c r="AX501" i="3"/>
  <c r="AU501" i="3"/>
  <c r="AG502" i="3"/>
  <c r="AY500" i="3"/>
  <c r="BC500" i="3" s="1"/>
  <c r="BD499" i="3"/>
  <c r="BG499" i="3"/>
  <c r="BH499" i="3" s="1"/>
  <c r="BI499" i="3" s="1"/>
  <c r="AH502" i="3"/>
  <c r="AT502" i="3" s="1"/>
  <c r="X502" i="3"/>
  <c r="BF499" i="3"/>
  <c r="BJ498" i="3" s="1"/>
  <c r="BK498" i="3" s="1"/>
  <c r="BQ499" i="3"/>
  <c r="BB499" i="3"/>
  <c r="AO502" i="3"/>
  <c r="AU502" i="3"/>
  <c r="BB500" i="3"/>
  <c r="BQ500" i="3"/>
  <c r="AT501" i="3"/>
  <c r="B503" i="3"/>
  <c r="C503" i="3"/>
  <c r="AR503" i="3"/>
  <c r="AQ503" i="3"/>
  <c r="A504" i="3"/>
  <c r="D503" i="3"/>
  <c r="F503" i="3"/>
  <c r="BM503" i="3" s="1"/>
  <c r="G503" i="3"/>
  <c r="H503" i="3" s="1"/>
  <c r="BN503" i="3" s="1"/>
  <c r="Q503" i="3"/>
  <c r="S503" i="3"/>
  <c r="O503" i="3"/>
  <c r="U503" i="3"/>
  <c r="AK503" i="3"/>
  <c r="AD503" i="3"/>
  <c r="AF503" i="3"/>
  <c r="AM503" i="3"/>
  <c r="M503" i="3"/>
  <c r="AE503" i="3"/>
  <c r="P503" i="3"/>
  <c r="T503" i="3"/>
  <c r="V503" i="3"/>
  <c r="R503" i="3"/>
  <c r="AW501" i="3"/>
  <c r="AY501" i="3" s="1"/>
  <c r="BJ499" i="3" l="1"/>
  <c r="BK499" i="3" s="1"/>
  <c r="AO503" i="3"/>
  <c r="BD500" i="3"/>
  <c r="BG500" i="3"/>
  <c r="BH500" i="3" s="1"/>
  <c r="BI500" i="3" s="1"/>
  <c r="AG503" i="3"/>
  <c r="AX502" i="3"/>
  <c r="AQ504" i="3"/>
  <c r="AR504" i="3"/>
  <c r="D504" i="3"/>
  <c r="C504" i="3"/>
  <c r="B504" i="3"/>
  <c r="A505" i="3"/>
  <c r="F504" i="3"/>
  <c r="BM504" i="3" s="1"/>
  <c r="G504" i="3"/>
  <c r="H504" i="3" s="1"/>
  <c r="Q504" i="3"/>
  <c r="S504" i="3"/>
  <c r="O504" i="3"/>
  <c r="U504" i="3"/>
  <c r="AD504" i="3"/>
  <c r="AF504" i="3"/>
  <c r="AE504" i="3"/>
  <c r="AM504" i="3"/>
  <c r="M504" i="3"/>
  <c r="AK504" i="3"/>
  <c r="R504" i="3"/>
  <c r="V504" i="3"/>
  <c r="P504" i="3"/>
  <c r="T504" i="3"/>
  <c r="Y503" i="3"/>
  <c r="Z503" i="3" s="1"/>
  <c r="BA501" i="3"/>
  <c r="AV501" i="3"/>
  <c r="BC501" i="3" s="1"/>
  <c r="X503" i="3"/>
  <c r="AV502" i="3"/>
  <c r="AN503" i="3"/>
  <c r="AW502" i="3"/>
  <c r="AH503" i="3"/>
  <c r="BA502" i="3" l="1"/>
  <c r="BN504" i="3"/>
  <c r="AY502" i="3"/>
  <c r="BC502" i="3" s="1"/>
  <c r="AO504" i="3"/>
  <c r="AW503" i="3"/>
  <c r="X504" i="3"/>
  <c r="BD501" i="3"/>
  <c r="BG501" i="3"/>
  <c r="BH501" i="3" s="1"/>
  <c r="BI501" i="3" s="1"/>
  <c r="Y504" i="3"/>
  <c r="Z504" i="3" s="1"/>
  <c r="AH504" i="3"/>
  <c r="BB502" i="3"/>
  <c r="BF502" i="3"/>
  <c r="BQ502" i="3"/>
  <c r="AG504" i="3"/>
  <c r="AW504" i="3" s="1"/>
  <c r="BQ501" i="3"/>
  <c r="BB501" i="3"/>
  <c r="BF501" i="3"/>
  <c r="AQ505" i="3"/>
  <c r="B505" i="3"/>
  <c r="A506" i="3"/>
  <c r="AR505" i="3"/>
  <c r="D505" i="3"/>
  <c r="C505" i="3"/>
  <c r="F505" i="3"/>
  <c r="BM505" i="3" s="1"/>
  <c r="G505" i="3"/>
  <c r="H505" i="3" s="1"/>
  <c r="BN505" i="3" s="1"/>
  <c r="S505" i="3"/>
  <c r="Q505" i="3"/>
  <c r="O505" i="3"/>
  <c r="U505" i="3"/>
  <c r="AM505" i="3"/>
  <c r="AN505" i="3" s="1"/>
  <c r="AE505" i="3"/>
  <c r="M505" i="3"/>
  <c r="AF505" i="3"/>
  <c r="AD505" i="3"/>
  <c r="AK505" i="3"/>
  <c r="V505" i="3"/>
  <c r="T505" i="3"/>
  <c r="R505" i="3"/>
  <c r="P505" i="3"/>
  <c r="AN504" i="3"/>
  <c r="AX503" i="3"/>
  <c r="AY503" i="3" s="1"/>
  <c r="AT503" i="3"/>
  <c r="AU503" i="3"/>
  <c r="BD502" i="3" l="1"/>
  <c r="BG502" i="3"/>
  <c r="BH502" i="3" s="1"/>
  <c r="BI502" i="3" s="1"/>
  <c r="X505" i="3"/>
  <c r="AG505" i="3"/>
  <c r="AT504" i="3"/>
  <c r="BJ501" i="3"/>
  <c r="BK501" i="3" s="1"/>
  <c r="BJ500" i="3"/>
  <c r="BK500" i="3" s="1"/>
  <c r="AX504" i="3"/>
  <c r="AY504" i="3" s="1"/>
  <c r="Y505" i="3"/>
  <c r="Z505" i="3" s="1"/>
  <c r="AR506" i="3"/>
  <c r="B506" i="3"/>
  <c r="A507" i="3"/>
  <c r="AQ506" i="3"/>
  <c r="C506" i="3"/>
  <c r="D506" i="3"/>
  <c r="F506" i="3"/>
  <c r="BM506" i="3" s="1"/>
  <c r="G506" i="3"/>
  <c r="H506" i="3" s="1"/>
  <c r="BN506" i="3" s="1"/>
  <c r="Q506" i="3"/>
  <c r="S506" i="3"/>
  <c r="O506" i="3"/>
  <c r="U506" i="3"/>
  <c r="AM506" i="3"/>
  <c r="AK506" i="3"/>
  <c r="AF506" i="3"/>
  <c r="M506" i="3"/>
  <c r="AD506" i="3"/>
  <c r="AE506" i="3"/>
  <c r="T506" i="3"/>
  <c r="P506" i="3"/>
  <c r="V506" i="3"/>
  <c r="R506" i="3"/>
  <c r="AU504" i="3"/>
  <c r="BA503" i="3"/>
  <c r="AV503" i="3"/>
  <c r="BC503" i="3" s="1"/>
  <c r="AO505" i="3"/>
  <c r="AH505" i="3"/>
  <c r="AT505" i="3" l="1"/>
  <c r="AX505" i="3"/>
  <c r="AH506" i="3"/>
  <c r="AO506" i="3"/>
  <c r="Y506" i="3"/>
  <c r="Z506" i="3" s="1"/>
  <c r="AR507" i="3"/>
  <c r="D507" i="3"/>
  <c r="B507" i="3"/>
  <c r="AQ507" i="3"/>
  <c r="A508" i="3"/>
  <c r="C507" i="3"/>
  <c r="F507" i="3"/>
  <c r="BM507" i="3" s="1"/>
  <c r="G507" i="3"/>
  <c r="H507" i="3" s="1"/>
  <c r="BN507" i="3" s="1"/>
  <c r="S507" i="3"/>
  <c r="Q507" i="3"/>
  <c r="O507" i="3"/>
  <c r="U507" i="3"/>
  <c r="AE507" i="3"/>
  <c r="AD507" i="3"/>
  <c r="AK507" i="3"/>
  <c r="M507" i="3"/>
  <c r="AF507" i="3"/>
  <c r="AM507" i="3"/>
  <c r="T507" i="3"/>
  <c r="R507" i="3"/>
  <c r="P507" i="3"/>
  <c r="V507" i="3"/>
  <c r="AV504" i="3"/>
  <c r="BC504" i="3" s="1"/>
  <c r="BA504" i="3"/>
  <c r="AN506" i="3"/>
  <c r="AU505" i="3"/>
  <c r="AG506" i="3"/>
  <c r="X506" i="3"/>
  <c r="BD503" i="3"/>
  <c r="BG503" i="3"/>
  <c r="BH503" i="3" s="1"/>
  <c r="BI503" i="3" s="1"/>
  <c r="BF503" i="3"/>
  <c r="BJ502" i="3" s="1"/>
  <c r="BK502" i="3" s="1"/>
  <c r="BQ503" i="3"/>
  <c r="BB503" i="3"/>
  <c r="AW505" i="3"/>
  <c r="AY505" i="3" l="1"/>
  <c r="AN507" i="3"/>
  <c r="AU506" i="3"/>
  <c r="BA505" i="3"/>
  <c r="AX506" i="3"/>
  <c r="AH507" i="3"/>
  <c r="AT506" i="3"/>
  <c r="BB505" i="3"/>
  <c r="BF505" i="3"/>
  <c r="BQ505" i="3"/>
  <c r="AV506" i="3"/>
  <c r="Y507" i="3"/>
  <c r="Z507" i="3" s="1"/>
  <c r="AG507" i="3"/>
  <c r="BD504" i="3"/>
  <c r="BG504" i="3"/>
  <c r="BH504" i="3" s="1"/>
  <c r="BI504" i="3" s="1"/>
  <c r="AV505" i="3"/>
  <c r="BC505" i="3" s="1"/>
  <c r="AO507" i="3"/>
  <c r="A509" i="3"/>
  <c r="AR508" i="3"/>
  <c r="B508" i="3"/>
  <c r="AQ508" i="3"/>
  <c r="D508" i="3"/>
  <c r="C508" i="3"/>
  <c r="F508" i="3"/>
  <c r="BM508" i="3" s="1"/>
  <c r="G508" i="3"/>
  <c r="H508" i="3" s="1"/>
  <c r="BN508" i="3" s="1"/>
  <c r="Q508" i="3"/>
  <c r="S508" i="3"/>
  <c r="O508" i="3"/>
  <c r="U508" i="3"/>
  <c r="AD508" i="3"/>
  <c r="AE508" i="3"/>
  <c r="AM508" i="3"/>
  <c r="AK508" i="3"/>
  <c r="M508" i="3"/>
  <c r="AF508" i="3"/>
  <c r="T508" i="3"/>
  <c r="P508" i="3"/>
  <c r="V508" i="3"/>
  <c r="R508" i="3"/>
  <c r="BB504" i="3"/>
  <c r="BQ504" i="3"/>
  <c r="BF504" i="3"/>
  <c r="BJ503" i="3" s="1"/>
  <c r="BK503" i="3" s="1"/>
  <c r="X507" i="3"/>
  <c r="AW506" i="3"/>
  <c r="AY506" i="3" s="1"/>
  <c r="AO508" i="3" l="1"/>
  <c r="AG508" i="3"/>
  <c r="AH508" i="3"/>
  <c r="AU508" i="3" s="1"/>
  <c r="AQ509" i="3"/>
  <c r="AR509" i="3"/>
  <c r="C509" i="3"/>
  <c r="A510" i="3"/>
  <c r="D509" i="3"/>
  <c r="B509" i="3"/>
  <c r="F509" i="3"/>
  <c r="BM509" i="3" s="1"/>
  <c r="G509" i="3"/>
  <c r="H509" i="3" s="1"/>
  <c r="BN509" i="3" s="1"/>
  <c r="Q509" i="3"/>
  <c r="S509" i="3"/>
  <c r="O509" i="3"/>
  <c r="U509" i="3"/>
  <c r="AD509" i="3"/>
  <c r="AM509" i="3"/>
  <c r="AK509" i="3"/>
  <c r="M509" i="3"/>
  <c r="AF509" i="3"/>
  <c r="AE509" i="3"/>
  <c r="V509" i="3"/>
  <c r="R509" i="3"/>
  <c r="P509" i="3"/>
  <c r="T509" i="3"/>
  <c r="X508" i="3"/>
  <c r="AW507" i="3"/>
  <c r="AN508" i="3"/>
  <c r="AX507" i="3"/>
  <c r="BD505" i="3"/>
  <c r="BG505" i="3"/>
  <c r="BH505" i="3" s="1"/>
  <c r="BI505" i="3" s="1"/>
  <c r="BC506" i="3"/>
  <c r="AT507" i="3"/>
  <c r="BA506" i="3"/>
  <c r="AU507" i="3"/>
  <c r="BJ504" i="3"/>
  <c r="BK504" i="3" s="1"/>
  <c r="Y508" i="3"/>
  <c r="Z508" i="3" s="1"/>
  <c r="AG509" i="3" l="1"/>
  <c r="AT508" i="3"/>
  <c r="AV508" i="3" s="1"/>
  <c r="AO509" i="3"/>
  <c r="AY507" i="3"/>
  <c r="Y509" i="3"/>
  <c r="Z509" i="3" s="1"/>
  <c r="AN509" i="3"/>
  <c r="BQ506" i="3"/>
  <c r="BB506" i="3"/>
  <c r="BF506" i="3"/>
  <c r="BJ505" i="3" s="1"/>
  <c r="BK505" i="3" s="1"/>
  <c r="AV507" i="3"/>
  <c r="BC507" i="3" s="1"/>
  <c r="BA507" i="3"/>
  <c r="AH509" i="3"/>
  <c r="AT509" i="3" s="1"/>
  <c r="B510" i="3"/>
  <c r="A511" i="3"/>
  <c r="AQ510" i="3"/>
  <c r="AR510" i="3"/>
  <c r="D510" i="3"/>
  <c r="C510" i="3"/>
  <c r="G510" i="3"/>
  <c r="H510" i="3" s="1"/>
  <c r="BN510" i="3" s="1"/>
  <c r="F510" i="3"/>
  <c r="BM510" i="3" s="1"/>
  <c r="S510" i="3"/>
  <c r="Q510" i="3"/>
  <c r="O510" i="3"/>
  <c r="U510" i="3"/>
  <c r="M510" i="3"/>
  <c r="AK510" i="3"/>
  <c r="AD510" i="3"/>
  <c r="AM510" i="3"/>
  <c r="AE510" i="3"/>
  <c r="AF510" i="3"/>
  <c r="R510" i="3"/>
  <c r="P510" i="3"/>
  <c r="V510" i="3"/>
  <c r="T510" i="3"/>
  <c r="X509" i="3"/>
  <c r="AX508" i="3"/>
  <c r="BD506" i="3"/>
  <c r="BG506" i="3"/>
  <c r="BH506" i="3" s="1"/>
  <c r="BI506" i="3" s="1"/>
  <c r="AW508" i="3"/>
  <c r="AY508" i="3" l="1"/>
  <c r="AN510" i="3"/>
  <c r="AG510" i="3"/>
  <c r="AH510" i="3"/>
  <c r="BQ507" i="3"/>
  <c r="BF507" i="3"/>
  <c r="BJ506" i="3" s="1"/>
  <c r="BK506" i="3" s="1"/>
  <c r="BB507" i="3"/>
  <c r="AO510" i="3"/>
  <c r="AW510" i="3" s="1"/>
  <c r="Y510" i="3"/>
  <c r="Z510" i="3" s="1"/>
  <c r="C511" i="3"/>
  <c r="AR511" i="3"/>
  <c r="B511" i="3"/>
  <c r="AQ511" i="3"/>
  <c r="A512" i="3"/>
  <c r="D511" i="3"/>
  <c r="F511" i="3"/>
  <c r="BM511" i="3" s="1"/>
  <c r="G511" i="3"/>
  <c r="H511" i="3" s="1"/>
  <c r="BN511" i="3" s="1"/>
  <c r="Q511" i="3"/>
  <c r="S511" i="3"/>
  <c r="O511" i="3"/>
  <c r="U511" i="3"/>
  <c r="AE511" i="3"/>
  <c r="AM511" i="3"/>
  <c r="AK511" i="3"/>
  <c r="AD511" i="3"/>
  <c r="AF511" i="3"/>
  <c r="M511" i="3"/>
  <c r="P511" i="3"/>
  <c r="V511" i="3"/>
  <c r="T511" i="3"/>
  <c r="R511" i="3"/>
  <c r="BD507" i="3"/>
  <c r="BG507" i="3"/>
  <c r="BH507" i="3" s="1"/>
  <c r="BI507" i="3" s="1"/>
  <c r="AW509" i="3"/>
  <c r="AX509" i="3"/>
  <c r="BC508" i="3"/>
  <c r="X510" i="3"/>
  <c r="BA508" i="3"/>
  <c r="AU509" i="3"/>
  <c r="AV509" i="3" s="1"/>
  <c r="AU510" i="3" l="1"/>
  <c r="AN511" i="3"/>
  <c r="Y511" i="3"/>
  <c r="Z511" i="3" s="1"/>
  <c r="AY509" i="3"/>
  <c r="BC509" i="3" s="1"/>
  <c r="X511" i="3"/>
  <c r="AO511" i="3"/>
  <c r="BB508" i="3"/>
  <c r="BF508" i="3"/>
  <c r="BJ507" i="3" s="1"/>
  <c r="BK507" i="3" s="1"/>
  <c r="BQ508" i="3"/>
  <c r="AH511" i="3"/>
  <c r="AG511" i="3"/>
  <c r="BD508" i="3"/>
  <c r="BG508" i="3"/>
  <c r="BH508" i="3" s="1"/>
  <c r="BI508" i="3" s="1"/>
  <c r="AX510" i="3"/>
  <c r="AY510" i="3" s="1"/>
  <c r="B512" i="3"/>
  <c r="AQ512" i="3"/>
  <c r="AR512" i="3"/>
  <c r="A513" i="3"/>
  <c r="C512" i="3"/>
  <c r="D512" i="3"/>
  <c r="G512" i="3"/>
  <c r="H512" i="3" s="1"/>
  <c r="BN512" i="3" s="1"/>
  <c r="F512" i="3"/>
  <c r="BM512" i="3" s="1"/>
  <c r="Q512" i="3"/>
  <c r="S512" i="3"/>
  <c r="O512" i="3"/>
  <c r="U512" i="3"/>
  <c r="AD512" i="3"/>
  <c r="AM512" i="3"/>
  <c r="AK512" i="3"/>
  <c r="AE512" i="3"/>
  <c r="M512" i="3"/>
  <c r="AF512" i="3"/>
  <c r="V512" i="3"/>
  <c r="T512" i="3"/>
  <c r="R512" i="3"/>
  <c r="P512" i="3"/>
  <c r="BA509" i="3"/>
  <c r="AT510" i="3"/>
  <c r="AW511" i="3" l="1"/>
  <c r="AG512" i="3"/>
  <c r="AN512" i="3"/>
  <c r="BG509" i="3"/>
  <c r="BH509" i="3" s="1"/>
  <c r="BI509" i="3" s="1"/>
  <c r="BD509" i="3"/>
  <c r="AU511" i="3"/>
  <c r="AH512" i="3"/>
  <c r="AT512" i="3" s="1"/>
  <c r="X512" i="3"/>
  <c r="BA510" i="3"/>
  <c r="AV510" i="3"/>
  <c r="BC510" i="3" s="1"/>
  <c r="D513" i="3"/>
  <c r="AQ513" i="3"/>
  <c r="B513" i="3"/>
  <c r="A514" i="3"/>
  <c r="C513" i="3"/>
  <c r="AR513" i="3"/>
  <c r="F513" i="3"/>
  <c r="BM513" i="3" s="1"/>
  <c r="G513" i="3"/>
  <c r="H513" i="3" s="1"/>
  <c r="BN513" i="3" s="1"/>
  <c r="Q513" i="3"/>
  <c r="S513" i="3"/>
  <c r="O513" i="3"/>
  <c r="U513" i="3"/>
  <c r="AM513" i="3"/>
  <c r="AD513" i="3"/>
  <c r="AK513" i="3"/>
  <c r="AE513" i="3"/>
  <c r="AF513" i="3"/>
  <c r="M513" i="3"/>
  <c r="V513" i="3"/>
  <c r="R513" i="3"/>
  <c r="P513" i="3"/>
  <c r="T513" i="3"/>
  <c r="AX511" i="3"/>
  <c r="BF509" i="3"/>
  <c r="BJ508" i="3" s="1"/>
  <c r="BK508" i="3" s="1"/>
  <c r="BB509" i="3"/>
  <c r="BQ509" i="3"/>
  <c r="AO512" i="3"/>
  <c r="Y512" i="3"/>
  <c r="Z512" i="3" s="1"/>
  <c r="AT511" i="3"/>
  <c r="AU512" i="3" l="1"/>
  <c r="AY511" i="3"/>
  <c r="AN513" i="3"/>
  <c r="AW512" i="3"/>
  <c r="AO513" i="3"/>
  <c r="AG513" i="3"/>
  <c r="X513" i="3"/>
  <c r="Y513" i="3"/>
  <c r="Z513" i="3" s="1"/>
  <c r="AH513" i="3"/>
  <c r="AQ514" i="3"/>
  <c r="D514" i="3"/>
  <c r="C514" i="3"/>
  <c r="B514" i="3"/>
  <c r="A515" i="3"/>
  <c r="AR514" i="3"/>
  <c r="F514" i="3"/>
  <c r="BM514" i="3" s="1"/>
  <c r="G514" i="3"/>
  <c r="H514" i="3" s="1"/>
  <c r="BN514" i="3" s="1"/>
  <c r="S514" i="3"/>
  <c r="Q514" i="3"/>
  <c r="O514" i="3"/>
  <c r="U514" i="3"/>
  <c r="M514" i="3"/>
  <c r="AM514" i="3"/>
  <c r="AD514" i="3"/>
  <c r="AK514" i="3"/>
  <c r="AE514" i="3"/>
  <c r="AF514" i="3"/>
  <c r="R514" i="3"/>
  <c r="P514" i="3"/>
  <c r="V514" i="3"/>
  <c r="T514" i="3"/>
  <c r="BA511" i="3"/>
  <c r="AV511" i="3"/>
  <c r="BB510" i="3"/>
  <c r="BF510" i="3"/>
  <c r="BJ509" i="3" s="1"/>
  <c r="BK509" i="3" s="1"/>
  <c r="BQ510" i="3"/>
  <c r="BD510" i="3"/>
  <c r="BG510" i="3"/>
  <c r="BH510" i="3" s="1"/>
  <c r="BI510" i="3" s="1"/>
  <c r="AV512" i="3"/>
  <c r="AX512" i="3"/>
  <c r="AY512" i="3" s="1"/>
  <c r="AX513" i="3" l="1"/>
  <c r="BC511" i="3"/>
  <c r="BD511" i="3" s="1"/>
  <c r="AO514" i="3"/>
  <c r="AT513" i="3"/>
  <c r="Y514" i="3"/>
  <c r="Z514" i="3" s="1"/>
  <c r="AG514" i="3"/>
  <c r="AR515" i="3"/>
  <c r="AQ515" i="3"/>
  <c r="A516" i="3"/>
  <c r="D515" i="3"/>
  <c r="C515" i="3"/>
  <c r="B515" i="3"/>
  <c r="G515" i="3"/>
  <c r="H515" i="3" s="1"/>
  <c r="BN515" i="3" s="1"/>
  <c r="F515" i="3"/>
  <c r="BM515" i="3" s="1"/>
  <c r="Q515" i="3"/>
  <c r="S515" i="3"/>
  <c r="O515" i="3"/>
  <c r="U515" i="3"/>
  <c r="AK515" i="3"/>
  <c r="M515" i="3"/>
  <c r="AM515" i="3"/>
  <c r="AF515" i="3"/>
  <c r="AD515" i="3"/>
  <c r="AE515" i="3"/>
  <c r="T515" i="3"/>
  <c r="P515" i="3"/>
  <c r="V515" i="3"/>
  <c r="R515" i="3"/>
  <c r="X514" i="3"/>
  <c r="BA512" i="3"/>
  <c r="BF511" i="3"/>
  <c r="BJ510" i="3" s="1"/>
  <c r="BK510" i="3" s="1"/>
  <c r="BQ511" i="3"/>
  <c r="BB511" i="3"/>
  <c r="AH514" i="3"/>
  <c r="BG511" i="3"/>
  <c r="BH511" i="3" s="1"/>
  <c r="BI511" i="3" s="1"/>
  <c r="AN514" i="3"/>
  <c r="BC512" i="3"/>
  <c r="AU513" i="3"/>
  <c r="AV513" i="3" s="1"/>
  <c r="AW513" i="3"/>
  <c r="AY513" i="3" s="1"/>
  <c r="BA513" i="3" l="1"/>
  <c r="AG515" i="3"/>
  <c r="AW514" i="3"/>
  <c r="AU514" i="3"/>
  <c r="AN515" i="3"/>
  <c r="BC513" i="3"/>
  <c r="BD513" i="3" s="1"/>
  <c r="X515" i="3"/>
  <c r="BG513" i="3"/>
  <c r="BH513" i="3" s="1"/>
  <c r="BI513" i="3" s="1"/>
  <c r="BF512" i="3"/>
  <c r="BJ511" i="3" s="1"/>
  <c r="BK511" i="3" s="1"/>
  <c r="BB512" i="3"/>
  <c r="BQ512" i="3"/>
  <c r="D516" i="3"/>
  <c r="AQ516" i="3"/>
  <c r="AR516" i="3"/>
  <c r="B516" i="3"/>
  <c r="A517" i="3"/>
  <c r="C516" i="3"/>
  <c r="G516" i="3"/>
  <c r="H516" i="3" s="1"/>
  <c r="BN516" i="3" s="1"/>
  <c r="F516" i="3"/>
  <c r="BM516" i="3" s="1"/>
  <c r="S516" i="3"/>
  <c r="Q516" i="3"/>
  <c r="O516" i="3"/>
  <c r="U516" i="3"/>
  <c r="AD516" i="3"/>
  <c r="AK516" i="3"/>
  <c r="AM516" i="3"/>
  <c r="M516" i="3"/>
  <c r="AF516" i="3"/>
  <c r="AE516" i="3"/>
  <c r="T516" i="3"/>
  <c r="R516" i="3"/>
  <c r="V516" i="3"/>
  <c r="P516" i="3"/>
  <c r="AH515" i="3"/>
  <c r="BD512" i="3"/>
  <c r="BG512" i="3"/>
  <c r="BH512" i="3" s="1"/>
  <c r="BI512" i="3" s="1"/>
  <c r="Y515" i="3"/>
  <c r="Z515" i="3" s="1"/>
  <c r="AO515" i="3"/>
  <c r="AX514" i="3"/>
  <c r="BF513" i="3"/>
  <c r="BB513" i="3"/>
  <c r="BQ513" i="3"/>
  <c r="AT514" i="3"/>
  <c r="AN516" i="3" l="1"/>
  <c r="AG516" i="3"/>
  <c r="AY514" i="3"/>
  <c r="BJ512" i="3"/>
  <c r="BK512" i="3" s="1"/>
  <c r="AX515" i="3"/>
  <c r="AU515" i="3"/>
  <c r="B517" i="3"/>
  <c r="AQ517" i="3"/>
  <c r="A518" i="3"/>
  <c r="AR517" i="3"/>
  <c r="D517" i="3"/>
  <c r="C517" i="3"/>
  <c r="F517" i="3"/>
  <c r="BM517" i="3" s="1"/>
  <c r="G517" i="3"/>
  <c r="H517" i="3" s="1"/>
  <c r="BN517" i="3" s="1"/>
  <c r="Q517" i="3"/>
  <c r="S517" i="3"/>
  <c r="O517" i="3"/>
  <c r="U517" i="3"/>
  <c r="AM517" i="3"/>
  <c r="AK517" i="3"/>
  <c r="M517" i="3"/>
  <c r="AE517" i="3"/>
  <c r="AD517" i="3"/>
  <c r="AF517" i="3"/>
  <c r="V517" i="3"/>
  <c r="T517" i="3"/>
  <c r="P517" i="3"/>
  <c r="R517" i="3"/>
  <c r="AT515" i="3"/>
  <c r="AH516" i="3"/>
  <c r="AW515" i="3"/>
  <c r="Y516" i="3"/>
  <c r="Z516" i="3" s="1"/>
  <c r="X516" i="3"/>
  <c r="AO516" i="3"/>
  <c r="BA514" i="3"/>
  <c r="AV514" i="3"/>
  <c r="BC514" i="3" s="1"/>
  <c r="AY515" i="3" l="1"/>
  <c r="AU516" i="3"/>
  <c r="AO517" i="3"/>
  <c r="AW516" i="3"/>
  <c r="AH517" i="3"/>
  <c r="AG517" i="3"/>
  <c r="AT517" i="3" s="1"/>
  <c r="Y517" i="3"/>
  <c r="Z517" i="3" s="1"/>
  <c r="X517" i="3"/>
  <c r="BF514" i="3"/>
  <c r="BJ513" i="3" s="1"/>
  <c r="BK513" i="3" s="1"/>
  <c r="BB514" i="3"/>
  <c r="BQ514" i="3"/>
  <c r="AT516" i="3"/>
  <c r="AX516" i="3"/>
  <c r="BA515" i="3"/>
  <c r="AV515" i="3"/>
  <c r="BC515" i="3" s="1"/>
  <c r="AN517" i="3"/>
  <c r="B518" i="3"/>
  <c r="A519" i="3"/>
  <c r="AQ518" i="3"/>
  <c r="AR518" i="3"/>
  <c r="C518" i="3"/>
  <c r="D518" i="3"/>
  <c r="G518" i="3"/>
  <c r="H518" i="3" s="1"/>
  <c r="BN518" i="3" s="1"/>
  <c r="F518" i="3"/>
  <c r="BM518" i="3" s="1"/>
  <c r="S518" i="3"/>
  <c r="Q518" i="3"/>
  <c r="O518" i="3"/>
  <c r="U518" i="3"/>
  <c r="AK518" i="3"/>
  <c r="AM518" i="3"/>
  <c r="AF518" i="3"/>
  <c r="AE518" i="3"/>
  <c r="AD518" i="3"/>
  <c r="M518" i="3"/>
  <c r="R518" i="3"/>
  <c r="P518" i="3"/>
  <c r="V518" i="3"/>
  <c r="T518" i="3"/>
  <c r="BD514" i="3"/>
  <c r="BG514" i="3"/>
  <c r="BH514" i="3" s="1"/>
  <c r="BI514" i="3" s="1"/>
  <c r="AY516" i="3" l="1"/>
  <c r="AX517" i="3"/>
  <c r="AU517" i="3"/>
  <c r="AN518" i="3"/>
  <c r="AG518" i="3"/>
  <c r="Y518" i="3"/>
  <c r="Z518" i="3" s="1"/>
  <c r="AO518" i="3"/>
  <c r="B519" i="3"/>
  <c r="D519" i="3"/>
  <c r="AR519" i="3"/>
  <c r="AQ519" i="3"/>
  <c r="A520" i="3"/>
  <c r="C519" i="3"/>
  <c r="F519" i="3"/>
  <c r="BM519" i="3" s="1"/>
  <c r="G519" i="3"/>
  <c r="H519" i="3" s="1"/>
  <c r="BN519" i="3" s="1"/>
  <c r="S519" i="3"/>
  <c r="Q519" i="3"/>
  <c r="O519" i="3"/>
  <c r="U519" i="3"/>
  <c r="AD519" i="3"/>
  <c r="AK519" i="3"/>
  <c r="M519" i="3"/>
  <c r="AF519" i="3"/>
  <c r="AM519" i="3"/>
  <c r="AE519" i="3"/>
  <c r="V519" i="3"/>
  <c r="T519" i="3"/>
  <c r="R519" i="3"/>
  <c r="P519" i="3"/>
  <c r="BF515" i="3"/>
  <c r="BJ514" i="3" s="1"/>
  <c r="BK514" i="3" s="1"/>
  <c r="BQ515" i="3"/>
  <c r="BB515" i="3"/>
  <c r="AH518" i="3"/>
  <c r="BA516" i="3"/>
  <c r="AV516" i="3"/>
  <c r="BC516" i="3" s="1"/>
  <c r="X518" i="3"/>
  <c r="BD515" i="3"/>
  <c r="BG515" i="3"/>
  <c r="BH515" i="3" s="1"/>
  <c r="BI515" i="3" s="1"/>
  <c r="AV517" i="3"/>
  <c r="AW517" i="3"/>
  <c r="AY517" i="3" s="1"/>
  <c r="AX518" i="3" l="1"/>
  <c r="AG519" i="3"/>
  <c r="AN519" i="3"/>
  <c r="BQ516" i="3"/>
  <c r="BB516" i="3"/>
  <c r="BF516" i="3"/>
  <c r="BJ515" i="3" s="1"/>
  <c r="BK515" i="3" s="1"/>
  <c r="AU518" i="3"/>
  <c r="Y519" i="3"/>
  <c r="Z519" i="3" s="1"/>
  <c r="AH519" i="3"/>
  <c r="BC517" i="3"/>
  <c r="AQ520" i="3"/>
  <c r="AR520" i="3"/>
  <c r="C520" i="3"/>
  <c r="D520" i="3"/>
  <c r="B520" i="3"/>
  <c r="A521" i="3"/>
  <c r="G520" i="3"/>
  <c r="H520" i="3" s="1"/>
  <c r="BN520" i="3" s="1"/>
  <c r="F520" i="3"/>
  <c r="BM520" i="3" s="1"/>
  <c r="S520" i="3"/>
  <c r="Q520" i="3"/>
  <c r="O520" i="3"/>
  <c r="U520" i="3"/>
  <c r="AK520" i="3"/>
  <c r="M520" i="3"/>
  <c r="AM520" i="3"/>
  <c r="AF520" i="3"/>
  <c r="AD520" i="3"/>
  <c r="AE520" i="3"/>
  <c r="P520" i="3"/>
  <c r="T520" i="3"/>
  <c r="R520" i="3"/>
  <c r="V520" i="3"/>
  <c r="BA517" i="3"/>
  <c r="AO519" i="3"/>
  <c r="X519" i="3"/>
  <c r="AT518" i="3"/>
  <c r="AW518" i="3"/>
  <c r="AY518" i="3" s="1"/>
  <c r="BD516" i="3"/>
  <c r="BG516" i="3"/>
  <c r="BH516" i="3" s="1"/>
  <c r="BI516" i="3" s="1"/>
  <c r="AG520" i="3" l="1"/>
  <c r="AN520" i="3"/>
  <c r="Y520" i="3"/>
  <c r="Z520" i="3" s="1"/>
  <c r="AX519" i="3"/>
  <c r="AH520" i="3"/>
  <c r="AT520" i="3" s="1"/>
  <c r="X520" i="3"/>
  <c r="AV518" i="3"/>
  <c r="BC518" i="3" s="1"/>
  <c r="BA518" i="3"/>
  <c r="AU519" i="3"/>
  <c r="AW519" i="3"/>
  <c r="AO520" i="3"/>
  <c r="AW520" i="3" s="1"/>
  <c r="AQ521" i="3"/>
  <c r="B521" i="3"/>
  <c r="AR521" i="3"/>
  <c r="A522" i="3"/>
  <c r="C521" i="3"/>
  <c r="D521" i="3"/>
  <c r="F521" i="3"/>
  <c r="BM521" i="3" s="1"/>
  <c r="G521" i="3"/>
  <c r="H521" i="3" s="1"/>
  <c r="BN521" i="3" s="1"/>
  <c r="Q521" i="3"/>
  <c r="S521" i="3"/>
  <c r="O521" i="3"/>
  <c r="U521" i="3"/>
  <c r="AE521" i="3"/>
  <c r="AK521" i="3"/>
  <c r="AD521" i="3"/>
  <c r="M521" i="3"/>
  <c r="AM521" i="3"/>
  <c r="AF521" i="3"/>
  <c r="R521" i="3"/>
  <c r="V521" i="3"/>
  <c r="T521" i="3"/>
  <c r="P521" i="3"/>
  <c r="BD517" i="3"/>
  <c r="BG517" i="3"/>
  <c r="BH517" i="3" s="1"/>
  <c r="BI517" i="3" s="1"/>
  <c r="AT519" i="3"/>
  <c r="BF517" i="3"/>
  <c r="BJ516" i="3" s="1"/>
  <c r="BK516" i="3" s="1"/>
  <c r="BQ517" i="3"/>
  <c r="BB517" i="3"/>
  <c r="AH521" i="3" l="1"/>
  <c r="AU520" i="3"/>
  <c r="AN521" i="3"/>
  <c r="AY519" i="3"/>
  <c r="AR522" i="3"/>
  <c r="A523" i="3"/>
  <c r="D522" i="3"/>
  <c r="C522" i="3"/>
  <c r="B522" i="3"/>
  <c r="AQ522" i="3"/>
  <c r="G522" i="3"/>
  <c r="H522" i="3" s="1"/>
  <c r="BN522" i="3" s="1"/>
  <c r="F522" i="3"/>
  <c r="BM522" i="3" s="1"/>
  <c r="Q522" i="3"/>
  <c r="S522" i="3"/>
  <c r="O522" i="3"/>
  <c r="U522" i="3"/>
  <c r="AE522" i="3"/>
  <c r="M522" i="3"/>
  <c r="AD522" i="3"/>
  <c r="AF522" i="3"/>
  <c r="AM522" i="3"/>
  <c r="AK522" i="3"/>
  <c r="R522" i="3"/>
  <c r="P522" i="3"/>
  <c r="T522" i="3"/>
  <c r="V522" i="3"/>
  <c r="AO521" i="3"/>
  <c r="AV519" i="3"/>
  <c r="BA519" i="3"/>
  <c r="Y521" i="3"/>
  <c r="Z521" i="3" s="1"/>
  <c r="X521" i="3"/>
  <c r="BQ518" i="3"/>
  <c r="BF518" i="3"/>
  <c r="BJ517" i="3" s="1"/>
  <c r="BK517" i="3" s="1"/>
  <c r="BB518" i="3"/>
  <c r="AG521" i="3"/>
  <c r="AU521" i="3" s="1"/>
  <c r="BD518" i="3"/>
  <c r="BG518" i="3"/>
  <c r="BH518" i="3" s="1"/>
  <c r="BI518" i="3" s="1"/>
  <c r="AV520" i="3"/>
  <c r="AX520" i="3"/>
  <c r="AY520" i="3" s="1"/>
  <c r="BC519" i="3" l="1"/>
  <c r="Y522" i="3"/>
  <c r="Z522" i="3" s="1"/>
  <c r="AO522" i="3"/>
  <c r="AT521" i="3"/>
  <c r="AV521" i="3" s="1"/>
  <c r="BF519" i="3"/>
  <c r="BJ518" i="3" s="1"/>
  <c r="BK518" i="3" s="1"/>
  <c r="BB519" i="3"/>
  <c r="BQ519" i="3"/>
  <c r="BA520" i="3"/>
  <c r="AH522" i="3"/>
  <c r="BC520" i="3"/>
  <c r="AW521" i="3"/>
  <c r="BA521" i="3" s="1"/>
  <c r="X522" i="3"/>
  <c r="C523" i="3"/>
  <c r="D523" i="3"/>
  <c r="A524" i="3"/>
  <c r="AR523" i="3"/>
  <c r="B523" i="3"/>
  <c r="AQ523" i="3"/>
  <c r="G523" i="3"/>
  <c r="H523" i="3" s="1"/>
  <c r="BN523" i="3" s="1"/>
  <c r="F523" i="3"/>
  <c r="BM523" i="3" s="1"/>
  <c r="Q523" i="3"/>
  <c r="S523" i="3"/>
  <c r="O523" i="3"/>
  <c r="U523" i="3"/>
  <c r="AM523" i="3"/>
  <c r="AK523" i="3"/>
  <c r="AF523" i="3"/>
  <c r="AD523" i="3"/>
  <c r="M523" i="3"/>
  <c r="AE523" i="3"/>
  <c r="P523" i="3"/>
  <c r="V523" i="3"/>
  <c r="R523" i="3"/>
  <c r="T523" i="3"/>
  <c r="AX521" i="3"/>
  <c r="BG519" i="3"/>
  <c r="BH519" i="3" s="1"/>
  <c r="BI519" i="3" s="1"/>
  <c r="BD519" i="3"/>
  <c r="AN522" i="3"/>
  <c r="AG522" i="3"/>
  <c r="AG523" i="3" l="1"/>
  <c r="AO523" i="3"/>
  <c r="AT522" i="3"/>
  <c r="BB521" i="3"/>
  <c r="BF521" i="3"/>
  <c r="BQ521" i="3"/>
  <c r="AH523" i="3"/>
  <c r="AU523" i="3" s="1"/>
  <c r="A525" i="3"/>
  <c r="B524" i="3"/>
  <c r="AQ524" i="3"/>
  <c r="AR524" i="3"/>
  <c r="C524" i="3"/>
  <c r="D524" i="3"/>
  <c r="F524" i="3"/>
  <c r="BM524" i="3" s="1"/>
  <c r="G524" i="3"/>
  <c r="H524" i="3" s="1"/>
  <c r="BN524" i="3" s="1"/>
  <c r="Q524" i="3"/>
  <c r="S524" i="3"/>
  <c r="O524" i="3"/>
  <c r="U524" i="3"/>
  <c r="AK524" i="3"/>
  <c r="AD524" i="3"/>
  <c r="AM524" i="3"/>
  <c r="M524" i="3"/>
  <c r="AE524" i="3"/>
  <c r="AF524" i="3"/>
  <c r="R524" i="3"/>
  <c r="V524" i="3"/>
  <c r="T524" i="3"/>
  <c r="P524" i="3"/>
  <c r="AN523" i="3"/>
  <c r="BD520" i="3"/>
  <c r="BG520" i="3"/>
  <c r="BH520" i="3" s="1"/>
  <c r="BI520" i="3" s="1"/>
  <c r="Y523" i="3"/>
  <c r="Z523" i="3" s="1"/>
  <c r="BB520" i="3"/>
  <c r="BQ520" i="3"/>
  <c r="BF520" i="3"/>
  <c r="BJ519" i="3" s="1"/>
  <c r="BK519" i="3" s="1"/>
  <c r="X523" i="3"/>
  <c r="AW522" i="3"/>
  <c r="AX522" i="3"/>
  <c r="AU522" i="3"/>
  <c r="AY521" i="3"/>
  <c r="BC521" i="3" s="1"/>
  <c r="AN524" i="3" l="1"/>
  <c r="AY522" i="3"/>
  <c r="BA522" i="3"/>
  <c r="AG524" i="3"/>
  <c r="BD521" i="3"/>
  <c r="BG521" i="3"/>
  <c r="BH521" i="3" s="1"/>
  <c r="BI521" i="3" s="1"/>
  <c r="BQ522" i="3"/>
  <c r="BB522" i="3"/>
  <c r="BF522" i="3"/>
  <c r="BJ521" i="3" s="1"/>
  <c r="BK521" i="3" s="1"/>
  <c r="AH524" i="3"/>
  <c r="AT524" i="3" s="1"/>
  <c r="AQ525" i="3"/>
  <c r="AR525" i="3"/>
  <c r="C525" i="3"/>
  <c r="B525" i="3"/>
  <c r="A526" i="3"/>
  <c r="D525" i="3"/>
  <c r="G525" i="3"/>
  <c r="H525" i="3" s="1"/>
  <c r="BN525" i="3" s="1"/>
  <c r="F525" i="3"/>
  <c r="BM525" i="3" s="1"/>
  <c r="Q525" i="3"/>
  <c r="S525" i="3"/>
  <c r="O525" i="3"/>
  <c r="U525" i="3"/>
  <c r="AD525" i="3"/>
  <c r="AK525" i="3"/>
  <c r="AE525" i="3"/>
  <c r="AM525" i="3"/>
  <c r="AF525" i="3"/>
  <c r="M525" i="3"/>
  <c r="R525" i="3"/>
  <c r="T525" i="3"/>
  <c r="P525" i="3"/>
  <c r="V525" i="3"/>
  <c r="AO524" i="3"/>
  <c r="AX523" i="3"/>
  <c r="Y524" i="3"/>
  <c r="Z524" i="3" s="1"/>
  <c r="AT523" i="3"/>
  <c r="AV522" i="3"/>
  <c r="BJ520" i="3"/>
  <c r="BK520" i="3" s="1"/>
  <c r="X524" i="3"/>
  <c r="AW523" i="3"/>
  <c r="AN525" i="3" l="1"/>
  <c r="Y525" i="3"/>
  <c r="Z525" i="3" s="1"/>
  <c r="BC522" i="3"/>
  <c r="BG522" i="3" s="1"/>
  <c r="BH522" i="3" s="1"/>
  <c r="BI522" i="3" s="1"/>
  <c r="AH525" i="3"/>
  <c r="AY523" i="3"/>
  <c r="X525" i="3"/>
  <c r="B526" i="3"/>
  <c r="A527" i="3"/>
  <c r="AQ526" i="3"/>
  <c r="AR526" i="3"/>
  <c r="C526" i="3"/>
  <c r="D526" i="3"/>
  <c r="F526" i="3"/>
  <c r="BM526" i="3" s="1"/>
  <c r="G526" i="3"/>
  <c r="H526" i="3" s="1"/>
  <c r="BN526" i="3" s="1"/>
  <c r="S526" i="3"/>
  <c r="Q526" i="3"/>
  <c r="O526" i="3"/>
  <c r="U526" i="3"/>
  <c r="AK526" i="3"/>
  <c r="AD526" i="3"/>
  <c r="M526" i="3"/>
  <c r="AE526" i="3"/>
  <c r="AM526" i="3"/>
  <c r="AF526" i="3"/>
  <c r="V526" i="3"/>
  <c r="P526" i="3"/>
  <c r="R526" i="3"/>
  <c r="T526" i="3"/>
  <c r="AO525" i="3"/>
  <c r="AX524" i="3"/>
  <c r="AW524" i="3"/>
  <c r="AG525" i="3"/>
  <c r="AU524" i="3"/>
  <c r="AV524" i="3" s="1"/>
  <c r="BA523" i="3"/>
  <c r="AV523" i="3"/>
  <c r="BD522" i="3" l="1"/>
  <c r="AN526" i="3"/>
  <c r="BC523" i="3"/>
  <c r="AY524" i="3"/>
  <c r="BC524" i="3" s="1"/>
  <c r="AU525" i="3"/>
  <c r="AT525" i="3"/>
  <c r="BA524" i="3"/>
  <c r="AO526" i="3"/>
  <c r="AG526" i="3"/>
  <c r="X526" i="3"/>
  <c r="BQ523" i="3"/>
  <c r="BB523" i="3"/>
  <c r="BF523" i="3"/>
  <c r="BJ522" i="3" s="1"/>
  <c r="BK522" i="3" s="1"/>
  <c r="Y526" i="3"/>
  <c r="Z526" i="3" s="1"/>
  <c r="AH526" i="3"/>
  <c r="AX526" i="3" s="1"/>
  <c r="BD523" i="3"/>
  <c r="BG523" i="3"/>
  <c r="BH523" i="3" s="1"/>
  <c r="BI523" i="3" s="1"/>
  <c r="D527" i="3"/>
  <c r="AR527" i="3"/>
  <c r="B527" i="3"/>
  <c r="AQ527" i="3"/>
  <c r="A528" i="3"/>
  <c r="C527" i="3"/>
  <c r="F527" i="3"/>
  <c r="BM527" i="3" s="1"/>
  <c r="G527" i="3"/>
  <c r="H527" i="3" s="1"/>
  <c r="BN527" i="3" s="1"/>
  <c r="Q527" i="3"/>
  <c r="S527" i="3"/>
  <c r="O527" i="3"/>
  <c r="U527" i="3"/>
  <c r="AM527" i="3"/>
  <c r="AE527" i="3"/>
  <c r="AK527" i="3"/>
  <c r="AF527" i="3"/>
  <c r="AD527" i="3"/>
  <c r="M527" i="3"/>
  <c r="R527" i="3"/>
  <c r="V527" i="3"/>
  <c r="P527" i="3"/>
  <c r="T527" i="3"/>
  <c r="AV525" i="3"/>
  <c r="AW525" i="3"/>
  <c r="AX525" i="3"/>
  <c r="AO527" i="3" l="1"/>
  <c r="AH527" i="3"/>
  <c r="BA525" i="3"/>
  <c r="AN527" i="3"/>
  <c r="X527" i="3"/>
  <c r="BF525" i="3"/>
  <c r="BQ525" i="3"/>
  <c r="BB525" i="3"/>
  <c r="B528" i="3"/>
  <c r="AR528" i="3"/>
  <c r="AQ528" i="3"/>
  <c r="A529" i="3"/>
  <c r="C528" i="3"/>
  <c r="D528" i="3"/>
  <c r="F528" i="3"/>
  <c r="BM528" i="3" s="1"/>
  <c r="G528" i="3"/>
  <c r="H528" i="3" s="1"/>
  <c r="BN528" i="3" s="1"/>
  <c r="Q528" i="3"/>
  <c r="S528" i="3"/>
  <c r="O528" i="3"/>
  <c r="U528" i="3"/>
  <c r="AD528" i="3"/>
  <c r="AM528" i="3"/>
  <c r="AK528" i="3"/>
  <c r="M528" i="3"/>
  <c r="AE528" i="3"/>
  <c r="AF528" i="3"/>
  <c r="R528" i="3"/>
  <c r="P528" i="3"/>
  <c r="T528" i="3"/>
  <c r="V528" i="3"/>
  <c r="AU526" i="3"/>
  <c r="BD524" i="3"/>
  <c r="BG524" i="3"/>
  <c r="BH524" i="3" s="1"/>
  <c r="BI524" i="3" s="1"/>
  <c r="AG527" i="3"/>
  <c r="AY525" i="3"/>
  <c r="BC525" i="3" s="1"/>
  <c r="AT526" i="3"/>
  <c r="AW526" i="3"/>
  <c r="AY526" i="3" s="1"/>
  <c r="Y527" i="3"/>
  <c r="Z527" i="3" s="1"/>
  <c r="BB524" i="3"/>
  <c r="BF524" i="3"/>
  <c r="BJ523" i="3" s="1"/>
  <c r="BK523" i="3" s="1"/>
  <c r="BQ524" i="3"/>
  <c r="Y528" i="3" l="1"/>
  <c r="Z528" i="3" s="1"/>
  <c r="AO528" i="3"/>
  <c r="AH528" i="3"/>
  <c r="AG528" i="3"/>
  <c r="AW527" i="3"/>
  <c r="BD525" i="3"/>
  <c r="BG525" i="3"/>
  <c r="BH525" i="3" s="1"/>
  <c r="BI525" i="3" s="1"/>
  <c r="AU527" i="3"/>
  <c r="AN528" i="3"/>
  <c r="AW528" i="3" s="1"/>
  <c r="X528" i="3"/>
  <c r="AU528" i="3"/>
  <c r="BA526" i="3"/>
  <c r="AV526" i="3"/>
  <c r="BC526" i="3" s="1"/>
  <c r="AT528" i="3"/>
  <c r="C529" i="3"/>
  <c r="AQ529" i="3"/>
  <c r="AR529" i="3"/>
  <c r="B529" i="3"/>
  <c r="A530" i="3"/>
  <c r="D529" i="3"/>
  <c r="F529" i="3"/>
  <c r="BM529" i="3" s="1"/>
  <c r="G529" i="3"/>
  <c r="H529" i="3" s="1"/>
  <c r="BN529" i="3" s="1"/>
  <c r="Q529" i="3"/>
  <c r="S529" i="3"/>
  <c r="O529" i="3"/>
  <c r="U529" i="3"/>
  <c r="AK529" i="3"/>
  <c r="AD529" i="3"/>
  <c r="AF529" i="3"/>
  <c r="AE529" i="3"/>
  <c r="AM529" i="3"/>
  <c r="M529" i="3"/>
  <c r="R529" i="3"/>
  <c r="P529" i="3"/>
  <c r="T529" i="3"/>
  <c r="V529" i="3"/>
  <c r="AX527" i="3"/>
  <c r="AT527" i="3"/>
  <c r="BJ524" i="3"/>
  <c r="BK524" i="3" s="1"/>
  <c r="AN529" i="3" l="1"/>
  <c r="AG529" i="3"/>
  <c r="AY527" i="3"/>
  <c r="AX528" i="3"/>
  <c r="AO529" i="3"/>
  <c r="BD526" i="3"/>
  <c r="BG526" i="3"/>
  <c r="BH526" i="3" s="1"/>
  <c r="BI526" i="3" s="1"/>
  <c r="BF526" i="3"/>
  <c r="BJ525" i="3" s="1"/>
  <c r="BK525" i="3" s="1"/>
  <c r="BQ526" i="3"/>
  <c r="BB526" i="3"/>
  <c r="AY528" i="3"/>
  <c r="AH529" i="3"/>
  <c r="AX529" i="3" s="1"/>
  <c r="X529" i="3"/>
  <c r="BA528" i="3"/>
  <c r="AV528" i="3"/>
  <c r="AQ530" i="3"/>
  <c r="C530" i="3"/>
  <c r="D530" i="3"/>
  <c r="A531" i="3"/>
  <c r="B530" i="3"/>
  <c r="AR530" i="3"/>
  <c r="F530" i="3"/>
  <c r="BM530" i="3" s="1"/>
  <c r="G530" i="3"/>
  <c r="H530" i="3" s="1"/>
  <c r="BN530" i="3" s="1"/>
  <c r="Q530" i="3"/>
  <c r="S530" i="3"/>
  <c r="O530" i="3"/>
  <c r="U530" i="3"/>
  <c r="AM530" i="3"/>
  <c r="AK530" i="3"/>
  <c r="M530" i="3"/>
  <c r="AD530" i="3"/>
  <c r="AE530" i="3"/>
  <c r="AF530" i="3"/>
  <c r="P530" i="3"/>
  <c r="R530" i="3"/>
  <c r="V530" i="3"/>
  <c r="T530" i="3"/>
  <c r="AV527" i="3"/>
  <c r="BA527" i="3"/>
  <c r="Y529" i="3"/>
  <c r="Z529" i="3" s="1"/>
  <c r="BC527" i="3" l="1"/>
  <c r="BC528" i="3"/>
  <c r="AO530" i="3"/>
  <c r="AH530" i="3"/>
  <c r="BB528" i="3"/>
  <c r="BF528" i="3"/>
  <c r="BQ528" i="3"/>
  <c r="X530" i="3"/>
  <c r="BD527" i="3"/>
  <c r="BG527" i="3"/>
  <c r="BH527" i="3" s="1"/>
  <c r="BI527" i="3" s="1"/>
  <c r="BD528" i="3"/>
  <c r="BG528" i="3"/>
  <c r="BH528" i="3" s="1"/>
  <c r="BI528" i="3" s="1"/>
  <c r="AT529" i="3"/>
  <c r="AW529" i="3"/>
  <c r="AY529" i="3" s="1"/>
  <c r="Y530" i="3"/>
  <c r="Z530" i="3" s="1"/>
  <c r="AG530" i="3"/>
  <c r="AW530" i="3" s="1"/>
  <c r="AR531" i="3"/>
  <c r="AQ531" i="3"/>
  <c r="A532" i="3"/>
  <c r="C531" i="3"/>
  <c r="B531" i="3"/>
  <c r="D531" i="3"/>
  <c r="F531" i="3"/>
  <c r="BM531" i="3" s="1"/>
  <c r="G531" i="3"/>
  <c r="H531" i="3" s="1"/>
  <c r="BN531" i="3" s="1"/>
  <c r="Q531" i="3"/>
  <c r="S531" i="3"/>
  <c r="O531" i="3"/>
  <c r="U531" i="3"/>
  <c r="AK531" i="3"/>
  <c r="AD531" i="3"/>
  <c r="AE531" i="3"/>
  <c r="M531" i="3"/>
  <c r="AF531" i="3"/>
  <c r="AM531" i="3"/>
  <c r="P531" i="3"/>
  <c r="T531" i="3"/>
  <c r="V531" i="3"/>
  <c r="R531" i="3"/>
  <c r="AN530" i="3"/>
  <c r="AU529" i="3"/>
  <c r="BQ527" i="3"/>
  <c r="BB527" i="3"/>
  <c r="BF527" i="3"/>
  <c r="BJ526" i="3" s="1"/>
  <c r="BK526" i="3" s="1"/>
  <c r="AG531" i="3" l="1"/>
  <c r="AO531" i="3"/>
  <c r="AX530" i="3"/>
  <c r="AY530" i="3" s="1"/>
  <c r="B532" i="3"/>
  <c r="AQ532" i="3"/>
  <c r="AR532" i="3"/>
  <c r="A533" i="3"/>
  <c r="D532" i="3"/>
  <c r="C532" i="3"/>
  <c r="F532" i="3"/>
  <c r="BM532" i="3" s="1"/>
  <c r="G532" i="3"/>
  <c r="H532" i="3" s="1"/>
  <c r="BN532" i="3" s="1"/>
  <c r="Q532" i="3"/>
  <c r="S532" i="3"/>
  <c r="O532" i="3"/>
  <c r="U532" i="3"/>
  <c r="AM532" i="3"/>
  <c r="AK532" i="3"/>
  <c r="AE532" i="3"/>
  <c r="AF532" i="3"/>
  <c r="M532" i="3"/>
  <c r="AD532" i="3"/>
  <c r="P532" i="3"/>
  <c r="V532" i="3"/>
  <c r="T532" i="3"/>
  <c r="R532" i="3"/>
  <c r="BA529" i="3"/>
  <c r="AV529" i="3"/>
  <c r="BC529" i="3" s="1"/>
  <c r="Y531" i="3"/>
  <c r="Z531" i="3" s="1"/>
  <c r="X531" i="3"/>
  <c r="AT530" i="3"/>
  <c r="BJ527" i="3"/>
  <c r="BK527" i="3" s="1"/>
  <c r="AH531" i="3"/>
  <c r="AT531" i="3" s="1"/>
  <c r="AU530" i="3"/>
  <c r="AN531" i="3"/>
  <c r="AU531" i="3" l="1"/>
  <c r="AH532" i="3"/>
  <c r="AN532" i="3"/>
  <c r="AV530" i="3"/>
  <c r="BC530" i="3" s="1"/>
  <c r="BA530" i="3"/>
  <c r="BD529" i="3"/>
  <c r="BG529" i="3"/>
  <c r="BH529" i="3" s="1"/>
  <c r="BI529" i="3" s="1"/>
  <c r="BB529" i="3"/>
  <c r="BF529" i="3"/>
  <c r="BJ528" i="3" s="1"/>
  <c r="BK528" i="3" s="1"/>
  <c r="BQ529" i="3"/>
  <c r="AG532" i="3"/>
  <c r="AT532" i="3" s="1"/>
  <c r="Y532" i="3"/>
  <c r="Z532" i="3" s="1"/>
  <c r="AO532" i="3"/>
  <c r="AQ533" i="3"/>
  <c r="B533" i="3"/>
  <c r="A534" i="3"/>
  <c r="AR533" i="3"/>
  <c r="C533" i="3"/>
  <c r="D533" i="3"/>
  <c r="F533" i="3"/>
  <c r="BM533" i="3" s="1"/>
  <c r="G533" i="3"/>
  <c r="H533" i="3" s="1"/>
  <c r="BN533" i="3" s="1"/>
  <c r="Q533" i="3"/>
  <c r="S533" i="3"/>
  <c r="O533" i="3"/>
  <c r="U533" i="3"/>
  <c r="AM533" i="3"/>
  <c r="AK533" i="3"/>
  <c r="AD533" i="3"/>
  <c r="AF533" i="3"/>
  <c r="M533" i="3"/>
  <c r="AE533" i="3"/>
  <c r="V533" i="3"/>
  <c r="P533" i="3"/>
  <c r="T533" i="3"/>
  <c r="R533" i="3"/>
  <c r="X532" i="3"/>
  <c r="AV531" i="3"/>
  <c r="AX531" i="3"/>
  <c r="AW531" i="3"/>
  <c r="AN533" i="3" l="1"/>
  <c r="AG533" i="3"/>
  <c r="AO533" i="3"/>
  <c r="BA531" i="3"/>
  <c r="BB531" i="3" s="1"/>
  <c r="Y533" i="3"/>
  <c r="Z533" i="3" s="1"/>
  <c r="AY531" i="3"/>
  <c r="BC531" i="3" s="1"/>
  <c r="AH533" i="3"/>
  <c r="AX533" i="3" s="1"/>
  <c r="AU532" i="3"/>
  <c r="AV532" i="3" s="1"/>
  <c r="AX532" i="3"/>
  <c r="X533" i="3"/>
  <c r="B534" i="3"/>
  <c r="A535" i="3"/>
  <c r="AQ534" i="3"/>
  <c r="AR534" i="3"/>
  <c r="C534" i="3"/>
  <c r="D534" i="3"/>
  <c r="F534" i="3"/>
  <c r="BM534" i="3" s="1"/>
  <c r="G534" i="3"/>
  <c r="H534" i="3" s="1"/>
  <c r="BN534" i="3" s="1"/>
  <c r="Q534" i="3"/>
  <c r="S534" i="3"/>
  <c r="O534" i="3"/>
  <c r="U534" i="3"/>
  <c r="M534" i="3"/>
  <c r="AE534" i="3"/>
  <c r="AK534" i="3"/>
  <c r="AM534" i="3"/>
  <c r="AF534" i="3"/>
  <c r="AD534" i="3"/>
  <c r="P534" i="3"/>
  <c r="V534" i="3"/>
  <c r="T534" i="3"/>
  <c r="R534" i="3"/>
  <c r="BF530" i="3"/>
  <c r="BJ529" i="3" s="1"/>
  <c r="BK529" i="3" s="1"/>
  <c r="BQ530" i="3"/>
  <c r="BB530" i="3"/>
  <c r="AW532" i="3"/>
  <c r="BG530" i="3"/>
  <c r="BH530" i="3" s="1"/>
  <c r="BI530" i="3" s="1"/>
  <c r="BD530" i="3"/>
  <c r="BF531" i="3" l="1"/>
  <c r="BJ530" i="3" s="1"/>
  <c r="BK530" i="3" s="1"/>
  <c r="BQ531" i="3"/>
  <c r="AO534" i="3"/>
  <c r="AH534" i="3"/>
  <c r="AG534" i="3"/>
  <c r="BD531" i="3"/>
  <c r="BG531" i="3"/>
  <c r="BH531" i="3" s="1"/>
  <c r="BI531" i="3" s="1"/>
  <c r="X534" i="3"/>
  <c r="AN534" i="3"/>
  <c r="AX534" i="3" s="1"/>
  <c r="B535" i="3"/>
  <c r="D535" i="3"/>
  <c r="C535" i="3"/>
  <c r="A536" i="3"/>
  <c r="AR535" i="3"/>
  <c r="AQ535" i="3"/>
  <c r="F535" i="3"/>
  <c r="BM535" i="3" s="1"/>
  <c r="G535" i="3"/>
  <c r="H535" i="3" s="1"/>
  <c r="BN535" i="3" s="1"/>
  <c r="Q535" i="3"/>
  <c r="S535" i="3"/>
  <c r="O535" i="3"/>
  <c r="U535" i="3"/>
  <c r="AK535" i="3"/>
  <c r="AD535" i="3"/>
  <c r="AM535" i="3"/>
  <c r="M535" i="3"/>
  <c r="AF535" i="3"/>
  <c r="AE535" i="3"/>
  <c r="P535" i="3"/>
  <c r="R535" i="3"/>
  <c r="T535" i="3"/>
  <c r="V535" i="3"/>
  <c r="AU533" i="3"/>
  <c r="AT533" i="3"/>
  <c r="BA532" i="3"/>
  <c r="AY532" i="3"/>
  <c r="BC532" i="3" s="1"/>
  <c r="AW533" i="3"/>
  <c r="AY533" i="3" s="1"/>
  <c r="Y534" i="3"/>
  <c r="Z534" i="3" s="1"/>
  <c r="AT534" i="3" l="1"/>
  <c r="AU534" i="3"/>
  <c r="AG535" i="3"/>
  <c r="AN535" i="3"/>
  <c r="Y535" i="3"/>
  <c r="Z535" i="3" s="1"/>
  <c r="BD532" i="3"/>
  <c r="BG532" i="3"/>
  <c r="BH532" i="3" s="1"/>
  <c r="BI532" i="3" s="1"/>
  <c r="BA533" i="3"/>
  <c r="AV533" i="3"/>
  <c r="BC533" i="3" s="1"/>
  <c r="AH535" i="3"/>
  <c r="AO535" i="3"/>
  <c r="AQ536" i="3"/>
  <c r="AR536" i="3"/>
  <c r="D536" i="3"/>
  <c r="B536" i="3"/>
  <c r="C536" i="3"/>
  <c r="A537" i="3"/>
  <c r="F536" i="3"/>
  <c r="BM536" i="3" s="1"/>
  <c r="G536" i="3"/>
  <c r="H536" i="3" s="1"/>
  <c r="BN536" i="3" s="1"/>
  <c r="Q536" i="3"/>
  <c r="S536" i="3"/>
  <c r="O536" i="3"/>
  <c r="U536" i="3"/>
  <c r="AK536" i="3"/>
  <c r="AE536" i="3"/>
  <c r="AF536" i="3"/>
  <c r="M536" i="3"/>
  <c r="AD536" i="3"/>
  <c r="AM536" i="3"/>
  <c r="R536" i="3"/>
  <c r="V536" i="3"/>
  <c r="T536" i="3"/>
  <c r="P536" i="3"/>
  <c r="X535" i="3"/>
  <c r="AV534" i="3"/>
  <c r="BF532" i="3"/>
  <c r="BJ531" i="3" s="1"/>
  <c r="BK531" i="3" s="1"/>
  <c r="BQ532" i="3"/>
  <c r="BB532" i="3"/>
  <c r="AW534" i="3"/>
  <c r="AY534" i="3" s="1"/>
  <c r="AN536" i="3" l="1"/>
  <c r="AU535" i="3"/>
  <c r="AT535" i="3"/>
  <c r="AH536" i="3"/>
  <c r="Y536" i="3"/>
  <c r="Z536" i="3" s="1"/>
  <c r="AG536" i="3"/>
  <c r="AU536" i="3" s="1"/>
  <c r="AV535" i="3"/>
  <c r="AX536" i="3"/>
  <c r="X536" i="3"/>
  <c r="AX535" i="3"/>
  <c r="AQ537" i="3"/>
  <c r="C537" i="3"/>
  <c r="B537" i="3"/>
  <c r="A538" i="3"/>
  <c r="AR537" i="3"/>
  <c r="D537" i="3"/>
  <c r="G537" i="3"/>
  <c r="H537" i="3" s="1"/>
  <c r="BN537" i="3" s="1"/>
  <c r="F537" i="3"/>
  <c r="BM537" i="3" s="1"/>
  <c r="Q537" i="3"/>
  <c r="S537" i="3"/>
  <c r="O537" i="3"/>
  <c r="U537" i="3"/>
  <c r="AE537" i="3"/>
  <c r="AD537" i="3"/>
  <c r="AK537" i="3"/>
  <c r="AM537" i="3"/>
  <c r="AF537" i="3"/>
  <c r="M537" i="3"/>
  <c r="R537" i="3"/>
  <c r="V537" i="3"/>
  <c r="P537" i="3"/>
  <c r="T537" i="3"/>
  <c r="BD533" i="3"/>
  <c r="BG533" i="3"/>
  <c r="BH533" i="3" s="1"/>
  <c r="BI533" i="3" s="1"/>
  <c r="BC534" i="3"/>
  <c r="AO536" i="3"/>
  <c r="AW535" i="3"/>
  <c r="BQ533" i="3"/>
  <c r="BF533" i="3"/>
  <c r="BJ532" i="3" s="1"/>
  <c r="BK532" i="3" s="1"/>
  <c r="BB533" i="3"/>
  <c r="BA534" i="3"/>
  <c r="AN537" i="3" l="1"/>
  <c r="AH537" i="3"/>
  <c r="AY535" i="3"/>
  <c r="BA535" i="3"/>
  <c r="BF535" i="3" s="1"/>
  <c r="AO537" i="3"/>
  <c r="Y537" i="3"/>
  <c r="Z537" i="3" s="1"/>
  <c r="X537" i="3"/>
  <c r="BC535" i="3"/>
  <c r="AG537" i="3"/>
  <c r="BD534" i="3"/>
  <c r="BG534" i="3"/>
  <c r="BH534" i="3" s="1"/>
  <c r="BI534" i="3" s="1"/>
  <c r="B538" i="3"/>
  <c r="A539" i="3"/>
  <c r="AQ538" i="3"/>
  <c r="AR538" i="3"/>
  <c r="C538" i="3"/>
  <c r="D538" i="3"/>
  <c r="G538" i="3"/>
  <c r="H538" i="3" s="1"/>
  <c r="BN538" i="3" s="1"/>
  <c r="F538" i="3"/>
  <c r="BM538" i="3" s="1"/>
  <c r="Q538" i="3"/>
  <c r="S538" i="3"/>
  <c r="O538" i="3"/>
  <c r="U538" i="3"/>
  <c r="AD538" i="3"/>
  <c r="AK538" i="3"/>
  <c r="M538" i="3"/>
  <c r="AM538" i="3"/>
  <c r="AF538" i="3"/>
  <c r="AE538" i="3"/>
  <c r="T538" i="3"/>
  <c r="P538" i="3"/>
  <c r="V538" i="3"/>
  <c r="R538" i="3"/>
  <c r="BB534" i="3"/>
  <c r="BF534" i="3"/>
  <c r="BJ533" i="3" s="1"/>
  <c r="BK533" i="3" s="1"/>
  <c r="BQ534" i="3"/>
  <c r="AW536" i="3"/>
  <c r="AY536" i="3" s="1"/>
  <c r="AT536" i="3"/>
  <c r="BB535" i="3" l="1"/>
  <c r="AW537" i="3"/>
  <c r="AN538" i="3"/>
  <c r="BQ535" i="3"/>
  <c r="AG538" i="3"/>
  <c r="AO538" i="3"/>
  <c r="AH538" i="3"/>
  <c r="AU538" i="3" s="1"/>
  <c r="AT537" i="3"/>
  <c r="AR539" i="3"/>
  <c r="B539" i="3"/>
  <c r="AQ539" i="3"/>
  <c r="A540" i="3"/>
  <c r="C539" i="3"/>
  <c r="D539" i="3"/>
  <c r="G539" i="3"/>
  <c r="H539" i="3" s="1"/>
  <c r="BN539" i="3" s="1"/>
  <c r="F539" i="3"/>
  <c r="BM539" i="3" s="1"/>
  <c r="S539" i="3"/>
  <c r="Q539" i="3"/>
  <c r="O539" i="3"/>
  <c r="U539" i="3"/>
  <c r="AM539" i="3"/>
  <c r="AK539" i="3"/>
  <c r="M539" i="3"/>
  <c r="AD539" i="3"/>
  <c r="AE539" i="3"/>
  <c r="AF539" i="3"/>
  <c r="V539" i="3"/>
  <c r="R539" i="3"/>
  <c r="P539" i="3"/>
  <c r="T539" i="3"/>
  <c r="BD535" i="3"/>
  <c r="BG535" i="3"/>
  <c r="BH535" i="3" s="1"/>
  <c r="BI535" i="3" s="1"/>
  <c r="AU537" i="3"/>
  <c r="AV536" i="3"/>
  <c r="BC536" i="3" s="1"/>
  <c r="BA536" i="3"/>
  <c r="AX537" i="3"/>
  <c r="AY537" i="3" s="1"/>
  <c r="Y538" i="3"/>
  <c r="Z538" i="3" s="1"/>
  <c r="X538" i="3"/>
  <c r="BJ534" i="3"/>
  <c r="BK534" i="3" s="1"/>
  <c r="AX538" i="3" l="1"/>
  <c r="AO539" i="3"/>
  <c r="AT538" i="3"/>
  <c r="AV538" i="3" s="1"/>
  <c r="AN539" i="3"/>
  <c r="AG539" i="3"/>
  <c r="A541" i="3"/>
  <c r="B540" i="3"/>
  <c r="AQ540" i="3"/>
  <c r="AR540" i="3"/>
  <c r="C540" i="3"/>
  <c r="D540" i="3"/>
  <c r="F540" i="3"/>
  <c r="BM540" i="3" s="1"/>
  <c r="G540" i="3"/>
  <c r="H540" i="3" s="1"/>
  <c r="BN540" i="3" s="1"/>
  <c r="Q540" i="3"/>
  <c r="S540" i="3"/>
  <c r="O540" i="3"/>
  <c r="U540" i="3"/>
  <c r="AM540" i="3"/>
  <c r="AE540" i="3"/>
  <c r="AD540" i="3"/>
  <c r="AK540" i="3"/>
  <c r="M540" i="3"/>
  <c r="AF540" i="3"/>
  <c r="T540" i="3"/>
  <c r="R540" i="3"/>
  <c r="P540" i="3"/>
  <c r="V540" i="3"/>
  <c r="Y539" i="3"/>
  <c r="Z539" i="3" s="1"/>
  <c r="BD536" i="3"/>
  <c r="BG536" i="3"/>
  <c r="BH536" i="3" s="1"/>
  <c r="BI536" i="3" s="1"/>
  <c r="AH539" i="3"/>
  <c r="X539" i="3"/>
  <c r="AV537" i="3"/>
  <c r="BC537" i="3" s="1"/>
  <c r="BA537" i="3"/>
  <c r="BB536" i="3"/>
  <c r="BF536" i="3"/>
  <c r="BJ535" i="3" s="1"/>
  <c r="BK535" i="3" s="1"/>
  <c r="BQ536" i="3"/>
  <c r="AW538" i="3"/>
  <c r="BA538" i="3" l="1"/>
  <c r="AY538" i="3"/>
  <c r="AO540" i="3"/>
  <c r="AX539" i="3"/>
  <c r="Y540" i="3"/>
  <c r="Z540" i="3" s="1"/>
  <c r="AU539" i="3"/>
  <c r="BQ538" i="3"/>
  <c r="BF538" i="3"/>
  <c r="BB538" i="3"/>
  <c r="X540" i="3"/>
  <c r="AG540" i="3"/>
  <c r="AN540" i="3"/>
  <c r="AT539" i="3"/>
  <c r="BC538" i="3"/>
  <c r="AW539" i="3"/>
  <c r="AY539" i="3" s="1"/>
  <c r="AH540" i="3"/>
  <c r="AQ541" i="3"/>
  <c r="AR541" i="3"/>
  <c r="C541" i="3"/>
  <c r="B541" i="3"/>
  <c r="D541" i="3"/>
  <c r="A542" i="3"/>
  <c r="G541" i="3"/>
  <c r="H541" i="3" s="1"/>
  <c r="BN541" i="3" s="1"/>
  <c r="F541" i="3"/>
  <c r="BM541" i="3" s="1"/>
  <c r="Q541" i="3"/>
  <c r="S541" i="3"/>
  <c r="O541" i="3"/>
  <c r="U541" i="3"/>
  <c r="AM541" i="3"/>
  <c r="AK541" i="3"/>
  <c r="AE541" i="3"/>
  <c r="AF541" i="3"/>
  <c r="AD541" i="3"/>
  <c r="M541" i="3"/>
  <c r="P541" i="3"/>
  <c r="T541" i="3"/>
  <c r="R541" i="3"/>
  <c r="V541" i="3"/>
  <c r="BB537" i="3"/>
  <c r="BF537" i="3"/>
  <c r="BJ536" i="3" s="1"/>
  <c r="BK536" i="3" s="1"/>
  <c r="BQ537" i="3"/>
  <c r="BD537" i="3"/>
  <c r="BG537" i="3"/>
  <c r="BH537" i="3" s="1"/>
  <c r="BI537" i="3" s="1"/>
  <c r="AO541" i="3" l="1"/>
  <c r="AX540" i="3"/>
  <c r="AH541" i="3"/>
  <c r="AG541" i="3"/>
  <c r="X541" i="3"/>
  <c r="AU540" i="3"/>
  <c r="BA539" i="3"/>
  <c r="AV539" i="3"/>
  <c r="BC539" i="3" s="1"/>
  <c r="BD538" i="3"/>
  <c r="BG538" i="3"/>
  <c r="BH538" i="3" s="1"/>
  <c r="BI538" i="3" s="1"/>
  <c r="AT540" i="3"/>
  <c r="AN541" i="3"/>
  <c r="AW540" i="3"/>
  <c r="AY540" i="3" s="1"/>
  <c r="BJ537" i="3"/>
  <c r="BK537" i="3" s="1"/>
  <c r="AQ542" i="3"/>
  <c r="C542" i="3"/>
  <c r="D542" i="3"/>
  <c r="B542" i="3"/>
  <c r="A543" i="3"/>
  <c r="AR542" i="3"/>
  <c r="G542" i="3"/>
  <c r="H542" i="3" s="1"/>
  <c r="BN542" i="3" s="1"/>
  <c r="F542" i="3"/>
  <c r="BM542" i="3" s="1"/>
  <c r="S542" i="3"/>
  <c r="Q542" i="3"/>
  <c r="O542" i="3"/>
  <c r="U542" i="3"/>
  <c r="AM542" i="3"/>
  <c r="AD542" i="3"/>
  <c r="AE542" i="3"/>
  <c r="AK542" i="3"/>
  <c r="M542" i="3"/>
  <c r="AF542" i="3"/>
  <c r="V542" i="3"/>
  <c r="P542" i="3"/>
  <c r="R542" i="3"/>
  <c r="T542" i="3"/>
  <c r="Y541" i="3"/>
  <c r="Z541" i="3" s="1"/>
  <c r="AO542" i="3" l="1"/>
  <c r="AT541" i="3"/>
  <c r="Y542" i="3"/>
  <c r="Z542" i="3" s="1"/>
  <c r="AX541" i="3"/>
  <c r="AU541" i="3"/>
  <c r="AN542" i="3"/>
  <c r="AH542" i="3"/>
  <c r="C543" i="3"/>
  <c r="D543" i="3"/>
  <c r="B543" i="3"/>
  <c r="AQ543" i="3"/>
  <c r="AR543" i="3"/>
  <c r="A544" i="3"/>
  <c r="G543" i="3"/>
  <c r="H543" i="3" s="1"/>
  <c r="BN543" i="3" s="1"/>
  <c r="F543" i="3"/>
  <c r="BM543" i="3" s="1"/>
  <c r="Q543" i="3"/>
  <c r="S543" i="3"/>
  <c r="O543" i="3"/>
  <c r="U543" i="3"/>
  <c r="AK543" i="3"/>
  <c r="AE543" i="3"/>
  <c r="AM543" i="3"/>
  <c r="AD543" i="3"/>
  <c r="M543" i="3"/>
  <c r="AF543" i="3"/>
  <c r="V543" i="3"/>
  <c r="P543" i="3"/>
  <c r="R543" i="3"/>
  <c r="T543" i="3"/>
  <c r="BD539" i="3"/>
  <c r="BG539" i="3"/>
  <c r="BH539" i="3" s="1"/>
  <c r="BI539" i="3" s="1"/>
  <c r="X542" i="3"/>
  <c r="AG542" i="3"/>
  <c r="AV540" i="3"/>
  <c r="BC540" i="3" s="1"/>
  <c r="BA540" i="3"/>
  <c r="BQ539" i="3"/>
  <c r="BB539" i="3"/>
  <c r="BF539" i="3"/>
  <c r="BJ538" i="3" s="1"/>
  <c r="BK538" i="3" s="1"/>
  <c r="AW541" i="3"/>
  <c r="AY541" i="3" s="1"/>
  <c r="AH543" i="3" l="1"/>
  <c r="AV541" i="3"/>
  <c r="BC541" i="3" s="1"/>
  <c r="AN543" i="3"/>
  <c r="BA541" i="3"/>
  <c r="BB541" i="3" s="1"/>
  <c r="AW542" i="3"/>
  <c r="AO543" i="3"/>
  <c r="BF541" i="3"/>
  <c r="BQ541" i="3"/>
  <c r="AU542" i="3"/>
  <c r="Y543" i="3"/>
  <c r="Z543" i="3" s="1"/>
  <c r="X543" i="3"/>
  <c r="AT543" i="3"/>
  <c r="AX543" i="3"/>
  <c r="B544" i="3"/>
  <c r="AQ544" i="3"/>
  <c r="AR544" i="3"/>
  <c r="A545" i="3"/>
  <c r="C544" i="3"/>
  <c r="D544" i="3"/>
  <c r="F544" i="3"/>
  <c r="BM544" i="3" s="1"/>
  <c r="G544" i="3"/>
  <c r="H544" i="3" s="1"/>
  <c r="BN544" i="3" s="1"/>
  <c r="Q544" i="3"/>
  <c r="S544" i="3"/>
  <c r="O544" i="3"/>
  <c r="U544" i="3"/>
  <c r="AK544" i="3"/>
  <c r="M544" i="3"/>
  <c r="AE544" i="3"/>
  <c r="AF544" i="3"/>
  <c r="AD544" i="3"/>
  <c r="AM544" i="3"/>
  <c r="R544" i="3"/>
  <c r="P544" i="3"/>
  <c r="T544" i="3"/>
  <c r="V544" i="3"/>
  <c r="BF540" i="3"/>
  <c r="BJ539" i="3" s="1"/>
  <c r="BK539" i="3" s="1"/>
  <c r="BQ540" i="3"/>
  <c r="BB540" i="3"/>
  <c r="AG543" i="3"/>
  <c r="AX542" i="3"/>
  <c r="AY542" i="3" s="1"/>
  <c r="BD540" i="3"/>
  <c r="BG540" i="3"/>
  <c r="BH540" i="3" s="1"/>
  <c r="BI540" i="3" s="1"/>
  <c r="AT542" i="3"/>
  <c r="AW543" i="3" l="1"/>
  <c r="AY543" i="3" s="1"/>
  <c r="BG541" i="3"/>
  <c r="BH541" i="3" s="1"/>
  <c r="BI541" i="3" s="1"/>
  <c r="BD541" i="3"/>
  <c r="AN544" i="3"/>
  <c r="AH544" i="3"/>
  <c r="AV542" i="3"/>
  <c r="BC542" i="3" s="1"/>
  <c r="BA542" i="3"/>
  <c r="X544" i="3"/>
  <c r="AG544" i="3"/>
  <c r="AU544" i="3" s="1"/>
  <c r="AU543" i="3"/>
  <c r="BA543" i="3" s="1"/>
  <c r="C545" i="3"/>
  <c r="AQ545" i="3"/>
  <c r="B545" i="3"/>
  <c r="A546" i="3"/>
  <c r="AR545" i="3"/>
  <c r="D545" i="3"/>
  <c r="G545" i="3"/>
  <c r="H545" i="3" s="1"/>
  <c r="BN545" i="3" s="1"/>
  <c r="F545" i="3"/>
  <c r="BM545" i="3" s="1"/>
  <c r="S545" i="3"/>
  <c r="Q545" i="3"/>
  <c r="O545" i="3"/>
  <c r="U545" i="3"/>
  <c r="AK545" i="3"/>
  <c r="AE545" i="3"/>
  <c r="AM545" i="3"/>
  <c r="M545" i="3"/>
  <c r="AF545" i="3"/>
  <c r="AD545" i="3"/>
  <c r="P545" i="3"/>
  <c r="T545" i="3"/>
  <c r="V545" i="3"/>
  <c r="R545" i="3"/>
  <c r="BJ540" i="3"/>
  <c r="BK540" i="3" s="1"/>
  <c r="AO544" i="3"/>
  <c r="Y544" i="3"/>
  <c r="Z544" i="3" s="1"/>
  <c r="AN545" i="3" l="1"/>
  <c r="Y545" i="3"/>
  <c r="Z545" i="3" s="1"/>
  <c r="AH545" i="3"/>
  <c r="AW544" i="3"/>
  <c r="BB543" i="3"/>
  <c r="BQ543" i="3"/>
  <c r="BF543" i="3"/>
  <c r="AO545" i="3"/>
  <c r="AV543" i="3"/>
  <c r="BC543" i="3" s="1"/>
  <c r="AQ546" i="3"/>
  <c r="A547" i="3"/>
  <c r="AR546" i="3"/>
  <c r="C546" i="3"/>
  <c r="D546" i="3"/>
  <c r="B546" i="3"/>
  <c r="G546" i="3"/>
  <c r="H546" i="3" s="1"/>
  <c r="BN546" i="3" s="1"/>
  <c r="F546" i="3"/>
  <c r="BM546" i="3" s="1"/>
  <c r="Q546" i="3"/>
  <c r="S546" i="3"/>
  <c r="O546" i="3"/>
  <c r="U546" i="3"/>
  <c r="AE546" i="3"/>
  <c r="AD546" i="3"/>
  <c r="AK546" i="3"/>
  <c r="AM546" i="3"/>
  <c r="AF546" i="3"/>
  <c r="M546" i="3"/>
  <c r="V546" i="3"/>
  <c r="P546" i="3"/>
  <c r="T546" i="3"/>
  <c r="R546" i="3"/>
  <c r="AT544" i="3"/>
  <c r="X545" i="3"/>
  <c r="AG545" i="3"/>
  <c r="BQ542" i="3"/>
  <c r="BB542" i="3"/>
  <c r="BF542" i="3"/>
  <c r="BJ541" i="3" s="1"/>
  <c r="BK541" i="3" s="1"/>
  <c r="BG542" i="3"/>
  <c r="BH542" i="3" s="1"/>
  <c r="BI542" i="3" s="1"/>
  <c r="BD542" i="3"/>
  <c r="AX544" i="3"/>
  <c r="AY544" i="3" s="1"/>
  <c r="AN546" i="3" l="1"/>
  <c r="AU545" i="3"/>
  <c r="AO546" i="3"/>
  <c r="AX545" i="3"/>
  <c r="AG546" i="3"/>
  <c r="AH546" i="3"/>
  <c r="D547" i="3"/>
  <c r="AR547" i="3"/>
  <c r="B547" i="3"/>
  <c r="AQ547" i="3"/>
  <c r="C547" i="3"/>
  <c r="A548" i="3"/>
  <c r="F547" i="3"/>
  <c r="BM547" i="3" s="1"/>
  <c r="G547" i="3"/>
  <c r="H547" i="3" s="1"/>
  <c r="BN547" i="3" s="1"/>
  <c r="Q547" i="3"/>
  <c r="S547" i="3"/>
  <c r="O547" i="3"/>
  <c r="U547" i="3"/>
  <c r="M547" i="3"/>
  <c r="AD547" i="3"/>
  <c r="AM547" i="3"/>
  <c r="AE547" i="3"/>
  <c r="AF547" i="3"/>
  <c r="AK547" i="3"/>
  <c r="AO547" i="3" s="1"/>
  <c r="T547" i="3"/>
  <c r="P547" i="3"/>
  <c r="V547" i="3"/>
  <c r="R547" i="3"/>
  <c r="BD543" i="3"/>
  <c r="BG543" i="3"/>
  <c r="BH543" i="3" s="1"/>
  <c r="BI543" i="3" s="1"/>
  <c r="AV544" i="3"/>
  <c r="BC544" i="3" s="1"/>
  <c r="BA544" i="3"/>
  <c r="X546" i="3"/>
  <c r="AW545" i="3"/>
  <c r="Y546" i="3"/>
  <c r="Z546" i="3" s="1"/>
  <c r="BJ542" i="3"/>
  <c r="BK542" i="3" s="1"/>
  <c r="AT545" i="3"/>
  <c r="AX546" i="3" l="1"/>
  <c r="AT546" i="3"/>
  <c r="AY545" i="3"/>
  <c r="AG547" i="3"/>
  <c r="Y547" i="3"/>
  <c r="Z547" i="3" s="1"/>
  <c r="BD544" i="3"/>
  <c r="BG544" i="3"/>
  <c r="BH544" i="3" s="1"/>
  <c r="BI544" i="3" s="1"/>
  <c r="AN547" i="3"/>
  <c r="A549" i="3"/>
  <c r="C548" i="3"/>
  <c r="B548" i="3"/>
  <c r="AQ548" i="3"/>
  <c r="AR548" i="3"/>
  <c r="D548" i="3"/>
  <c r="F548" i="3"/>
  <c r="BM548" i="3" s="1"/>
  <c r="G548" i="3"/>
  <c r="H548" i="3" s="1"/>
  <c r="BN548" i="3" s="1"/>
  <c r="S548" i="3"/>
  <c r="Q548" i="3"/>
  <c r="O548" i="3"/>
  <c r="U548" i="3"/>
  <c r="AM548" i="3"/>
  <c r="AE548" i="3"/>
  <c r="AK548" i="3"/>
  <c r="AD548" i="3"/>
  <c r="M548" i="3"/>
  <c r="AF548" i="3"/>
  <c r="V548" i="3"/>
  <c r="P548" i="3"/>
  <c r="T548" i="3"/>
  <c r="R548" i="3"/>
  <c r="AH547" i="3"/>
  <c r="X547" i="3"/>
  <c r="AU546" i="3"/>
  <c r="AW546" i="3"/>
  <c r="AY546" i="3" s="1"/>
  <c r="BB544" i="3"/>
  <c r="BF544" i="3"/>
  <c r="BJ543" i="3" s="1"/>
  <c r="BK543" i="3" s="1"/>
  <c r="BQ544" i="3"/>
  <c r="AV545" i="3"/>
  <c r="BC545" i="3" s="1"/>
  <c r="BA545" i="3"/>
  <c r="AV546" i="3" l="1"/>
  <c r="BC546" i="3" s="1"/>
  <c r="BA546" i="3"/>
  <c r="AO548" i="3"/>
  <c r="AX547" i="3"/>
  <c r="AH548" i="3"/>
  <c r="BF546" i="3"/>
  <c r="BQ546" i="3"/>
  <c r="BB546" i="3"/>
  <c r="AG548" i="3"/>
  <c r="AT548" i="3" s="1"/>
  <c r="AN548" i="3"/>
  <c r="Y548" i="3"/>
  <c r="Z548" i="3" s="1"/>
  <c r="BD545" i="3"/>
  <c r="BG545" i="3"/>
  <c r="BH545" i="3" s="1"/>
  <c r="BI545" i="3" s="1"/>
  <c r="C549" i="3"/>
  <c r="B549" i="3"/>
  <c r="AQ549" i="3"/>
  <c r="A550" i="3"/>
  <c r="AR549" i="3"/>
  <c r="D549" i="3"/>
  <c r="G549" i="3"/>
  <c r="H549" i="3" s="1"/>
  <c r="BN549" i="3" s="1"/>
  <c r="F549" i="3"/>
  <c r="BM549" i="3" s="1"/>
  <c r="S549" i="3"/>
  <c r="Q549" i="3"/>
  <c r="O549" i="3"/>
  <c r="U549" i="3"/>
  <c r="AK549" i="3"/>
  <c r="AM549" i="3"/>
  <c r="AE549" i="3"/>
  <c r="AF549" i="3"/>
  <c r="M549" i="3"/>
  <c r="AD549" i="3"/>
  <c r="T549" i="3"/>
  <c r="V549" i="3"/>
  <c r="P549" i="3"/>
  <c r="R549" i="3"/>
  <c r="AU547" i="3"/>
  <c r="AT547" i="3"/>
  <c r="X548" i="3"/>
  <c r="BQ545" i="3"/>
  <c r="BB545" i="3"/>
  <c r="BF545" i="3"/>
  <c r="BJ544" i="3" s="1"/>
  <c r="BK544" i="3" s="1"/>
  <c r="AW547" i="3"/>
  <c r="AY547" i="3" s="1"/>
  <c r="BD546" i="3" l="1"/>
  <c r="BG546" i="3"/>
  <c r="BH546" i="3" s="1"/>
  <c r="BI546" i="3" s="1"/>
  <c r="AX548" i="3"/>
  <c r="AN549" i="3"/>
  <c r="AO549" i="3"/>
  <c r="AG549" i="3"/>
  <c r="Y549" i="3"/>
  <c r="Z549" i="3" s="1"/>
  <c r="B550" i="3"/>
  <c r="A551" i="3"/>
  <c r="AQ550" i="3"/>
  <c r="AR550" i="3"/>
  <c r="D550" i="3"/>
  <c r="C550" i="3"/>
  <c r="G550" i="3"/>
  <c r="H550" i="3" s="1"/>
  <c r="BN550" i="3" s="1"/>
  <c r="F550" i="3"/>
  <c r="BM550" i="3" s="1"/>
  <c r="Q550" i="3"/>
  <c r="S550" i="3"/>
  <c r="O550" i="3"/>
  <c r="U550" i="3"/>
  <c r="AE550" i="3"/>
  <c r="AK550" i="3"/>
  <c r="AD550" i="3"/>
  <c r="AM550" i="3"/>
  <c r="AF550" i="3"/>
  <c r="M550" i="3"/>
  <c r="V550" i="3"/>
  <c r="P550" i="3"/>
  <c r="R550" i="3"/>
  <c r="T550" i="3"/>
  <c r="X549" i="3"/>
  <c r="BA547" i="3"/>
  <c r="AV547" i="3"/>
  <c r="BC547" i="3" s="1"/>
  <c r="AH549" i="3"/>
  <c r="AW548" i="3"/>
  <c r="AU548" i="3"/>
  <c r="AV548" i="3" s="1"/>
  <c r="BJ545" i="3"/>
  <c r="BK545" i="3" s="1"/>
  <c r="AT549" i="3" l="1"/>
  <c r="AY548" i="3"/>
  <c r="BC548" i="3" s="1"/>
  <c r="AN550" i="3"/>
  <c r="BA548" i="3"/>
  <c r="AU549" i="3"/>
  <c r="AH550" i="3"/>
  <c r="BQ547" i="3"/>
  <c r="BF547" i="3"/>
  <c r="BJ546" i="3" s="1"/>
  <c r="BK546" i="3" s="1"/>
  <c r="BB547" i="3"/>
  <c r="BF548" i="3"/>
  <c r="BJ547" i="3" s="1"/>
  <c r="BK547" i="3" s="1"/>
  <c r="BB548" i="3"/>
  <c r="BQ548" i="3"/>
  <c r="X550" i="3"/>
  <c r="BD547" i="3"/>
  <c r="BG547" i="3"/>
  <c r="BH547" i="3" s="1"/>
  <c r="BI547" i="3" s="1"/>
  <c r="Y550" i="3"/>
  <c r="Z550" i="3" s="1"/>
  <c r="AO550" i="3"/>
  <c r="AG550" i="3"/>
  <c r="B551" i="3"/>
  <c r="D551" i="3"/>
  <c r="AR551" i="3"/>
  <c r="AQ551" i="3"/>
  <c r="A552" i="3"/>
  <c r="C551" i="3"/>
  <c r="F551" i="3"/>
  <c r="BM551" i="3" s="1"/>
  <c r="G551" i="3"/>
  <c r="H551" i="3" s="1"/>
  <c r="BN551" i="3" s="1"/>
  <c r="Q551" i="3"/>
  <c r="S551" i="3"/>
  <c r="O551" i="3"/>
  <c r="U551" i="3"/>
  <c r="AD551" i="3"/>
  <c r="AM551" i="3"/>
  <c r="AK551" i="3"/>
  <c r="AE551" i="3"/>
  <c r="AF551" i="3"/>
  <c r="M551" i="3"/>
  <c r="P551" i="3"/>
  <c r="V551" i="3"/>
  <c r="R551" i="3"/>
  <c r="T551" i="3"/>
  <c r="AV549" i="3"/>
  <c r="AW549" i="3"/>
  <c r="AX549" i="3"/>
  <c r="AW550" i="3" l="1"/>
  <c r="BA549" i="3"/>
  <c r="BQ549" i="3" s="1"/>
  <c r="AN551" i="3"/>
  <c r="AO551" i="3"/>
  <c r="B552" i="3"/>
  <c r="AQ552" i="3"/>
  <c r="AR552" i="3"/>
  <c r="A553" i="3"/>
  <c r="D552" i="3"/>
  <c r="C552" i="3"/>
  <c r="G552" i="3"/>
  <c r="H552" i="3" s="1"/>
  <c r="BN552" i="3" s="1"/>
  <c r="F552" i="3"/>
  <c r="BM552" i="3" s="1"/>
  <c r="Q552" i="3"/>
  <c r="S552" i="3"/>
  <c r="O552" i="3"/>
  <c r="U552" i="3"/>
  <c r="AM552" i="3"/>
  <c r="AK552" i="3"/>
  <c r="M552" i="3"/>
  <c r="AF552" i="3"/>
  <c r="AE552" i="3"/>
  <c r="AD552" i="3"/>
  <c r="T552" i="3"/>
  <c r="P552" i="3"/>
  <c r="V552" i="3"/>
  <c r="R552" i="3"/>
  <c r="AU550" i="3"/>
  <c r="X551" i="3"/>
  <c r="Y551" i="3"/>
  <c r="Z551" i="3" s="1"/>
  <c r="AT550" i="3"/>
  <c r="AX550" i="3"/>
  <c r="AY549" i="3"/>
  <c r="BC549" i="3" s="1"/>
  <c r="AH551" i="3"/>
  <c r="AG551" i="3"/>
  <c r="BD548" i="3"/>
  <c r="BG548" i="3"/>
  <c r="BH548" i="3" s="1"/>
  <c r="BI548" i="3" s="1"/>
  <c r="AU551" i="3" l="1"/>
  <c r="BF549" i="3"/>
  <c r="BJ548" i="3" s="1"/>
  <c r="BK548" i="3" s="1"/>
  <c r="BB549" i="3"/>
  <c r="AY550" i="3"/>
  <c r="AO552" i="3"/>
  <c r="AG552" i="3"/>
  <c r="AH552" i="3"/>
  <c r="AW551" i="3"/>
  <c r="AN552" i="3"/>
  <c r="BD549" i="3"/>
  <c r="BG549" i="3"/>
  <c r="BH549" i="3" s="1"/>
  <c r="BI549" i="3" s="1"/>
  <c r="X552" i="3"/>
  <c r="AT552" i="3"/>
  <c r="Y552" i="3"/>
  <c r="Z552" i="3" s="1"/>
  <c r="AU552" i="3"/>
  <c r="AQ553" i="3"/>
  <c r="B553" i="3"/>
  <c r="A554" i="3"/>
  <c r="D553" i="3"/>
  <c r="C553" i="3"/>
  <c r="AR553" i="3"/>
  <c r="G553" i="3"/>
  <c r="H553" i="3" s="1"/>
  <c r="BN553" i="3" s="1"/>
  <c r="F553" i="3"/>
  <c r="BM553" i="3" s="1"/>
  <c r="Q553" i="3"/>
  <c r="S553" i="3"/>
  <c r="O553" i="3"/>
  <c r="U553" i="3"/>
  <c r="AM553" i="3"/>
  <c r="M553" i="3"/>
  <c r="AE553" i="3"/>
  <c r="AK553" i="3"/>
  <c r="AF553" i="3"/>
  <c r="AD553" i="3"/>
  <c r="P553" i="3"/>
  <c r="T553" i="3"/>
  <c r="V553" i="3"/>
  <c r="R553" i="3"/>
  <c r="AX551" i="3"/>
  <c r="AT551" i="3"/>
  <c r="AV550" i="3"/>
  <c r="BA550" i="3"/>
  <c r="BC550" i="3" l="1"/>
  <c r="BD550" i="3" s="1"/>
  <c r="AW552" i="3"/>
  <c r="AO553" i="3"/>
  <c r="AY551" i="3"/>
  <c r="AH553" i="3"/>
  <c r="AX552" i="3"/>
  <c r="Y553" i="3"/>
  <c r="Z553" i="3" s="1"/>
  <c r="BA551" i="3"/>
  <c r="AV551" i="3"/>
  <c r="BC551" i="3" s="1"/>
  <c r="X553" i="3"/>
  <c r="AG553" i="3"/>
  <c r="AR554" i="3"/>
  <c r="AQ554" i="3"/>
  <c r="B554" i="3"/>
  <c r="D554" i="3"/>
  <c r="A555" i="3"/>
  <c r="C554" i="3"/>
  <c r="G554" i="3"/>
  <c r="H554" i="3" s="1"/>
  <c r="BN554" i="3" s="1"/>
  <c r="F554" i="3"/>
  <c r="BM554" i="3" s="1"/>
  <c r="Q554" i="3"/>
  <c r="S554" i="3"/>
  <c r="O554" i="3"/>
  <c r="U554" i="3"/>
  <c r="AK554" i="3"/>
  <c r="AM554" i="3"/>
  <c r="M554" i="3"/>
  <c r="AE554" i="3"/>
  <c r="AD554" i="3"/>
  <c r="AF554" i="3"/>
  <c r="R554" i="3"/>
  <c r="T554" i="3"/>
  <c r="V554" i="3"/>
  <c r="P554" i="3"/>
  <c r="AN553" i="3"/>
  <c r="AV552" i="3"/>
  <c r="BQ550" i="3"/>
  <c r="BB550" i="3"/>
  <c r="BF550" i="3"/>
  <c r="BJ549" i="3" s="1"/>
  <c r="BK549" i="3" s="1"/>
  <c r="BG550" i="3" l="1"/>
  <c r="BH550" i="3" s="1"/>
  <c r="BI550" i="3" s="1"/>
  <c r="AY552" i="3"/>
  <c r="AT553" i="3"/>
  <c r="AN554" i="3"/>
  <c r="AX553" i="3"/>
  <c r="BC552" i="3"/>
  <c r="BD552" i="3" s="1"/>
  <c r="BA552" i="3"/>
  <c r="BQ552" i="3" s="1"/>
  <c r="Y554" i="3"/>
  <c r="Z554" i="3" s="1"/>
  <c r="AG554" i="3"/>
  <c r="D555" i="3"/>
  <c r="C555" i="3"/>
  <c r="B555" i="3"/>
  <c r="AQ555" i="3"/>
  <c r="A556" i="3"/>
  <c r="AR555" i="3"/>
  <c r="F555" i="3"/>
  <c r="BM555" i="3" s="1"/>
  <c r="G555" i="3"/>
  <c r="H555" i="3" s="1"/>
  <c r="BN555" i="3" s="1"/>
  <c r="Q555" i="3"/>
  <c r="S555" i="3"/>
  <c r="O555" i="3"/>
  <c r="U555" i="3"/>
  <c r="AE555" i="3"/>
  <c r="M555" i="3"/>
  <c r="AD555" i="3"/>
  <c r="AK555" i="3"/>
  <c r="AM555" i="3"/>
  <c r="AF555" i="3"/>
  <c r="V555" i="3"/>
  <c r="P555" i="3"/>
  <c r="T555" i="3"/>
  <c r="R555" i="3"/>
  <c r="AW553" i="3"/>
  <c r="AO554" i="3"/>
  <c r="AU553" i="3"/>
  <c r="AH554" i="3"/>
  <c r="X554" i="3"/>
  <c r="BD551" i="3"/>
  <c r="BG551" i="3"/>
  <c r="BH551" i="3" s="1"/>
  <c r="BI551" i="3" s="1"/>
  <c r="BQ551" i="3"/>
  <c r="BF551" i="3"/>
  <c r="BJ550" i="3" s="1"/>
  <c r="BK550" i="3" s="1"/>
  <c r="BB551" i="3"/>
  <c r="AY553" i="3" l="1"/>
  <c r="AV553" i="3"/>
  <c r="AN555" i="3"/>
  <c r="BF552" i="3"/>
  <c r="BJ551" i="3" s="1"/>
  <c r="BK551" i="3" s="1"/>
  <c r="BG552" i="3"/>
  <c r="BH552" i="3" s="1"/>
  <c r="BI552" i="3" s="1"/>
  <c r="BB552" i="3"/>
  <c r="BC553" i="3"/>
  <c r="AT554" i="3"/>
  <c r="AU554" i="3"/>
  <c r="BD553" i="3"/>
  <c r="BG553" i="3"/>
  <c r="BH553" i="3" s="1"/>
  <c r="BI553" i="3" s="1"/>
  <c r="AG555" i="3"/>
  <c r="AH555" i="3"/>
  <c r="Y555" i="3"/>
  <c r="Z555" i="3" s="1"/>
  <c r="X555" i="3"/>
  <c r="AX554" i="3"/>
  <c r="AO555" i="3"/>
  <c r="A557" i="3"/>
  <c r="B556" i="3"/>
  <c r="AQ556" i="3"/>
  <c r="AR556" i="3"/>
  <c r="D556" i="3"/>
  <c r="C556" i="3"/>
  <c r="F556" i="3"/>
  <c r="BM556" i="3" s="1"/>
  <c r="G556" i="3"/>
  <c r="H556" i="3" s="1"/>
  <c r="BN556" i="3" s="1"/>
  <c r="Q556" i="3"/>
  <c r="S556" i="3"/>
  <c r="O556" i="3"/>
  <c r="U556" i="3"/>
  <c r="AK556" i="3"/>
  <c r="AD556" i="3"/>
  <c r="AM556" i="3"/>
  <c r="AE556" i="3"/>
  <c r="M556" i="3"/>
  <c r="AF556" i="3"/>
  <c r="T556" i="3"/>
  <c r="V556" i="3"/>
  <c r="P556" i="3"/>
  <c r="R556" i="3"/>
  <c r="AW554" i="3"/>
  <c r="BA553" i="3"/>
  <c r="AV554" i="3" l="1"/>
  <c r="AN556" i="3"/>
  <c r="AT555" i="3"/>
  <c r="AU555" i="3"/>
  <c r="AG556" i="3"/>
  <c r="AH556" i="3"/>
  <c r="BB553" i="3"/>
  <c r="BQ553" i="3"/>
  <c r="BF553" i="3"/>
  <c r="BJ552" i="3" s="1"/>
  <c r="BK552" i="3" s="1"/>
  <c r="X556" i="3"/>
  <c r="AT556" i="3"/>
  <c r="AY554" i="3"/>
  <c r="BC554" i="3" s="1"/>
  <c r="AO556" i="3"/>
  <c r="AU556" i="3"/>
  <c r="BA554" i="3"/>
  <c r="AQ557" i="3"/>
  <c r="B557" i="3"/>
  <c r="A558" i="3"/>
  <c r="AR557" i="3"/>
  <c r="D557" i="3"/>
  <c r="C557" i="3"/>
  <c r="G557" i="3"/>
  <c r="H557" i="3" s="1"/>
  <c r="BN557" i="3" s="1"/>
  <c r="F557" i="3"/>
  <c r="BM557" i="3" s="1"/>
  <c r="Q557" i="3"/>
  <c r="S557" i="3"/>
  <c r="O557" i="3"/>
  <c r="U557" i="3"/>
  <c r="AK557" i="3"/>
  <c r="M557" i="3"/>
  <c r="AD557" i="3"/>
  <c r="AE557" i="3"/>
  <c r="AM557" i="3"/>
  <c r="AF557" i="3"/>
  <c r="P557" i="3"/>
  <c r="R557" i="3"/>
  <c r="V557" i="3"/>
  <c r="T557" i="3"/>
  <c r="AX555" i="3"/>
  <c r="AW555" i="3"/>
  <c r="Y556" i="3"/>
  <c r="Z556" i="3" s="1"/>
  <c r="AV555" i="3" l="1"/>
  <c r="AN557" i="3"/>
  <c r="AY555" i="3"/>
  <c r="AH557" i="3"/>
  <c r="BD554" i="3"/>
  <c r="BG554" i="3"/>
  <c r="BH554" i="3" s="1"/>
  <c r="BI554" i="3" s="1"/>
  <c r="AO557" i="3"/>
  <c r="AV556" i="3"/>
  <c r="AQ558" i="3"/>
  <c r="B558" i="3"/>
  <c r="A559" i="3"/>
  <c r="AR558" i="3"/>
  <c r="D558" i="3"/>
  <c r="C558" i="3"/>
  <c r="G558" i="3"/>
  <c r="H558" i="3" s="1"/>
  <c r="BN558" i="3" s="1"/>
  <c r="F558" i="3"/>
  <c r="BM558" i="3" s="1"/>
  <c r="Q558" i="3"/>
  <c r="S558" i="3"/>
  <c r="O558" i="3"/>
  <c r="U558" i="3"/>
  <c r="AM558" i="3"/>
  <c r="M558" i="3"/>
  <c r="AK558" i="3"/>
  <c r="AF558" i="3"/>
  <c r="AD558" i="3"/>
  <c r="AE558" i="3"/>
  <c r="R558" i="3"/>
  <c r="V558" i="3"/>
  <c r="P558" i="3"/>
  <c r="T558" i="3"/>
  <c r="AG557" i="3"/>
  <c r="X557" i="3"/>
  <c r="Y557" i="3"/>
  <c r="Z557" i="3" s="1"/>
  <c r="BQ554" i="3"/>
  <c r="BB554" i="3"/>
  <c r="BF554" i="3"/>
  <c r="BJ553" i="3" s="1"/>
  <c r="BK553" i="3" s="1"/>
  <c r="AX556" i="3"/>
  <c r="BA555" i="3"/>
  <c r="AW556" i="3"/>
  <c r="BC555" i="3"/>
  <c r="AW557" i="3" l="1"/>
  <c r="AY556" i="3"/>
  <c r="BC556" i="3" s="1"/>
  <c r="AO558" i="3"/>
  <c r="AG558" i="3"/>
  <c r="Y558" i="3"/>
  <c r="Z558" i="3" s="1"/>
  <c r="AH558" i="3"/>
  <c r="X558" i="3"/>
  <c r="BD555" i="3"/>
  <c r="BG555" i="3"/>
  <c r="BH555" i="3" s="1"/>
  <c r="BI555" i="3" s="1"/>
  <c r="AT557" i="3"/>
  <c r="AR559" i="3"/>
  <c r="B559" i="3"/>
  <c r="A560" i="3"/>
  <c r="D559" i="3"/>
  <c r="AQ559" i="3"/>
  <c r="C559" i="3"/>
  <c r="G559" i="3"/>
  <c r="H559" i="3" s="1"/>
  <c r="BN559" i="3" s="1"/>
  <c r="F559" i="3"/>
  <c r="BM559" i="3" s="1"/>
  <c r="S559" i="3"/>
  <c r="Q559" i="3"/>
  <c r="O559" i="3"/>
  <c r="U559" i="3"/>
  <c r="AD559" i="3"/>
  <c r="AK559" i="3"/>
  <c r="AF559" i="3"/>
  <c r="AM559" i="3"/>
  <c r="AE559" i="3"/>
  <c r="M559" i="3"/>
  <c r="T559" i="3"/>
  <c r="V559" i="3"/>
  <c r="R559" i="3"/>
  <c r="P559" i="3"/>
  <c r="AN558" i="3"/>
  <c r="BQ555" i="3"/>
  <c r="BB555" i="3"/>
  <c r="BF555" i="3"/>
  <c r="BJ554" i="3" s="1"/>
  <c r="BK554" i="3" s="1"/>
  <c r="AU557" i="3"/>
  <c r="BA556" i="3"/>
  <c r="AX557" i="3"/>
  <c r="AY557" i="3" l="1"/>
  <c r="AW558" i="3"/>
  <c r="AN559" i="3"/>
  <c r="AG559" i="3"/>
  <c r="AX558" i="3"/>
  <c r="AY558" i="3" s="1"/>
  <c r="AH559" i="3"/>
  <c r="BA557" i="3"/>
  <c r="AV557" i="3"/>
  <c r="BC557" i="3" s="1"/>
  <c r="Y559" i="3"/>
  <c r="Z559" i="3" s="1"/>
  <c r="X559" i="3"/>
  <c r="AU559" i="3"/>
  <c r="AQ560" i="3"/>
  <c r="C560" i="3"/>
  <c r="D560" i="3"/>
  <c r="AR560" i="3"/>
  <c r="B560" i="3"/>
  <c r="A561" i="3"/>
  <c r="G560" i="3"/>
  <c r="H560" i="3" s="1"/>
  <c r="BN560" i="3" s="1"/>
  <c r="F560" i="3"/>
  <c r="BM560" i="3" s="1"/>
  <c r="Q560" i="3"/>
  <c r="S560" i="3"/>
  <c r="O560" i="3"/>
  <c r="U560" i="3"/>
  <c r="AK560" i="3"/>
  <c r="AE560" i="3"/>
  <c r="M560" i="3"/>
  <c r="AF560" i="3"/>
  <c r="AM560" i="3"/>
  <c r="AD560" i="3"/>
  <c r="V560" i="3"/>
  <c r="P560" i="3"/>
  <c r="T560" i="3"/>
  <c r="R560" i="3"/>
  <c r="BF556" i="3"/>
  <c r="BJ555" i="3" s="1"/>
  <c r="BK555" i="3" s="1"/>
  <c r="BQ556" i="3"/>
  <c r="BB556" i="3"/>
  <c r="AT558" i="3"/>
  <c r="BD556" i="3"/>
  <c r="BG556" i="3"/>
  <c r="BH556" i="3" s="1"/>
  <c r="BI556" i="3" s="1"/>
  <c r="AO559" i="3"/>
  <c r="AW559" i="3" s="1"/>
  <c r="AT559" i="3"/>
  <c r="AU558" i="3"/>
  <c r="AN560" i="3" l="1"/>
  <c r="AH560" i="3"/>
  <c r="Y560" i="3"/>
  <c r="Z560" i="3" s="1"/>
  <c r="AO560" i="3"/>
  <c r="C561" i="3"/>
  <c r="AR561" i="3"/>
  <c r="D561" i="3"/>
  <c r="AQ561" i="3"/>
  <c r="B561" i="3"/>
  <c r="A562" i="3"/>
  <c r="F561" i="3"/>
  <c r="BM561" i="3" s="1"/>
  <c r="G561" i="3"/>
  <c r="H561" i="3" s="1"/>
  <c r="BN561" i="3" s="1"/>
  <c r="Q561" i="3"/>
  <c r="S561" i="3"/>
  <c r="O561" i="3"/>
  <c r="U561" i="3"/>
  <c r="AM561" i="3"/>
  <c r="AD561" i="3"/>
  <c r="AE561" i="3"/>
  <c r="AK561" i="3"/>
  <c r="M561" i="3"/>
  <c r="AF561" i="3"/>
  <c r="R561" i="3"/>
  <c r="P561" i="3"/>
  <c r="V561" i="3"/>
  <c r="T561" i="3"/>
  <c r="X560" i="3"/>
  <c r="AV558" i="3"/>
  <c r="BC558" i="3" s="1"/>
  <c r="BA558" i="3"/>
  <c r="AG560" i="3"/>
  <c r="AV559" i="3"/>
  <c r="BD557" i="3"/>
  <c r="BG557" i="3"/>
  <c r="BH557" i="3" s="1"/>
  <c r="BI557" i="3" s="1"/>
  <c r="BF557" i="3"/>
  <c r="BJ556" i="3" s="1"/>
  <c r="BK556" i="3" s="1"/>
  <c r="BQ557" i="3"/>
  <c r="BB557" i="3"/>
  <c r="AX559" i="3"/>
  <c r="AY559" i="3" s="1"/>
  <c r="BA559" i="3" l="1"/>
  <c r="AO561" i="3"/>
  <c r="AW560" i="3"/>
  <c r="X561" i="3"/>
  <c r="AU560" i="3"/>
  <c r="BB558" i="3"/>
  <c r="BF558" i="3"/>
  <c r="BJ557" i="3" s="1"/>
  <c r="BK557" i="3" s="1"/>
  <c r="BQ558" i="3"/>
  <c r="BQ559" i="3"/>
  <c r="BF559" i="3"/>
  <c r="BB559" i="3"/>
  <c r="AX560" i="3"/>
  <c r="AY560" i="3" s="1"/>
  <c r="AT560" i="3"/>
  <c r="AG561" i="3"/>
  <c r="AH561" i="3"/>
  <c r="BD558" i="3"/>
  <c r="BG558" i="3"/>
  <c r="BH558" i="3" s="1"/>
  <c r="BI558" i="3" s="1"/>
  <c r="AN561" i="3"/>
  <c r="AQ562" i="3"/>
  <c r="B562" i="3"/>
  <c r="A563" i="3"/>
  <c r="AR562" i="3"/>
  <c r="C562" i="3"/>
  <c r="D562" i="3"/>
  <c r="G562" i="3"/>
  <c r="H562" i="3" s="1"/>
  <c r="BN562" i="3" s="1"/>
  <c r="F562" i="3"/>
  <c r="BM562" i="3" s="1"/>
  <c r="Q562" i="3"/>
  <c r="S562" i="3"/>
  <c r="O562" i="3"/>
  <c r="U562" i="3"/>
  <c r="AK562" i="3"/>
  <c r="AD562" i="3"/>
  <c r="M562" i="3"/>
  <c r="AM562" i="3"/>
  <c r="AF562" i="3"/>
  <c r="AE562" i="3"/>
  <c r="T562" i="3"/>
  <c r="P562" i="3"/>
  <c r="R562" i="3"/>
  <c r="V562" i="3"/>
  <c r="Y561" i="3"/>
  <c r="Z561" i="3" s="1"/>
  <c r="BC559" i="3"/>
  <c r="BJ558" i="3" l="1"/>
  <c r="BK558" i="3" s="1"/>
  <c r="AU561" i="3"/>
  <c r="AO562" i="3"/>
  <c r="AH562" i="3"/>
  <c r="BD559" i="3"/>
  <c r="BG559" i="3"/>
  <c r="BH559" i="3" s="1"/>
  <c r="BI559" i="3" s="1"/>
  <c r="AX561" i="3"/>
  <c r="AT561" i="3"/>
  <c r="C563" i="3"/>
  <c r="D563" i="3"/>
  <c r="AR563" i="3"/>
  <c r="B563" i="3"/>
  <c r="AQ563" i="3"/>
  <c r="A564" i="3"/>
  <c r="F563" i="3"/>
  <c r="BM563" i="3" s="1"/>
  <c r="G563" i="3"/>
  <c r="H563" i="3" s="1"/>
  <c r="BN563" i="3" s="1"/>
  <c r="Q563" i="3"/>
  <c r="S563" i="3"/>
  <c r="O563" i="3"/>
  <c r="U563" i="3"/>
  <c r="M563" i="3"/>
  <c r="AK563" i="3"/>
  <c r="AE563" i="3"/>
  <c r="AF563" i="3"/>
  <c r="AD563" i="3"/>
  <c r="AM563" i="3"/>
  <c r="P563" i="3"/>
  <c r="V563" i="3"/>
  <c r="T563" i="3"/>
  <c r="R563" i="3"/>
  <c r="AW561" i="3"/>
  <c r="AG562" i="3"/>
  <c r="X562" i="3"/>
  <c r="BA560" i="3"/>
  <c r="AV560" i="3"/>
  <c r="BC560" i="3" s="1"/>
  <c r="Y562" i="3"/>
  <c r="Z562" i="3" s="1"/>
  <c r="AN562" i="3"/>
  <c r="AW562" i="3" l="1"/>
  <c r="AN563" i="3"/>
  <c r="AH563" i="3"/>
  <c r="AX562" i="3"/>
  <c r="AY562" i="3" s="1"/>
  <c r="AO563" i="3"/>
  <c r="B564" i="3"/>
  <c r="AQ564" i="3"/>
  <c r="AR564" i="3"/>
  <c r="A565" i="3"/>
  <c r="C564" i="3"/>
  <c r="D564" i="3"/>
  <c r="F564" i="3"/>
  <c r="BM564" i="3" s="1"/>
  <c r="G564" i="3"/>
  <c r="H564" i="3" s="1"/>
  <c r="BN564" i="3" s="1"/>
  <c r="Q564" i="3"/>
  <c r="S564" i="3"/>
  <c r="O564" i="3"/>
  <c r="U564" i="3"/>
  <c r="AK564" i="3"/>
  <c r="AM564" i="3"/>
  <c r="AD564" i="3"/>
  <c r="AF564" i="3"/>
  <c r="M564" i="3"/>
  <c r="AE564" i="3"/>
  <c r="V564" i="3"/>
  <c r="P564" i="3"/>
  <c r="T564" i="3"/>
  <c r="R564" i="3"/>
  <c r="X563" i="3"/>
  <c r="AV561" i="3"/>
  <c r="BA561" i="3"/>
  <c r="AT562" i="3"/>
  <c r="AG563" i="3"/>
  <c r="BD560" i="3"/>
  <c r="BG560" i="3"/>
  <c r="BH560" i="3" s="1"/>
  <c r="BI560" i="3" s="1"/>
  <c r="Y563" i="3"/>
  <c r="Z563" i="3" s="1"/>
  <c r="AY561" i="3"/>
  <c r="BF560" i="3"/>
  <c r="BJ559" i="3" s="1"/>
  <c r="BK559" i="3" s="1"/>
  <c r="BQ560" i="3"/>
  <c r="BB560" i="3"/>
  <c r="AU562" i="3"/>
  <c r="AW563" i="3" l="1"/>
  <c r="BC561" i="3"/>
  <c r="AN564" i="3"/>
  <c r="AG564" i="3"/>
  <c r="AU563" i="3"/>
  <c r="AV562" i="3"/>
  <c r="BC562" i="3" s="1"/>
  <c r="BA562" i="3"/>
  <c r="AH564" i="3"/>
  <c r="Y564" i="3"/>
  <c r="Z564" i="3" s="1"/>
  <c r="AQ565" i="3"/>
  <c r="A566" i="3"/>
  <c r="B565" i="3"/>
  <c r="AR565" i="3"/>
  <c r="D565" i="3"/>
  <c r="C565" i="3"/>
  <c r="G565" i="3"/>
  <c r="H565" i="3" s="1"/>
  <c r="BN565" i="3" s="1"/>
  <c r="F565" i="3"/>
  <c r="BM565" i="3" s="1"/>
  <c r="Q565" i="3"/>
  <c r="S565" i="3"/>
  <c r="O565" i="3"/>
  <c r="U565" i="3"/>
  <c r="M565" i="3"/>
  <c r="AM565" i="3"/>
  <c r="AD565" i="3"/>
  <c r="AF565" i="3"/>
  <c r="AE565" i="3"/>
  <c r="AK565" i="3"/>
  <c r="T565" i="3"/>
  <c r="R565" i="3"/>
  <c r="V565" i="3"/>
  <c r="P565" i="3"/>
  <c r="AX563" i="3"/>
  <c r="BF561" i="3"/>
  <c r="BJ560" i="3" s="1"/>
  <c r="BK560" i="3" s="1"/>
  <c r="BQ561" i="3"/>
  <c r="BB561" i="3"/>
  <c r="AT563" i="3"/>
  <c r="BD561" i="3"/>
  <c r="BG561" i="3"/>
  <c r="BH561" i="3" s="1"/>
  <c r="BI561" i="3" s="1"/>
  <c r="AO564" i="3"/>
  <c r="X564" i="3"/>
  <c r="AY563" i="3" l="1"/>
  <c r="AU564" i="3"/>
  <c r="AO565" i="3"/>
  <c r="AW564" i="3"/>
  <c r="AG565" i="3"/>
  <c r="Y565" i="3"/>
  <c r="Z565" i="3" s="1"/>
  <c r="AH565" i="3"/>
  <c r="AN565" i="3"/>
  <c r="BA563" i="3"/>
  <c r="AV563" i="3"/>
  <c r="BC563" i="3" s="1"/>
  <c r="X565" i="3"/>
  <c r="B566" i="3"/>
  <c r="AQ566" i="3"/>
  <c r="A567" i="3"/>
  <c r="AR566" i="3"/>
  <c r="D566" i="3"/>
  <c r="C566" i="3"/>
  <c r="F566" i="3"/>
  <c r="BM566" i="3" s="1"/>
  <c r="G566" i="3"/>
  <c r="H566" i="3" s="1"/>
  <c r="BN566" i="3" s="1"/>
  <c r="Q566" i="3"/>
  <c r="S566" i="3"/>
  <c r="O566" i="3"/>
  <c r="U566" i="3"/>
  <c r="AM566" i="3"/>
  <c r="AE566" i="3"/>
  <c r="AD566" i="3"/>
  <c r="AK566" i="3"/>
  <c r="AF566" i="3"/>
  <c r="M566" i="3"/>
  <c r="R566" i="3"/>
  <c r="P566" i="3"/>
  <c r="V566" i="3"/>
  <c r="T566" i="3"/>
  <c r="AX564" i="3"/>
  <c r="BB562" i="3"/>
  <c r="BF562" i="3"/>
  <c r="BJ561" i="3" s="1"/>
  <c r="BK561" i="3" s="1"/>
  <c r="BQ562" i="3"/>
  <c r="AT564" i="3"/>
  <c r="BD562" i="3"/>
  <c r="BG562" i="3"/>
  <c r="BH562" i="3" s="1"/>
  <c r="BI562" i="3" s="1"/>
  <c r="AU565" i="3" l="1"/>
  <c r="AY564" i="3"/>
  <c r="AO566" i="3"/>
  <c r="AT565" i="3"/>
  <c r="AV565" i="3" s="1"/>
  <c r="Y566" i="3"/>
  <c r="Z566" i="3" s="1"/>
  <c r="X566" i="3"/>
  <c r="BB563" i="3"/>
  <c r="BQ563" i="3"/>
  <c r="BF563" i="3"/>
  <c r="BJ562" i="3" s="1"/>
  <c r="BK562" i="3" s="1"/>
  <c r="AH566" i="3"/>
  <c r="AG566" i="3"/>
  <c r="B567" i="3"/>
  <c r="A568" i="3"/>
  <c r="C567" i="3"/>
  <c r="D567" i="3"/>
  <c r="AQ567" i="3"/>
  <c r="AR567" i="3"/>
  <c r="F567" i="3"/>
  <c r="BM567" i="3" s="1"/>
  <c r="G567" i="3"/>
  <c r="H567" i="3" s="1"/>
  <c r="BN567" i="3" s="1"/>
  <c r="Q567" i="3"/>
  <c r="S567" i="3"/>
  <c r="O567" i="3"/>
  <c r="U567" i="3"/>
  <c r="AM567" i="3"/>
  <c r="AE567" i="3"/>
  <c r="AF567" i="3"/>
  <c r="AK567" i="3"/>
  <c r="AD567" i="3"/>
  <c r="M567" i="3"/>
  <c r="V567" i="3"/>
  <c r="T567" i="3"/>
  <c r="P567" i="3"/>
  <c r="R567" i="3"/>
  <c r="AN566" i="3"/>
  <c r="BD563" i="3"/>
  <c r="BG563" i="3"/>
  <c r="BH563" i="3" s="1"/>
  <c r="BI563" i="3" s="1"/>
  <c r="BA564" i="3"/>
  <c r="AV564" i="3"/>
  <c r="AX565" i="3"/>
  <c r="AW565" i="3"/>
  <c r="BA565" i="3" s="1"/>
  <c r="BC564" i="3" l="1"/>
  <c r="AY565" i="3"/>
  <c r="AW566" i="3"/>
  <c r="AT566" i="3"/>
  <c r="AO567" i="3"/>
  <c r="AH567" i="3"/>
  <c r="AU566" i="3"/>
  <c r="AV566" i="3" s="1"/>
  <c r="AN567" i="3"/>
  <c r="X567" i="3"/>
  <c r="AG567" i="3"/>
  <c r="Y567" i="3"/>
  <c r="Z567" i="3" s="1"/>
  <c r="BD564" i="3"/>
  <c r="BG564" i="3"/>
  <c r="BH564" i="3" s="1"/>
  <c r="BI564" i="3" s="1"/>
  <c r="BB565" i="3"/>
  <c r="BQ565" i="3"/>
  <c r="BF565" i="3"/>
  <c r="AT567" i="3"/>
  <c r="B568" i="3"/>
  <c r="AQ568" i="3"/>
  <c r="AR568" i="3"/>
  <c r="A569" i="3"/>
  <c r="C568" i="3"/>
  <c r="D568" i="3"/>
  <c r="F568" i="3"/>
  <c r="BM568" i="3" s="1"/>
  <c r="G568" i="3"/>
  <c r="H568" i="3" s="1"/>
  <c r="BN568" i="3" s="1"/>
  <c r="S568" i="3"/>
  <c r="Q568" i="3"/>
  <c r="O568" i="3"/>
  <c r="U568" i="3"/>
  <c r="AK568" i="3"/>
  <c r="AE568" i="3"/>
  <c r="AD568" i="3"/>
  <c r="M568" i="3"/>
  <c r="AF568" i="3"/>
  <c r="AM568" i="3"/>
  <c r="P568" i="3"/>
  <c r="V568" i="3"/>
  <c r="T568" i="3"/>
  <c r="R568" i="3"/>
  <c r="BB564" i="3"/>
  <c r="BQ564" i="3"/>
  <c r="BF564" i="3"/>
  <c r="BJ563" i="3" s="1"/>
  <c r="BK563" i="3" s="1"/>
  <c r="AX566" i="3"/>
  <c r="BA566" i="3" s="1"/>
  <c r="BC565" i="3"/>
  <c r="AW567" i="3" l="1"/>
  <c r="BJ564" i="3"/>
  <c r="BK564" i="3" s="1"/>
  <c r="AO568" i="3"/>
  <c r="X568" i="3"/>
  <c r="AH568" i="3"/>
  <c r="AG568" i="3"/>
  <c r="BB566" i="3"/>
  <c r="BF566" i="3"/>
  <c r="BJ565" i="3" s="1"/>
  <c r="BK565" i="3" s="1"/>
  <c r="BQ566" i="3"/>
  <c r="A570" i="3"/>
  <c r="AQ569" i="3"/>
  <c r="B569" i="3"/>
  <c r="AR569" i="3"/>
  <c r="C569" i="3"/>
  <c r="D569" i="3"/>
  <c r="G569" i="3"/>
  <c r="H569" i="3" s="1"/>
  <c r="BN569" i="3" s="1"/>
  <c r="F569" i="3"/>
  <c r="BM569" i="3" s="1"/>
  <c r="Q569" i="3"/>
  <c r="S569" i="3"/>
  <c r="O569" i="3"/>
  <c r="U569" i="3"/>
  <c r="AM569" i="3"/>
  <c r="AE569" i="3"/>
  <c r="M569" i="3"/>
  <c r="AF569" i="3"/>
  <c r="AK569" i="3"/>
  <c r="AD569" i="3"/>
  <c r="P569" i="3"/>
  <c r="T569" i="3"/>
  <c r="V569" i="3"/>
  <c r="R569" i="3"/>
  <c r="AT568" i="3"/>
  <c r="Y568" i="3"/>
  <c r="Z568" i="3" s="1"/>
  <c r="BD565" i="3"/>
  <c r="BG565" i="3"/>
  <c r="BH565" i="3" s="1"/>
  <c r="BI565" i="3" s="1"/>
  <c r="AY566" i="3"/>
  <c r="BC566" i="3" s="1"/>
  <c r="AX567" i="3"/>
  <c r="AY567" i="3" s="1"/>
  <c r="AN568" i="3"/>
  <c r="AU567" i="3"/>
  <c r="AV567" i="3" s="1"/>
  <c r="AU568" i="3" l="1"/>
  <c r="AW568" i="3"/>
  <c r="AX568" i="3"/>
  <c r="AO569" i="3"/>
  <c r="BA567" i="3"/>
  <c r="BB567" i="3" s="1"/>
  <c r="AV568" i="3"/>
  <c r="X569" i="3"/>
  <c r="Y569" i="3"/>
  <c r="Z569" i="3" s="1"/>
  <c r="AG569" i="3"/>
  <c r="AH569" i="3"/>
  <c r="BG566" i="3"/>
  <c r="BH566" i="3" s="1"/>
  <c r="BI566" i="3" s="1"/>
  <c r="BD566" i="3"/>
  <c r="BC567" i="3"/>
  <c r="AN569" i="3"/>
  <c r="B570" i="3"/>
  <c r="A571" i="3"/>
  <c r="AQ570" i="3"/>
  <c r="AR570" i="3"/>
  <c r="D570" i="3"/>
  <c r="C570" i="3"/>
  <c r="G570" i="3"/>
  <c r="H570" i="3" s="1"/>
  <c r="BN570" i="3" s="1"/>
  <c r="F570" i="3"/>
  <c r="BM570" i="3" s="1"/>
  <c r="Q570" i="3"/>
  <c r="S570" i="3"/>
  <c r="O570" i="3"/>
  <c r="U570" i="3"/>
  <c r="AM570" i="3"/>
  <c r="M570" i="3"/>
  <c r="AF570" i="3"/>
  <c r="AE570" i="3"/>
  <c r="AK570" i="3"/>
  <c r="AO570" i="3" s="1"/>
  <c r="AD570" i="3"/>
  <c r="P570" i="3"/>
  <c r="V570" i="3"/>
  <c r="T570" i="3"/>
  <c r="R570" i="3"/>
  <c r="BA568" i="3" l="1"/>
  <c r="BF568" i="3" s="1"/>
  <c r="BQ567" i="3"/>
  <c r="BF567" i="3"/>
  <c r="BJ566" i="3" s="1"/>
  <c r="BK566" i="3" s="1"/>
  <c r="AY568" i="3"/>
  <c r="AT569" i="3"/>
  <c r="AH570" i="3"/>
  <c r="X570" i="3"/>
  <c r="BD567" i="3"/>
  <c r="BG567" i="3"/>
  <c r="BH567" i="3" s="1"/>
  <c r="BI567" i="3" s="1"/>
  <c r="AU569" i="3"/>
  <c r="AV569" i="3" s="1"/>
  <c r="AG570" i="3"/>
  <c r="AW570" i="3" s="1"/>
  <c r="AW569" i="3"/>
  <c r="AQ571" i="3"/>
  <c r="AR571" i="3"/>
  <c r="B571" i="3"/>
  <c r="A572" i="3"/>
  <c r="D571" i="3"/>
  <c r="C571" i="3"/>
  <c r="F571" i="3"/>
  <c r="BM571" i="3" s="1"/>
  <c r="G571" i="3"/>
  <c r="H571" i="3" s="1"/>
  <c r="BN571" i="3" s="1"/>
  <c r="Q571" i="3"/>
  <c r="S571" i="3"/>
  <c r="O571" i="3"/>
  <c r="U571" i="3"/>
  <c r="M571" i="3"/>
  <c r="AE571" i="3"/>
  <c r="AM571" i="3"/>
  <c r="AK571" i="3"/>
  <c r="AD571" i="3"/>
  <c r="AF571" i="3"/>
  <c r="R571" i="3"/>
  <c r="P571" i="3"/>
  <c r="V571" i="3"/>
  <c r="T571" i="3"/>
  <c r="AN570" i="3"/>
  <c r="AX569" i="3"/>
  <c r="Y570" i="3"/>
  <c r="Z570" i="3" s="1"/>
  <c r="BC568" i="3"/>
  <c r="BB568" i="3" l="1"/>
  <c r="BQ568" i="3"/>
  <c r="BJ567" i="3"/>
  <c r="BK567" i="3" s="1"/>
  <c r="AO571" i="3"/>
  <c r="AX570" i="3"/>
  <c r="AY570" i="3" s="1"/>
  <c r="AG571" i="3"/>
  <c r="D572" i="3"/>
  <c r="C572" i="3"/>
  <c r="B572" i="3"/>
  <c r="AQ572" i="3"/>
  <c r="A573" i="3"/>
  <c r="AR572" i="3"/>
  <c r="F572" i="3"/>
  <c r="BM572" i="3" s="1"/>
  <c r="G572" i="3"/>
  <c r="H572" i="3" s="1"/>
  <c r="BN572" i="3" s="1"/>
  <c r="Q572" i="3"/>
  <c r="S572" i="3"/>
  <c r="O572" i="3"/>
  <c r="U572" i="3"/>
  <c r="AM572" i="3"/>
  <c r="AK572" i="3"/>
  <c r="AD572" i="3"/>
  <c r="AE572" i="3"/>
  <c r="M572" i="3"/>
  <c r="AF572" i="3"/>
  <c r="R572" i="3"/>
  <c r="T572" i="3"/>
  <c r="V572" i="3"/>
  <c r="P572" i="3"/>
  <c r="AT570" i="3"/>
  <c r="AN571" i="3"/>
  <c r="X571" i="3"/>
  <c r="AY569" i="3"/>
  <c r="BC569" i="3" s="1"/>
  <c r="AU570" i="3"/>
  <c r="BA569" i="3"/>
  <c r="Y571" i="3"/>
  <c r="Z571" i="3" s="1"/>
  <c r="AH571" i="3"/>
  <c r="BD568" i="3"/>
  <c r="BG568" i="3"/>
  <c r="BH568" i="3" s="1"/>
  <c r="BI568" i="3" s="1"/>
  <c r="AT571" i="3" l="1"/>
  <c r="AU571" i="3"/>
  <c r="Y572" i="3"/>
  <c r="Z572" i="3" s="1"/>
  <c r="AO572" i="3"/>
  <c r="BD569" i="3"/>
  <c r="BG569" i="3"/>
  <c r="BH569" i="3" s="1"/>
  <c r="BI569" i="3" s="1"/>
  <c r="X572" i="3"/>
  <c r="AH572" i="3"/>
  <c r="BA570" i="3"/>
  <c r="AV570" i="3"/>
  <c r="BC570" i="3" s="1"/>
  <c r="AN572" i="3"/>
  <c r="BF569" i="3"/>
  <c r="BJ568" i="3" s="1"/>
  <c r="BK568" i="3" s="1"/>
  <c r="BB569" i="3"/>
  <c r="BQ569" i="3"/>
  <c r="AG572" i="3"/>
  <c r="AQ573" i="3"/>
  <c r="B573" i="3"/>
  <c r="A574" i="3"/>
  <c r="AR573" i="3"/>
  <c r="D573" i="3"/>
  <c r="C573" i="3"/>
  <c r="G573" i="3"/>
  <c r="H573" i="3" s="1"/>
  <c r="BN573" i="3" s="1"/>
  <c r="F573" i="3"/>
  <c r="BM573" i="3" s="1"/>
  <c r="Q573" i="3"/>
  <c r="S573" i="3"/>
  <c r="O573" i="3"/>
  <c r="U573" i="3"/>
  <c r="AM573" i="3"/>
  <c r="AK573" i="3"/>
  <c r="M573" i="3"/>
  <c r="AF573" i="3"/>
  <c r="AE573" i="3"/>
  <c r="AD573" i="3"/>
  <c r="P573" i="3"/>
  <c r="V573" i="3"/>
  <c r="T573" i="3"/>
  <c r="R573" i="3"/>
  <c r="AV571" i="3"/>
  <c r="AW571" i="3"/>
  <c r="AX571" i="3"/>
  <c r="AW572" i="3" l="1"/>
  <c r="Y573" i="3"/>
  <c r="Z573" i="3" s="1"/>
  <c r="AO573" i="3"/>
  <c r="AG573" i="3"/>
  <c r="AN573" i="3"/>
  <c r="AY571" i="3"/>
  <c r="AH573" i="3"/>
  <c r="AT572" i="3"/>
  <c r="AU572" i="3"/>
  <c r="X573" i="3"/>
  <c r="BA571" i="3"/>
  <c r="B574" i="3"/>
  <c r="C574" i="3"/>
  <c r="A575" i="3"/>
  <c r="AQ574" i="3"/>
  <c r="AR574" i="3"/>
  <c r="D574" i="3"/>
  <c r="G574" i="3"/>
  <c r="H574" i="3" s="1"/>
  <c r="BN574" i="3" s="1"/>
  <c r="F574" i="3"/>
  <c r="BM574" i="3" s="1"/>
  <c r="Q574" i="3"/>
  <c r="S574" i="3"/>
  <c r="O574" i="3"/>
  <c r="U574" i="3"/>
  <c r="AK574" i="3"/>
  <c r="AF574" i="3"/>
  <c r="AD574" i="3"/>
  <c r="AM574" i="3"/>
  <c r="M574" i="3"/>
  <c r="AE574" i="3"/>
  <c r="R574" i="3"/>
  <c r="T574" i="3"/>
  <c r="P574" i="3"/>
  <c r="V574" i="3"/>
  <c r="BQ570" i="3"/>
  <c r="BF570" i="3"/>
  <c r="BJ569" i="3" s="1"/>
  <c r="BK569" i="3" s="1"/>
  <c r="BB570" i="3"/>
  <c r="BD570" i="3"/>
  <c r="BG570" i="3"/>
  <c r="BH570" i="3" s="1"/>
  <c r="BI570" i="3" s="1"/>
  <c r="AX572" i="3"/>
  <c r="AY572" i="3" s="1"/>
  <c r="BC571" i="3"/>
  <c r="AG574" i="3" l="1"/>
  <c r="AN574" i="3"/>
  <c r="AX573" i="3"/>
  <c r="AT573" i="3"/>
  <c r="AU573" i="3"/>
  <c r="AH574" i="3"/>
  <c r="AT574" i="3" s="1"/>
  <c r="AR575" i="3"/>
  <c r="AQ575" i="3"/>
  <c r="A576" i="3"/>
  <c r="B575" i="3"/>
  <c r="D575" i="3"/>
  <c r="C575" i="3"/>
  <c r="G575" i="3"/>
  <c r="H575" i="3" s="1"/>
  <c r="BN575" i="3" s="1"/>
  <c r="F575" i="3"/>
  <c r="BM575" i="3" s="1"/>
  <c r="Q575" i="3"/>
  <c r="S575" i="3"/>
  <c r="O575" i="3"/>
  <c r="U575" i="3"/>
  <c r="AD575" i="3"/>
  <c r="M575" i="3"/>
  <c r="AE575" i="3"/>
  <c r="AM575" i="3"/>
  <c r="AF575" i="3"/>
  <c r="AK575" i="3"/>
  <c r="P575" i="3"/>
  <c r="T575" i="3"/>
  <c r="V575" i="3"/>
  <c r="R575" i="3"/>
  <c r="X574" i="3"/>
  <c r="AV572" i="3"/>
  <c r="BC572" i="3" s="1"/>
  <c r="BA572" i="3"/>
  <c r="AO574" i="3"/>
  <c r="Y574" i="3"/>
  <c r="Z574" i="3" s="1"/>
  <c r="BB571" i="3"/>
  <c r="BF571" i="3"/>
  <c r="BJ570" i="3" s="1"/>
  <c r="BK570" i="3" s="1"/>
  <c r="BQ571" i="3"/>
  <c r="BD571" i="3"/>
  <c r="BG571" i="3"/>
  <c r="BH571" i="3" s="1"/>
  <c r="BI571" i="3" s="1"/>
  <c r="AW573" i="3"/>
  <c r="BA573" i="3" s="1"/>
  <c r="AW574" i="3" l="1"/>
  <c r="AU574" i="3"/>
  <c r="AV573" i="3"/>
  <c r="AO575" i="3"/>
  <c r="X575" i="3"/>
  <c r="BQ573" i="3"/>
  <c r="BB573" i="3"/>
  <c r="BF573" i="3"/>
  <c r="BF572" i="3"/>
  <c r="BJ571" i="3" s="1"/>
  <c r="BK571" i="3" s="1"/>
  <c r="BQ572" i="3"/>
  <c r="BB572" i="3"/>
  <c r="Y575" i="3"/>
  <c r="Z575" i="3" s="1"/>
  <c r="AN575" i="3"/>
  <c r="AH575" i="3"/>
  <c r="AY573" i="3"/>
  <c r="BC573" i="3" s="1"/>
  <c r="AV574" i="3"/>
  <c r="AG575" i="3"/>
  <c r="BD572" i="3"/>
  <c r="BG572" i="3"/>
  <c r="BH572" i="3" s="1"/>
  <c r="BI572" i="3" s="1"/>
  <c r="AR576" i="3"/>
  <c r="C576" i="3"/>
  <c r="B576" i="3"/>
  <c r="AQ576" i="3"/>
  <c r="A577" i="3"/>
  <c r="D576" i="3"/>
  <c r="F576" i="3"/>
  <c r="BM576" i="3" s="1"/>
  <c r="G576" i="3"/>
  <c r="H576" i="3" s="1"/>
  <c r="BN576" i="3" s="1"/>
  <c r="Q576" i="3"/>
  <c r="S576" i="3"/>
  <c r="O576" i="3"/>
  <c r="U576" i="3"/>
  <c r="AM576" i="3"/>
  <c r="AK576" i="3"/>
  <c r="AD576" i="3"/>
  <c r="AF576" i="3"/>
  <c r="AE576" i="3"/>
  <c r="M576" i="3"/>
  <c r="P576" i="3"/>
  <c r="T576" i="3"/>
  <c r="V576" i="3"/>
  <c r="R576" i="3"/>
  <c r="AX574" i="3"/>
  <c r="AY574" i="3" s="1"/>
  <c r="AO576" i="3" l="1"/>
  <c r="AW575" i="3"/>
  <c r="AT575" i="3"/>
  <c r="AG576" i="3"/>
  <c r="BC574" i="3"/>
  <c r="Y576" i="3"/>
  <c r="Z576" i="3" s="1"/>
  <c r="BA574" i="3"/>
  <c r="X576" i="3"/>
  <c r="AR577" i="3"/>
  <c r="A578" i="3"/>
  <c r="AQ577" i="3"/>
  <c r="B577" i="3"/>
  <c r="C577" i="3"/>
  <c r="D577" i="3"/>
  <c r="G577" i="3"/>
  <c r="H577" i="3" s="1"/>
  <c r="BN577" i="3" s="1"/>
  <c r="F577" i="3"/>
  <c r="BM577" i="3" s="1"/>
  <c r="Q577" i="3"/>
  <c r="S577" i="3"/>
  <c r="O577" i="3"/>
  <c r="U577" i="3"/>
  <c r="AM577" i="3"/>
  <c r="M577" i="3"/>
  <c r="AD577" i="3"/>
  <c r="AE577" i="3"/>
  <c r="AF577" i="3"/>
  <c r="AK577" i="3"/>
  <c r="V577" i="3"/>
  <c r="T577" i="3"/>
  <c r="P577" i="3"/>
  <c r="R577" i="3"/>
  <c r="AH576" i="3"/>
  <c r="BD573" i="3"/>
  <c r="BG573" i="3"/>
  <c r="BH573" i="3" s="1"/>
  <c r="BI573" i="3" s="1"/>
  <c r="AU575" i="3"/>
  <c r="AX575" i="3"/>
  <c r="BJ572" i="3"/>
  <c r="BK572" i="3" s="1"/>
  <c r="AN576" i="3"/>
  <c r="AX576" i="3" l="1"/>
  <c r="AY575" i="3"/>
  <c r="AO577" i="3"/>
  <c r="AV575" i="3"/>
  <c r="AW576" i="3"/>
  <c r="AY576" i="3" s="1"/>
  <c r="Y577" i="3"/>
  <c r="Z577" i="3" s="1"/>
  <c r="AG577" i="3"/>
  <c r="AH577" i="3"/>
  <c r="AQ578" i="3"/>
  <c r="B578" i="3"/>
  <c r="A579" i="3"/>
  <c r="C578" i="3"/>
  <c r="D578" i="3"/>
  <c r="AR578" i="3"/>
  <c r="F578" i="3"/>
  <c r="BM578" i="3" s="1"/>
  <c r="G578" i="3"/>
  <c r="H578" i="3" s="1"/>
  <c r="BN578" i="3" s="1"/>
  <c r="Q578" i="3"/>
  <c r="S578" i="3"/>
  <c r="O578" i="3"/>
  <c r="U578" i="3"/>
  <c r="M578" i="3"/>
  <c r="AE578" i="3"/>
  <c r="AM578" i="3"/>
  <c r="AD578" i="3"/>
  <c r="AF578" i="3"/>
  <c r="AK578" i="3"/>
  <c r="T578" i="3"/>
  <c r="R578" i="3"/>
  <c r="V578" i="3"/>
  <c r="P578" i="3"/>
  <c r="AT576" i="3"/>
  <c r="AN577" i="3"/>
  <c r="X577" i="3"/>
  <c r="BQ574" i="3"/>
  <c r="BB574" i="3"/>
  <c r="BF574" i="3"/>
  <c r="BJ573" i="3" s="1"/>
  <c r="BK573" i="3" s="1"/>
  <c r="BD574" i="3"/>
  <c r="BG574" i="3"/>
  <c r="BH574" i="3" s="1"/>
  <c r="BI574" i="3" s="1"/>
  <c r="BA575" i="3"/>
  <c r="AU576" i="3"/>
  <c r="BC575" i="3" l="1"/>
  <c r="AT577" i="3"/>
  <c r="AO578" i="3"/>
  <c r="Y578" i="3"/>
  <c r="Z578" i="3" s="1"/>
  <c r="AG578" i="3"/>
  <c r="AR579" i="3"/>
  <c r="A580" i="3"/>
  <c r="AQ579" i="3"/>
  <c r="B579" i="3"/>
  <c r="C579" i="3"/>
  <c r="D579" i="3"/>
  <c r="G579" i="3"/>
  <c r="H579" i="3" s="1"/>
  <c r="BN579" i="3" s="1"/>
  <c r="F579" i="3"/>
  <c r="BM579" i="3" s="1"/>
  <c r="Q579" i="3"/>
  <c r="S579" i="3"/>
  <c r="O579" i="3"/>
  <c r="U579" i="3"/>
  <c r="AD579" i="3"/>
  <c r="M579" i="3"/>
  <c r="AM579" i="3"/>
  <c r="AF579" i="3"/>
  <c r="AK579" i="3"/>
  <c r="AE579" i="3"/>
  <c r="P579" i="3"/>
  <c r="T579" i="3"/>
  <c r="V579" i="3"/>
  <c r="R579" i="3"/>
  <c r="X578" i="3"/>
  <c r="BF575" i="3"/>
  <c r="BJ574" i="3" s="1"/>
  <c r="BK574" i="3" s="1"/>
  <c r="BB575" i="3"/>
  <c r="BQ575" i="3"/>
  <c r="BA576" i="3"/>
  <c r="AV576" i="3"/>
  <c r="BC576" i="3" s="1"/>
  <c r="AH578" i="3"/>
  <c r="AN578" i="3"/>
  <c r="AW577" i="3"/>
  <c r="AX577" i="3"/>
  <c r="AU577" i="3"/>
  <c r="AV577" i="3" s="1"/>
  <c r="BD575" i="3"/>
  <c r="BG575" i="3"/>
  <c r="BH575" i="3" s="1"/>
  <c r="BI575" i="3" s="1"/>
  <c r="AG579" i="3" l="1"/>
  <c r="AX578" i="3"/>
  <c r="AN579" i="3"/>
  <c r="X579" i="3"/>
  <c r="BF576" i="3"/>
  <c r="BJ575" i="3" s="1"/>
  <c r="BK575" i="3" s="1"/>
  <c r="BQ576" i="3"/>
  <c r="BB576" i="3"/>
  <c r="Y579" i="3"/>
  <c r="Z579" i="3" s="1"/>
  <c r="BD576" i="3"/>
  <c r="BG576" i="3"/>
  <c r="BH576" i="3" s="1"/>
  <c r="BI576" i="3" s="1"/>
  <c r="AH579" i="3"/>
  <c r="A581" i="3"/>
  <c r="AR580" i="3"/>
  <c r="B580" i="3"/>
  <c r="AQ580" i="3"/>
  <c r="C580" i="3"/>
  <c r="D580" i="3"/>
  <c r="F580" i="3"/>
  <c r="BM580" i="3" s="1"/>
  <c r="G580" i="3"/>
  <c r="H580" i="3" s="1"/>
  <c r="BN580" i="3" s="1"/>
  <c r="Q580" i="3"/>
  <c r="S580" i="3"/>
  <c r="O580" i="3"/>
  <c r="U580" i="3"/>
  <c r="AD580" i="3"/>
  <c r="AM580" i="3"/>
  <c r="AK580" i="3"/>
  <c r="AF580" i="3"/>
  <c r="M580" i="3"/>
  <c r="AE580" i="3"/>
  <c r="T580" i="3"/>
  <c r="V580" i="3"/>
  <c r="R580" i="3"/>
  <c r="P580" i="3"/>
  <c r="AU578" i="3"/>
  <c r="AO579" i="3"/>
  <c r="AY577" i="3"/>
  <c r="BC577" i="3" s="1"/>
  <c r="AW578" i="3"/>
  <c r="BA577" i="3"/>
  <c r="AT578" i="3"/>
  <c r="AX579" i="3" l="1"/>
  <c r="AY578" i="3"/>
  <c r="AG580" i="3"/>
  <c r="AO580" i="3"/>
  <c r="BD577" i="3"/>
  <c r="BG577" i="3"/>
  <c r="BH577" i="3" s="1"/>
  <c r="BI577" i="3" s="1"/>
  <c r="AR581" i="3"/>
  <c r="A582" i="3"/>
  <c r="B581" i="3"/>
  <c r="D581" i="3"/>
  <c r="AQ581" i="3"/>
  <c r="C581" i="3"/>
  <c r="F581" i="3"/>
  <c r="BM581" i="3" s="1"/>
  <c r="G581" i="3"/>
  <c r="H581" i="3" s="1"/>
  <c r="BN581" i="3" s="1"/>
  <c r="Q581" i="3"/>
  <c r="S581" i="3"/>
  <c r="O581" i="3"/>
  <c r="U581" i="3"/>
  <c r="AK581" i="3"/>
  <c r="AM581" i="3"/>
  <c r="AF581" i="3"/>
  <c r="M581" i="3"/>
  <c r="AE581" i="3"/>
  <c r="AD581" i="3"/>
  <c r="T581" i="3"/>
  <c r="R581" i="3"/>
  <c r="V581" i="3"/>
  <c r="P581" i="3"/>
  <c r="AV578" i="3"/>
  <c r="BA578" i="3"/>
  <c r="X580" i="3"/>
  <c r="Y580" i="3"/>
  <c r="Z580" i="3" s="1"/>
  <c r="BQ577" i="3"/>
  <c r="BB577" i="3"/>
  <c r="BF577" i="3"/>
  <c r="BJ576" i="3" s="1"/>
  <c r="BK576" i="3" s="1"/>
  <c r="AN580" i="3"/>
  <c r="AT579" i="3"/>
  <c r="AH580" i="3"/>
  <c r="AU579" i="3"/>
  <c r="AW579" i="3"/>
  <c r="AY579" i="3" s="1"/>
  <c r="BC578" i="3" l="1"/>
  <c r="AN581" i="3"/>
  <c r="Y581" i="3"/>
  <c r="Z581" i="3" s="1"/>
  <c r="AG581" i="3"/>
  <c r="X581" i="3"/>
  <c r="AX580" i="3"/>
  <c r="AO581" i="3"/>
  <c r="C582" i="3"/>
  <c r="D582" i="3"/>
  <c r="AR582" i="3"/>
  <c r="AQ582" i="3"/>
  <c r="B582" i="3"/>
  <c r="A583" i="3"/>
  <c r="F582" i="3"/>
  <c r="BM582" i="3" s="1"/>
  <c r="G582" i="3"/>
  <c r="H582" i="3" s="1"/>
  <c r="BN582" i="3" s="1"/>
  <c r="Q582" i="3"/>
  <c r="S582" i="3"/>
  <c r="O582" i="3"/>
  <c r="U582" i="3"/>
  <c r="AM582" i="3"/>
  <c r="M582" i="3"/>
  <c r="AE582" i="3"/>
  <c r="AK582" i="3"/>
  <c r="AF582" i="3"/>
  <c r="AD582" i="3"/>
  <c r="P582" i="3"/>
  <c r="T582" i="3"/>
  <c r="V582" i="3"/>
  <c r="R582" i="3"/>
  <c r="BF578" i="3"/>
  <c r="BJ577" i="3" s="1"/>
  <c r="BK577" i="3" s="1"/>
  <c r="BB578" i="3"/>
  <c r="BQ578" i="3"/>
  <c r="AH581" i="3"/>
  <c r="AU580" i="3"/>
  <c r="AV579" i="3"/>
  <c r="BC579" i="3" s="1"/>
  <c r="BA579" i="3"/>
  <c r="AT580" i="3"/>
  <c r="AW580" i="3"/>
  <c r="BD578" i="3"/>
  <c r="BG578" i="3"/>
  <c r="BH578" i="3" s="1"/>
  <c r="BI578" i="3" s="1"/>
  <c r="AX581" i="3" l="1"/>
  <c r="AO582" i="3"/>
  <c r="AY580" i="3"/>
  <c r="Y582" i="3"/>
  <c r="Z582" i="3" s="1"/>
  <c r="AH582" i="3"/>
  <c r="AT581" i="3"/>
  <c r="AG582" i="3"/>
  <c r="AT582" i="3" s="1"/>
  <c r="AN582" i="3"/>
  <c r="AU581" i="3"/>
  <c r="B583" i="3"/>
  <c r="C583" i="3"/>
  <c r="D583" i="3"/>
  <c r="A584" i="3"/>
  <c r="AQ583" i="3"/>
  <c r="AR583" i="3"/>
  <c r="G583" i="3"/>
  <c r="H583" i="3" s="1"/>
  <c r="BN583" i="3" s="1"/>
  <c r="F583" i="3"/>
  <c r="BM583" i="3" s="1"/>
  <c r="Q583" i="3"/>
  <c r="S583" i="3"/>
  <c r="O583" i="3"/>
  <c r="U583" i="3"/>
  <c r="AD583" i="3"/>
  <c r="AM583" i="3"/>
  <c r="AK583" i="3"/>
  <c r="AE583" i="3"/>
  <c r="M583" i="3"/>
  <c r="AF583" i="3"/>
  <c r="P583" i="3"/>
  <c r="V583" i="3"/>
  <c r="T583" i="3"/>
  <c r="R583" i="3"/>
  <c r="X582" i="3"/>
  <c r="AV580" i="3"/>
  <c r="BA580" i="3"/>
  <c r="BQ579" i="3"/>
  <c r="BF579" i="3"/>
  <c r="BJ578" i="3" s="1"/>
  <c r="BK578" i="3" s="1"/>
  <c r="BB579" i="3"/>
  <c r="BD579" i="3"/>
  <c r="BG579" i="3"/>
  <c r="BH579" i="3" s="1"/>
  <c r="BI579" i="3" s="1"/>
  <c r="AW581" i="3"/>
  <c r="AY581" i="3" s="1"/>
  <c r="AX582" i="3" l="1"/>
  <c r="BC580" i="3"/>
  <c r="AU582" i="3"/>
  <c r="AV582" i="3" s="1"/>
  <c r="AH583" i="3"/>
  <c r="AN583" i="3"/>
  <c r="BD580" i="3"/>
  <c r="BG580" i="3"/>
  <c r="BH580" i="3" s="1"/>
  <c r="BI580" i="3" s="1"/>
  <c r="AO583" i="3"/>
  <c r="AG583" i="3"/>
  <c r="Y583" i="3"/>
  <c r="Z583" i="3" s="1"/>
  <c r="X583" i="3"/>
  <c r="AW582" i="3"/>
  <c r="BA582" i="3" s="1"/>
  <c r="A585" i="3"/>
  <c r="AQ584" i="3"/>
  <c r="AR584" i="3"/>
  <c r="B584" i="3"/>
  <c r="D584" i="3"/>
  <c r="C584" i="3"/>
  <c r="G584" i="3"/>
  <c r="H584" i="3" s="1"/>
  <c r="BN584" i="3" s="1"/>
  <c r="F584" i="3"/>
  <c r="BM584" i="3" s="1"/>
  <c r="S584" i="3"/>
  <c r="Q584" i="3"/>
  <c r="O584" i="3"/>
  <c r="U584" i="3"/>
  <c r="AM584" i="3"/>
  <c r="AD584" i="3"/>
  <c r="M584" i="3"/>
  <c r="AF584" i="3"/>
  <c r="AE584" i="3"/>
  <c r="AK584" i="3"/>
  <c r="V584" i="3"/>
  <c r="P584" i="3"/>
  <c r="R584" i="3"/>
  <c r="T584" i="3"/>
  <c r="BB580" i="3"/>
  <c r="BF580" i="3"/>
  <c r="BJ579" i="3" s="1"/>
  <c r="BK579" i="3" s="1"/>
  <c r="BQ580" i="3"/>
  <c r="BA581" i="3"/>
  <c r="AV581" i="3"/>
  <c r="BC581" i="3" s="1"/>
  <c r="AX583" i="3" l="1"/>
  <c r="AG584" i="3"/>
  <c r="AW583" i="3"/>
  <c r="AY583" i="3" s="1"/>
  <c r="AH584" i="3"/>
  <c r="AN584" i="3"/>
  <c r="BQ582" i="3"/>
  <c r="BB582" i="3"/>
  <c r="BF582" i="3"/>
  <c r="X584" i="3"/>
  <c r="AY582" i="3"/>
  <c r="AO584" i="3"/>
  <c r="BD581" i="3"/>
  <c r="BG581" i="3"/>
  <c r="BH581" i="3" s="1"/>
  <c r="BI581" i="3" s="1"/>
  <c r="Y584" i="3"/>
  <c r="Z584" i="3" s="1"/>
  <c r="BC582" i="3"/>
  <c r="AQ585" i="3"/>
  <c r="AR585" i="3"/>
  <c r="A586" i="3"/>
  <c r="B585" i="3"/>
  <c r="D585" i="3"/>
  <c r="C585" i="3"/>
  <c r="G585" i="3"/>
  <c r="H585" i="3" s="1"/>
  <c r="BN585" i="3" s="1"/>
  <c r="F585" i="3"/>
  <c r="BM585" i="3" s="1"/>
  <c r="S585" i="3"/>
  <c r="Q585" i="3"/>
  <c r="O585" i="3"/>
  <c r="U585" i="3"/>
  <c r="AD585" i="3"/>
  <c r="AK585" i="3"/>
  <c r="AM585" i="3"/>
  <c r="M585" i="3"/>
  <c r="AF585" i="3"/>
  <c r="AE585" i="3"/>
  <c r="R585" i="3"/>
  <c r="T585" i="3"/>
  <c r="P585" i="3"/>
  <c r="V585" i="3"/>
  <c r="BQ581" i="3"/>
  <c r="BF581" i="3"/>
  <c r="BJ580" i="3" s="1"/>
  <c r="BK580" i="3" s="1"/>
  <c r="BB581" i="3"/>
  <c r="AU583" i="3"/>
  <c r="AT583" i="3"/>
  <c r="AN585" i="3" l="1"/>
  <c r="AW584" i="3"/>
  <c r="AU584" i="3"/>
  <c r="AT584" i="3"/>
  <c r="AX584" i="3"/>
  <c r="AY584" i="3" s="1"/>
  <c r="AO585" i="3"/>
  <c r="AR586" i="3"/>
  <c r="B586" i="3"/>
  <c r="A587" i="3"/>
  <c r="C586" i="3"/>
  <c r="AQ586" i="3"/>
  <c r="D586" i="3"/>
  <c r="G586" i="3"/>
  <c r="H586" i="3" s="1"/>
  <c r="BN586" i="3" s="1"/>
  <c r="F586" i="3"/>
  <c r="BM586" i="3" s="1"/>
  <c r="Q586" i="3"/>
  <c r="S586" i="3"/>
  <c r="O586" i="3"/>
  <c r="U586" i="3"/>
  <c r="AK586" i="3"/>
  <c r="AM586" i="3"/>
  <c r="AD586" i="3"/>
  <c r="AF586" i="3"/>
  <c r="AE586" i="3"/>
  <c r="M586" i="3"/>
  <c r="R586" i="3"/>
  <c r="T586" i="3"/>
  <c r="P586" i="3"/>
  <c r="V586" i="3"/>
  <c r="AH585" i="3"/>
  <c r="AU585" i="3" s="1"/>
  <c r="AV584" i="3"/>
  <c r="BA584" i="3"/>
  <c r="BJ581" i="3"/>
  <c r="BK581" i="3" s="1"/>
  <c r="X585" i="3"/>
  <c r="BD582" i="3"/>
  <c r="BG582" i="3"/>
  <c r="BH582" i="3" s="1"/>
  <c r="BI582" i="3" s="1"/>
  <c r="AV583" i="3"/>
  <c r="BC583" i="3" s="1"/>
  <c r="BA583" i="3"/>
  <c r="Y585" i="3"/>
  <c r="Z585" i="3" s="1"/>
  <c r="AG585" i="3"/>
  <c r="BC584" i="3" l="1"/>
  <c r="AN586" i="3"/>
  <c r="Y586" i="3"/>
  <c r="Z586" i="3" s="1"/>
  <c r="AX585" i="3"/>
  <c r="AG586" i="3"/>
  <c r="AO586" i="3"/>
  <c r="BD584" i="3"/>
  <c r="BG584" i="3"/>
  <c r="BH584" i="3" s="1"/>
  <c r="BI584" i="3" s="1"/>
  <c r="AT585" i="3"/>
  <c r="D587" i="3"/>
  <c r="A588" i="3"/>
  <c r="AQ587" i="3"/>
  <c r="AR587" i="3"/>
  <c r="B587" i="3"/>
  <c r="C587" i="3"/>
  <c r="G587" i="3"/>
  <c r="H587" i="3" s="1"/>
  <c r="BN587" i="3" s="1"/>
  <c r="F587" i="3"/>
  <c r="BM587" i="3" s="1"/>
  <c r="S587" i="3"/>
  <c r="Q587" i="3"/>
  <c r="O587" i="3"/>
  <c r="U587" i="3"/>
  <c r="AM587" i="3"/>
  <c r="AD587" i="3"/>
  <c r="AK587" i="3"/>
  <c r="AE587" i="3"/>
  <c r="AF587" i="3"/>
  <c r="M587" i="3"/>
  <c r="V587" i="3"/>
  <c r="R587" i="3"/>
  <c r="P587" i="3"/>
  <c r="T587" i="3"/>
  <c r="BF584" i="3"/>
  <c r="BB584" i="3"/>
  <c r="BQ584" i="3"/>
  <c r="X586" i="3"/>
  <c r="BF583" i="3"/>
  <c r="BJ582" i="3" s="1"/>
  <c r="BK582" i="3" s="1"/>
  <c r="BB583" i="3"/>
  <c r="BQ583" i="3"/>
  <c r="AH586" i="3"/>
  <c r="AW585" i="3"/>
  <c r="BD583" i="3"/>
  <c r="BG583" i="3"/>
  <c r="BH583" i="3" s="1"/>
  <c r="BI583" i="3" s="1"/>
  <c r="AX586" i="3" l="1"/>
  <c r="AY585" i="3"/>
  <c r="AT586" i="3"/>
  <c r="AO587" i="3"/>
  <c r="AH587" i="3"/>
  <c r="AU586" i="3"/>
  <c r="AV586" i="3" s="1"/>
  <c r="BJ583" i="3"/>
  <c r="BK583" i="3" s="1"/>
  <c r="AN587" i="3"/>
  <c r="AG587" i="3"/>
  <c r="X587" i="3"/>
  <c r="Y587" i="3"/>
  <c r="Z587" i="3" s="1"/>
  <c r="D588" i="3"/>
  <c r="C588" i="3"/>
  <c r="A589" i="3"/>
  <c r="AR588" i="3"/>
  <c r="B588" i="3"/>
  <c r="AQ588" i="3"/>
  <c r="F588" i="3"/>
  <c r="BM588" i="3" s="1"/>
  <c r="G588" i="3"/>
  <c r="H588" i="3" s="1"/>
  <c r="BN588" i="3" s="1"/>
  <c r="Q588" i="3"/>
  <c r="S588" i="3"/>
  <c r="O588" i="3"/>
  <c r="U588" i="3"/>
  <c r="AE588" i="3"/>
  <c r="AD588" i="3"/>
  <c r="AF588" i="3"/>
  <c r="AM588" i="3"/>
  <c r="M588" i="3"/>
  <c r="AK588" i="3"/>
  <c r="T588" i="3"/>
  <c r="R588" i="3"/>
  <c r="P588" i="3"/>
  <c r="V588" i="3"/>
  <c r="AV585" i="3"/>
  <c r="BA585" i="3"/>
  <c r="AW586" i="3"/>
  <c r="BC585" i="3" l="1"/>
  <c r="BD585" i="3" s="1"/>
  <c r="AO588" i="3"/>
  <c r="AW587" i="3"/>
  <c r="BA586" i="3"/>
  <c r="BQ586" i="3" s="1"/>
  <c r="Y588" i="3"/>
  <c r="Z588" i="3" s="1"/>
  <c r="AX587" i="3"/>
  <c r="AY587" i="3" s="1"/>
  <c r="AR589" i="3"/>
  <c r="A590" i="3"/>
  <c r="D589" i="3"/>
  <c r="AQ589" i="3"/>
  <c r="B589" i="3"/>
  <c r="C589" i="3"/>
  <c r="F589" i="3"/>
  <c r="BM589" i="3" s="1"/>
  <c r="G589" i="3"/>
  <c r="H589" i="3" s="1"/>
  <c r="BN589" i="3" s="1"/>
  <c r="Q589" i="3"/>
  <c r="S589" i="3"/>
  <c r="O589" i="3"/>
  <c r="U589" i="3"/>
  <c r="M589" i="3"/>
  <c r="AK589" i="3"/>
  <c r="AF589" i="3"/>
  <c r="AD589" i="3"/>
  <c r="AE589" i="3"/>
  <c r="AM589" i="3"/>
  <c r="P589" i="3"/>
  <c r="R589" i="3"/>
  <c r="V589" i="3"/>
  <c r="T589" i="3"/>
  <c r="AN588" i="3"/>
  <c r="X588" i="3"/>
  <c r="AY586" i="3"/>
  <c r="BC586" i="3" s="1"/>
  <c r="AH588" i="3"/>
  <c r="AU587" i="3"/>
  <c r="AG588" i="3"/>
  <c r="AT587" i="3"/>
  <c r="BQ585" i="3"/>
  <c r="BB585" i="3"/>
  <c r="BF585" i="3"/>
  <c r="BJ584" i="3" s="1"/>
  <c r="BK584" i="3" s="1"/>
  <c r="BB586" i="3" l="1"/>
  <c r="BF586" i="3"/>
  <c r="BG585" i="3"/>
  <c r="BH585" i="3" s="1"/>
  <c r="BI585" i="3" s="1"/>
  <c r="AN589" i="3"/>
  <c r="AG589" i="3"/>
  <c r="Y589" i="3"/>
  <c r="Z589" i="3" s="1"/>
  <c r="AX588" i="3"/>
  <c r="BD586" i="3"/>
  <c r="BG586" i="3"/>
  <c r="BH586" i="3" s="1"/>
  <c r="BI586" i="3" s="1"/>
  <c r="AR590" i="3"/>
  <c r="AQ590" i="3"/>
  <c r="B590" i="3"/>
  <c r="A591" i="3"/>
  <c r="D590" i="3"/>
  <c r="C590" i="3"/>
  <c r="G590" i="3"/>
  <c r="H590" i="3" s="1"/>
  <c r="BN590" i="3" s="1"/>
  <c r="F590" i="3"/>
  <c r="BM590" i="3" s="1"/>
  <c r="Q590" i="3"/>
  <c r="S590" i="3"/>
  <c r="O590" i="3"/>
  <c r="U590" i="3"/>
  <c r="AD590" i="3"/>
  <c r="AM590" i="3"/>
  <c r="AK590" i="3"/>
  <c r="AF590" i="3"/>
  <c r="M590" i="3"/>
  <c r="AE590" i="3"/>
  <c r="T590" i="3"/>
  <c r="P590" i="3"/>
  <c r="V590" i="3"/>
  <c r="R590" i="3"/>
  <c r="AO589" i="3"/>
  <c r="AW588" i="3"/>
  <c r="AT588" i="3"/>
  <c r="AU588" i="3"/>
  <c r="AH589" i="3"/>
  <c r="X589" i="3"/>
  <c r="BA587" i="3"/>
  <c r="AV587" i="3"/>
  <c r="BC587" i="3" s="1"/>
  <c r="BJ585" i="3"/>
  <c r="BK585" i="3" s="1"/>
  <c r="AY588" i="3" l="1"/>
  <c r="AG590" i="3"/>
  <c r="AT589" i="3"/>
  <c r="AO590" i="3"/>
  <c r="Y590" i="3"/>
  <c r="Z590" i="3" s="1"/>
  <c r="AU589" i="3"/>
  <c r="AW589" i="3"/>
  <c r="AN590" i="3"/>
  <c r="X590" i="3"/>
  <c r="BB587" i="3"/>
  <c r="BQ587" i="3"/>
  <c r="BF587" i="3"/>
  <c r="BJ586" i="3" s="1"/>
  <c r="BK586" i="3" s="1"/>
  <c r="AH590" i="3"/>
  <c r="AV588" i="3"/>
  <c r="BC588" i="3" s="1"/>
  <c r="BA588" i="3"/>
  <c r="A592" i="3"/>
  <c r="AQ591" i="3"/>
  <c r="AR591" i="3"/>
  <c r="B591" i="3"/>
  <c r="C591" i="3"/>
  <c r="D591" i="3"/>
  <c r="F591" i="3"/>
  <c r="BM591" i="3" s="1"/>
  <c r="G591" i="3"/>
  <c r="H591" i="3" s="1"/>
  <c r="BN591" i="3" s="1"/>
  <c r="S591" i="3"/>
  <c r="Q591" i="3"/>
  <c r="O591" i="3"/>
  <c r="U591" i="3"/>
  <c r="AD591" i="3"/>
  <c r="AE591" i="3"/>
  <c r="AF591" i="3"/>
  <c r="AM591" i="3"/>
  <c r="M591" i="3"/>
  <c r="AK591" i="3"/>
  <c r="P591" i="3"/>
  <c r="V591" i="3"/>
  <c r="R591" i="3"/>
  <c r="T591" i="3"/>
  <c r="BD587" i="3"/>
  <c r="BG587" i="3"/>
  <c r="BH587" i="3" s="1"/>
  <c r="BI587" i="3" s="1"/>
  <c r="AV589" i="3"/>
  <c r="AX589" i="3"/>
  <c r="AY589" i="3" l="1"/>
  <c r="AX590" i="3"/>
  <c r="AO591" i="3"/>
  <c r="AH591" i="3"/>
  <c r="AG591" i="3"/>
  <c r="AT590" i="3"/>
  <c r="AN591" i="3"/>
  <c r="AX591" i="3" s="1"/>
  <c r="BF588" i="3"/>
  <c r="BJ587" i="3" s="1"/>
  <c r="BK587" i="3" s="1"/>
  <c r="BB588" i="3"/>
  <c r="BQ588" i="3"/>
  <c r="AW591" i="3"/>
  <c r="BD588" i="3"/>
  <c r="BG588" i="3"/>
  <c r="BH588" i="3" s="1"/>
  <c r="BI588" i="3" s="1"/>
  <c r="BA589" i="3"/>
  <c r="AY590" i="3"/>
  <c r="X591" i="3"/>
  <c r="AT591" i="3"/>
  <c r="AR592" i="3"/>
  <c r="A593" i="3"/>
  <c r="B592" i="3"/>
  <c r="AQ592" i="3"/>
  <c r="D592" i="3"/>
  <c r="C592" i="3"/>
  <c r="G592" i="3"/>
  <c r="H592" i="3" s="1"/>
  <c r="BN592" i="3" s="1"/>
  <c r="F592" i="3"/>
  <c r="BM592" i="3" s="1"/>
  <c r="S592" i="3"/>
  <c r="Q592" i="3"/>
  <c r="O592" i="3"/>
  <c r="U592" i="3"/>
  <c r="M592" i="3"/>
  <c r="AK592" i="3"/>
  <c r="AD592" i="3"/>
  <c r="AF592" i="3"/>
  <c r="AM592" i="3"/>
  <c r="AE592" i="3"/>
  <c r="P592" i="3"/>
  <c r="V592" i="3"/>
  <c r="R592" i="3"/>
  <c r="T592" i="3"/>
  <c r="BC589" i="3"/>
  <c r="AU590" i="3"/>
  <c r="AW590" i="3"/>
  <c r="Y591" i="3"/>
  <c r="Z591" i="3" s="1"/>
  <c r="AU591" i="3" l="1"/>
  <c r="AH592" i="3"/>
  <c r="BA590" i="3"/>
  <c r="BF590" i="3" s="1"/>
  <c r="AO592" i="3"/>
  <c r="AY591" i="3"/>
  <c r="BB590" i="3"/>
  <c r="BQ590" i="3"/>
  <c r="Y592" i="3"/>
  <c r="Z592" i="3" s="1"/>
  <c r="X592" i="3"/>
  <c r="AV590" i="3"/>
  <c r="BC590" i="3" s="1"/>
  <c r="AR593" i="3"/>
  <c r="A594" i="3"/>
  <c r="D593" i="3"/>
  <c r="AQ593" i="3"/>
  <c r="B593" i="3"/>
  <c r="C593" i="3"/>
  <c r="G593" i="3"/>
  <c r="H593" i="3" s="1"/>
  <c r="BN593" i="3" s="1"/>
  <c r="F593" i="3"/>
  <c r="BM593" i="3" s="1"/>
  <c r="S593" i="3"/>
  <c r="Q593" i="3"/>
  <c r="O593" i="3"/>
  <c r="U593" i="3"/>
  <c r="AM593" i="3"/>
  <c r="AD593" i="3"/>
  <c r="AF593" i="3"/>
  <c r="AK593" i="3"/>
  <c r="AE593" i="3"/>
  <c r="M593" i="3"/>
  <c r="R593" i="3"/>
  <c r="P593" i="3"/>
  <c r="T593" i="3"/>
  <c r="V593" i="3"/>
  <c r="BB589" i="3"/>
  <c r="BQ589" i="3"/>
  <c r="BF589" i="3"/>
  <c r="BJ588" i="3" s="1"/>
  <c r="BK588" i="3" s="1"/>
  <c r="BD589" i="3"/>
  <c r="BG589" i="3"/>
  <c r="BH589" i="3" s="1"/>
  <c r="BI589" i="3" s="1"/>
  <c r="AV591" i="3"/>
  <c r="BA591" i="3"/>
  <c r="AG592" i="3"/>
  <c r="AU592" i="3" s="1"/>
  <c r="AN592" i="3"/>
  <c r="BC591" i="3" l="1"/>
  <c r="AG593" i="3"/>
  <c r="AX592" i="3"/>
  <c r="AO593" i="3"/>
  <c r="Y593" i="3"/>
  <c r="Z593" i="3" s="1"/>
  <c r="AH593" i="3"/>
  <c r="AU593" i="3" s="1"/>
  <c r="AW592" i="3"/>
  <c r="X593" i="3"/>
  <c r="BD590" i="3"/>
  <c r="BG590" i="3"/>
  <c r="BH590" i="3" s="1"/>
  <c r="BI590" i="3" s="1"/>
  <c r="AW593" i="3"/>
  <c r="AQ594" i="3"/>
  <c r="B594" i="3"/>
  <c r="A595" i="3"/>
  <c r="C594" i="3"/>
  <c r="D594" i="3"/>
  <c r="AR594" i="3"/>
  <c r="F594" i="3"/>
  <c r="G594" i="3"/>
  <c r="H594" i="3" s="1"/>
  <c r="BN594" i="3" s="1"/>
  <c r="Q594" i="3"/>
  <c r="S594" i="3"/>
  <c r="O594" i="3"/>
  <c r="U594" i="3"/>
  <c r="AM594" i="3"/>
  <c r="AK594" i="3"/>
  <c r="AE594" i="3"/>
  <c r="AF594" i="3"/>
  <c r="AD594" i="3"/>
  <c r="M594" i="3"/>
  <c r="V594" i="3"/>
  <c r="T594" i="3"/>
  <c r="P594" i="3"/>
  <c r="R594" i="3"/>
  <c r="BB591" i="3"/>
  <c r="BF591" i="3"/>
  <c r="BJ590" i="3" s="1"/>
  <c r="BK590" i="3" s="1"/>
  <c r="BQ591" i="3"/>
  <c r="AT592" i="3"/>
  <c r="AN593" i="3"/>
  <c r="BD591" i="3"/>
  <c r="BG591" i="3"/>
  <c r="BH591" i="3" s="1"/>
  <c r="BI591" i="3" s="1"/>
  <c r="BJ589" i="3"/>
  <c r="BK589" i="3" s="1"/>
  <c r="BM594" i="3" l="1"/>
  <c r="AY592" i="3"/>
  <c r="AT593" i="3"/>
  <c r="AV593" i="3" s="1"/>
  <c r="AO594" i="3"/>
  <c r="AH594" i="3"/>
  <c r="A596" i="3"/>
  <c r="AQ595" i="3"/>
  <c r="AR595" i="3"/>
  <c r="B595" i="3"/>
  <c r="D595" i="3"/>
  <c r="C595" i="3"/>
  <c r="F595" i="3"/>
  <c r="BM595" i="3" s="1"/>
  <c r="G595" i="3"/>
  <c r="H595" i="3" s="1"/>
  <c r="BN595" i="3" s="1"/>
  <c r="S595" i="3"/>
  <c r="Q595" i="3"/>
  <c r="O595" i="3"/>
  <c r="U595" i="3"/>
  <c r="AK595" i="3"/>
  <c r="AD595" i="3"/>
  <c r="AM595" i="3"/>
  <c r="M595" i="3"/>
  <c r="AF595" i="3"/>
  <c r="AE595" i="3"/>
  <c r="T595" i="3"/>
  <c r="V595" i="3"/>
  <c r="P595" i="3"/>
  <c r="R595" i="3"/>
  <c r="Y594" i="3"/>
  <c r="Z594" i="3" s="1"/>
  <c r="X594" i="3"/>
  <c r="AN594" i="3"/>
  <c r="AG594" i="3"/>
  <c r="AV592" i="3"/>
  <c r="BA592" i="3"/>
  <c r="AX593" i="3"/>
  <c r="BA593" i="3" l="1"/>
  <c r="BC592" i="3"/>
  <c r="AN595" i="3"/>
  <c r="AW594" i="3"/>
  <c r="AG595" i="3"/>
  <c r="AY593" i="3"/>
  <c r="BC593" i="3" s="1"/>
  <c r="AX594" i="3"/>
  <c r="BF593" i="3"/>
  <c r="BQ593" i="3"/>
  <c r="BB593" i="3"/>
  <c r="AH595" i="3"/>
  <c r="X595" i="3"/>
  <c r="AY594" i="3"/>
  <c r="AO595" i="3"/>
  <c r="AW595" i="3" s="1"/>
  <c r="AT595" i="3"/>
  <c r="AU594" i="3"/>
  <c r="AU595" i="3"/>
  <c r="Y595" i="3"/>
  <c r="Z595" i="3" s="1"/>
  <c r="BF592" i="3"/>
  <c r="BJ591" i="3" s="1"/>
  <c r="BK591" i="3" s="1"/>
  <c r="BB592" i="3"/>
  <c r="BQ592" i="3"/>
  <c r="A597" i="3"/>
  <c r="AR596" i="3"/>
  <c r="B596" i="3"/>
  <c r="AQ596" i="3"/>
  <c r="D596" i="3"/>
  <c r="C596" i="3"/>
  <c r="G596" i="3"/>
  <c r="H596" i="3" s="1"/>
  <c r="BN596" i="3" s="1"/>
  <c r="F596" i="3"/>
  <c r="BM596" i="3" s="1"/>
  <c r="Q596" i="3"/>
  <c r="S596" i="3"/>
  <c r="O596" i="3"/>
  <c r="U596" i="3"/>
  <c r="AM596" i="3"/>
  <c r="AE596" i="3"/>
  <c r="AD596" i="3"/>
  <c r="AF596" i="3"/>
  <c r="AK596" i="3"/>
  <c r="M596" i="3"/>
  <c r="R596" i="3"/>
  <c r="T596" i="3"/>
  <c r="P596" i="3"/>
  <c r="V596" i="3"/>
  <c r="BD592" i="3"/>
  <c r="BG592" i="3"/>
  <c r="BH592" i="3" s="1"/>
  <c r="BI592" i="3" s="1"/>
  <c r="AT594" i="3"/>
  <c r="BD593" i="3" l="1"/>
  <c r="BG593" i="3"/>
  <c r="BH593" i="3" s="1"/>
  <c r="BI593" i="3" s="1"/>
  <c r="AN596" i="3"/>
  <c r="AG596" i="3"/>
  <c r="AV595" i="3"/>
  <c r="AR597" i="3"/>
  <c r="A598" i="3"/>
  <c r="B597" i="3"/>
  <c r="D597" i="3"/>
  <c r="AQ597" i="3"/>
  <c r="C597" i="3"/>
  <c r="G597" i="3"/>
  <c r="H597" i="3" s="1"/>
  <c r="BN597" i="3" s="1"/>
  <c r="F597" i="3"/>
  <c r="BM597" i="3" s="1"/>
  <c r="S597" i="3"/>
  <c r="Q597" i="3"/>
  <c r="O597" i="3"/>
  <c r="U597" i="3"/>
  <c r="AD597" i="3"/>
  <c r="AM597" i="3"/>
  <c r="AK597" i="3"/>
  <c r="AF597" i="3"/>
  <c r="M597" i="3"/>
  <c r="AE597" i="3"/>
  <c r="V597" i="3"/>
  <c r="P597" i="3"/>
  <c r="T597" i="3"/>
  <c r="R597" i="3"/>
  <c r="AT596" i="3"/>
  <c r="Y596" i="3"/>
  <c r="Z596" i="3" s="1"/>
  <c r="X596" i="3"/>
  <c r="AU596" i="3"/>
  <c r="AV594" i="3"/>
  <c r="BC594" i="3" s="1"/>
  <c r="BA594" i="3"/>
  <c r="AO596" i="3"/>
  <c r="AX595" i="3"/>
  <c r="AY595" i="3" s="1"/>
  <c r="AH596" i="3"/>
  <c r="BJ592" i="3"/>
  <c r="BK592" i="3" s="1"/>
  <c r="AG597" i="3" l="1"/>
  <c r="AO597" i="3"/>
  <c r="AW596" i="3"/>
  <c r="AX596" i="3"/>
  <c r="BD594" i="3"/>
  <c r="BG594" i="3"/>
  <c r="BH594" i="3" s="1"/>
  <c r="BI594" i="3" s="1"/>
  <c r="X597" i="3"/>
  <c r="AH597" i="3"/>
  <c r="AW597" i="3" s="1"/>
  <c r="AR598" i="3"/>
  <c r="B598" i="3"/>
  <c r="AQ598" i="3"/>
  <c r="A599" i="3"/>
  <c r="C598" i="3"/>
  <c r="D598" i="3"/>
  <c r="G598" i="3"/>
  <c r="H598" i="3" s="1"/>
  <c r="BN598" i="3" s="1"/>
  <c r="F598" i="3"/>
  <c r="BM598" i="3" s="1"/>
  <c r="Q598" i="3"/>
  <c r="S598" i="3"/>
  <c r="O598" i="3"/>
  <c r="U598" i="3"/>
  <c r="AM598" i="3"/>
  <c r="AD598" i="3"/>
  <c r="AE598" i="3"/>
  <c r="AK598" i="3"/>
  <c r="M598" i="3"/>
  <c r="AF598" i="3"/>
  <c r="V598" i="3"/>
  <c r="T598" i="3"/>
  <c r="P598" i="3"/>
  <c r="R598" i="3"/>
  <c r="BQ594" i="3"/>
  <c r="BF594" i="3"/>
  <c r="BJ593" i="3" s="1"/>
  <c r="BK593" i="3" s="1"/>
  <c r="BB594" i="3"/>
  <c r="AV596" i="3"/>
  <c r="Y597" i="3"/>
  <c r="Z597" i="3" s="1"/>
  <c r="AN597" i="3"/>
  <c r="BC595" i="3"/>
  <c r="BA595" i="3"/>
  <c r="AO598" i="3" l="1"/>
  <c r="BA596" i="3"/>
  <c r="BF596" i="3" s="1"/>
  <c r="AY596" i="3"/>
  <c r="BC596" i="3" s="1"/>
  <c r="AU597" i="3"/>
  <c r="AT597" i="3"/>
  <c r="AV597" i="3" s="1"/>
  <c r="X598" i="3"/>
  <c r="AG598" i="3"/>
  <c r="BB595" i="3"/>
  <c r="BF595" i="3"/>
  <c r="BJ594" i="3" s="1"/>
  <c r="BK594" i="3" s="1"/>
  <c r="BQ595" i="3"/>
  <c r="AH598" i="3"/>
  <c r="Y598" i="3"/>
  <c r="Z598" i="3" s="1"/>
  <c r="AN598" i="3"/>
  <c r="B599" i="3"/>
  <c r="C599" i="3"/>
  <c r="D599" i="3"/>
  <c r="A600" i="3"/>
  <c r="AQ599" i="3"/>
  <c r="AR599" i="3"/>
  <c r="F599" i="3"/>
  <c r="BM599" i="3" s="1"/>
  <c r="G599" i="3"/>
  <c r="H599" i="3" s="1"/>
  <c r="BN599" i="3" s="1"/>
  <c r="Q599" i="3"/>
  <c r="S599" i="3"/>
  <c r="O599" i="3"/>
  <c r="U599" i="3"/>
  <c r="AM599" i="3"/>
  <c r="AK599" i="3"/>
  <c r="AE599" i="3"/>
  <c r="AF599" i="3"/>
  <c r="AD599" i="3"/>
  <c r="M599" i="3"/>
  <c r="P599" i="3"/>
  <c r="R599" i="3"/>
  <c r="T599" i="3"/>
  <c r="V599" i="3"/>
  <c r="BD595" i="3"/>
  <c r="BG595" i="3"/>
  <c r="BH595" i="3" s="1"/>
  <c r="BI595" i="3" s="1"/>
  <c r="AX597" i="3"/>
  <c r="AY597" i="3" s="1"/>
  <c r="BD596" i="3" l="1"/>
  <c r="BG596" i="3"/>
  <c r="BH596" i="3" s="1"/>
  <c r="BI596" i="3" s="1"/>
  <c r="AT598" i="3"/>
  <c r="BB596" i="3"/>
  <c r="BQ596" i="3"/>
  <c r="AH599" i="3"/>
  <c r="BJ595" i="3"/>
  <c r="BK595" i="3" s="1"/>
  <c r="AU598" i="3"/>
  <c r="AO599" i="3"/>
  <c r="AV598" i="3"/>
  <c r="AN599" i="3"/>
  <c r="X599" i="3"/>
  <c r="BA597" i="3"/>
  <c r="BC597" i="3"/>
  <c r="AG599" i="3"/>
  <c r="AW599" i="3" s="1"/>
  <c r="A601" i="3"/>
  <c r="D600" i="3"/>
  <c r="AR600" i="3"/>
  <c r="B600" i="3"/>
  <c r="AQ600" i="3"/>
  <c r="C600" i="3"/>
  <c r="F600" i="3"/>
  <c r="BM600" i="3" s="1"/>
  <c r="G600" i="3"/>
  <c r="H600" i="3" s="1"/>
  <c r="BN600" i="3" s="1"/>
  <c r="S600" i="3"/>
  <c r="Q600" i="3"/>
  <c r="O600" i="3"/>
  <c r="U600" i="3"/>
  <c r="AE600" i="3"/>
  <c r="M600" i="3"/>
  <c r="AK600" i="3"/>
  <c r="AF600" i="3"/>
  <c r="AD600" i="3"/>
  <c r="AM600" i="3"/>
  <c r="V600" i="3"/>
  <c r="R600" i="3"/>
  <c r="P600" i="3"/>
  <c r="T600" i="3"/>
  <c r="AX598" i="3"/>
  <c r="AW598" i="3"/>
  <c r="Y599" i="3"/>
  <c r="Z599" i="3" s="1"/>
  <c r="AN600" i="3" l="1"/>
  <c r="AY598" i="3"/>
  <c r="AH600" i="3"/>
  <c r="AX599" i="3"/>
  <c r="Y600" i="3"/>
  <c r="Z600" i="3" s="1"/>
  <c r="AG600" i="3"/>
  <c r="X600" i="3"/>
  <c r="BD597" i="3"/>
  <c r="BG597" i="3"/>
  <c r="BH597" i="3" s="1"/>
  <c r="BI597" i="3" s="1"/>
  <c r="AO600" i="3"/>
  <c r="AU600" i="3"/>
  <c r="BQ597" i="3"/>
  <c r="BB597" i="3"/>
  <c r="BF597" i="3"/>
  <c r="BJ596" i="3" s="1"/>
  <c r="BK596" i="3" s="1"/>
  <c r="AT600" i="3"/>
  <c r="AR601" i="3"/>
  <c r="A602" i="3"/>
  <c r="AQ601" i="3"/>
  <c r="D601" i="3"/>
  <c r="C601" i="3"/>
  <c r="B601" i="3"/>
  <c r="F601" i="3"/>
  <c r="BM601" i="3" s="1"/>
  <c r="G601" i="3"/>
  <c r="H601" i="3" s="1"/>
  <c r="BN601" i="3" s="1"/>
  <c r="Q601" i="3"/>
  <c r="S601" i="3"/>
  <c r="O601" i="3"/>
  <c r="U601" i="3"/>
  <c r="AE601" i="3"/>
  <c r="AM601" i="3"/>
  <c r="AK601" i="3"/>
  <c r="AD601" i="3"/>
  <c r="M601" i="3"/>
  <c r="AF601" i="3"/>
  <c r="T601" i="3"/>
  <c r="R601" i="3"/>
  <c r="V601" i="3"/>
  <c r="P601" i="3"/>
  <c r="AT599" i="3"/>
  <c r="AU599" i="3"/>
  <c r="BC598" i="3"/>
  <c r="AY599" i="3"/>
  <c r="BA598" i="3"/>
  <c r="AO601" i="3" l="1"/>
  <c r="AN601" i="3"/>
  <c r="AG601" i="3"/>
  <c r="AH601" i="3"/>
  <c r="AX601" i="3" s="1"/>
  <c r="X601" i="3"/>
  <c r="BQ598" i="3"/>
  <c r="BB598" i="3"/>
  <c r="BF598" i="3"/>
  <c r="BJ597" i="3" s="1"/>
  <c r="BK597" i="3" s="1"/>
  <c r="BD598" i="3"/>
  <c r="BG598" i="3"/>
  <c r="BH598" i="3" s="1"/>
  <c r="BI598" i="3" s="1"/>
  <c r="AV600" i="3"/>
  <c r="AR602" i="3"/>
  <c r="B602" i="3"/>
  <c r="A603" i="3"/>
  <c r="D602" i="3"/>
  <c r="AQ602" i="3"/>
  <c r="C602" i="3"/>
  <c r="F602" i="3"/>
  <c r="BM602" i="3" s="1"/>
  <c r="G602" i="3"/>
  <c r="H602" i="3" s="1"/>
  <c r="BN602" i="3" s="1"/>
  <c r="S602" i="3"/>
  <c r="Q602" i="3"/>
  <c r="O602" i="3"/>
  <c r="U602" i="3"/>
  <c r="AD602" i="3"/>
  <c r="AE602" i="3"/>
  <c r="M602" i="3"/>
  <c r="AM602" i="3"/>
  <c r="AK602" i="3"/>
  <c r="AF602" i="3"/>
  <c r="R602" i="3"/>
  <c r="P602" i="3"/>
  <c r="T602" i="3"/>
  <c r="V602" i="3"/>
  <c r="AV599" i="3"/>
  <c r="BC599" i="3" s="1"/>
  <c r="BA599" i="3"/>
  <c r="AW600" i="3"/>
  <c r="Y601" i="3"/>
  <c r="Z601" i="3" s="1"/>
  <c r="AX600" i="3"/>
  <c r="BA600" i="3" s="1"/>
  <c r="AU601" i="3" l="1"/>
  <c r="AO602" i="3"/>
  <c r="D603" i="3"/>
  <c r="C603" i="3"/>
  <c r="AR603" i="3"/>
  <c r="A604" i="3"/>
  <c r="AQ603" i="3"/>
  <c r="B603" i="3"/>
  <c r="G603" i="3"/>
  <c r="H603" i="3" s="1"/>
  <c r="BN603" i="3" s="1"/>
  <c r="F603" i="3"/>
  <c r="BM603" i="3" s="1"/>
  <c r="S603" i="3"/>
  <c r="Q603" i="3"/>
  <c r="O603" i="3"/>
  <c r="U603" i="3"/>
  <c r="AK603" i="3"/>
  <c r="AD603" i="3"/>
  <c r="AE603" i="3"/>
  <c r="AF603" i="3"/>
  <c r="M603" i="3"/>
  <c r="AM603" i="3"/>
  <c r="P603" i="3"/>
  <c r="R603" i="3"/>
  <c r="T603" i="3"/>
  <c r="V603" i="3"/>
  <c r="BB600" i="3"/>
  <c r="BQ600" i="3"/>
  <c r="BF600" i="3"/>
  <c r="BJ599" i="3" s="1"/>
  <c r="BK599" i="3" s="1"/>
  <c r="AG602" i="3"/>
  <c r="AH602" i="3"/>
  <c r="AN602" i="3"/>
  <c r="X602" i="3"/>
  <c r="AY600" i="3"/>
  <c r="BC600" i="3" s="1"/>
  <c r="Y602" i="3"/>
  <c r="Z602" i="3" s="1"/>
  <c r="BD599" i="3"/>
  <c r="BG599" i="3"/>
  <c r="BH599" i="3" s="1"/>
  <c r="BI599" i="3" s="1"/>
  <c r="AT601" i="3"/>
  <c r="BB599" i="3"/>
  <c r="BF599" i="3"/>
  <c r="BJ598" i="3" s="1"/>
  <c r="BK598" i="3" s="1"/>
  <c r="BQ599" i="3"/>
  <c r="AW601" i="3"/>
  <c r="AY601" i="3" s="1"/>
  <c r="AN603" i="3" l="1"/>
  <c r="Y603" i="3"/>
  <c r="Z603" i="3" s="1"/>
  <c r="AU602" i="3"/>
  <c r="AG603" i="3"/>
  <c r="AW602" i="3"/>
  <c r="BD600" i="3"/>
  <c r="BG600" i="3"/>
  <c r="BH600" i="3" s="1"/>
  <c r="BI600" i="3" s="1"/>
  <c r="X603" i="3"/>
  <c r="AO603" i="3"/>
  <c r="C604" i="3"/>
  <c r="A605" i="3"/>
  <c r="AR604" i="3"/>
  <c r="B604" i="3"/>
  <c r="AQ604" i="3"/>
  <c r="D604" i="3"/>
  <c r="F604" i="3"/>
  <c r="BM604" i="3" s="1"/>
  <c r="G604" i="3"/>
  <c r="H604" i="3" s="1"/>
  <c r="BN604" i="3" s="1"/>
  <c r="S604" i="3"/>
  <c r="Q604" i="3"/>
  <c r="O604" i="3"/>
  <c r="U604" i="3"/>
  <c r="M604" i="3"/>
  <c r="AD604" i="3"/>
  <c r="AF604" i="3"/>
  <c r="AK604" i="3"/>
  <c r="AM604" i="3"/>
  <c r="AE604" i="3"/>
  <c r="T604" i="3"/>
  <c r="V604" i="3"/>
  <c r="R604" i="3"/>
  <c r="P604" i="3"/>
  <c r="AH603" i="3"/>
  <c r="AX602" i="3"/>
  <c r="AT602" i="3"/>
  <c r="BA601" i="3"/>
  <c r="AV601" i="3"/>
  <c r="BC601" i="3" s="1"/>
  <c r="AX603" i="3" l="1"/>
  <c r="AN604" i="3"/>
  <c r="AG604" i="3"/>
  <c r="AY602" i="3"/>
  <c r="AO604" i="3"/>
  <c r="AT603" i="3"/>
  <c r="AW603" i="3"/>
  <c r="AY603" i="3" s="1"/>
  <c r="Y604" i="3"/>
  <c r="Z604" i="3" s="1"/>
  <c r="AH604" i="3"/>
  <c r="AX604" i="3" s="1"/>
  <c r="AR605" i="3"/>
  <c r="A606" i="3"/>
  <c r="AQ605" i="3"/>
  <c r="B605" i="3"/>
  <c r="D605" i="3"/>
  <c r="C605" i="3"/>
  <c r="F605" i="3"/>
  <c r="BM605" i="3" s="1"/>
  <c r="G605" i="3"/>
  <c r="H605" i="3" s="1"/>
  <c r="BN605" i="3" s="1"/>
  <c r="Q605" i="3"/>
  <c r="S605" i="3"/>
  <c r="O605" i="3"/>
  <c r="U605" i="3"/>
  <c r="AM605" i="3"/>
  <c r="AD605" i="3"/>
  <c r="AK605" i="3"/>
  <c r="AF605" i="3"/>
  <c r="AE605" i="3"/>
  <c r="M605" i="3"/>
  <c r="P605" i="3"/>
  <c r="R605" i="3"/>
  <c r="V605" i="3"/>
  <c r="T605" i="3"/>
  <c r="BD601" i="3"/>
  <c r="BG601" i="3"/>
  <c r="BH601" i="3" s="1"/>
  <c r="BI601" i="3" s="1"/>
  <c r="AU603" i="3"/>
  <c r="BF601" i="3"/>
  <c r="BJ600" i="3" s="1"/>
  <c r="BK600" i="3" s="1"/>
  <c r="BB601" i="3"/>
  <c r="BQ601" i="3"/>
  <c r="X604" i="3"/>
  <c r="BA602" i="3"/>
  <c r="AV602" i="3"/>
  <c r="BC602" i="3" s="1"/>
  <c r="AO605" i="3" l="1"/>
  <c r="AG605" i="3"/>
  <c r="Y605" i="3"/>
  <c r="Z605" i="3" s="1"/>
  <c r="AH605" i="3"/>
  <c r="AT605" i="3" s="1"/>
  <c r="D606" i="3"/>
  <c r="AR606" i="3"/>
  <c r="AQ606" i="3"/>
  <c r="B606" i="3"/>
  <c r="A607" i="3"/>
  <c r="C606" i="3"/>
  <c r="G606" i="3"/>
  <c r="H606" i="3" s="1"/>
  <c r="BN606" i="3" s="1"/>
  <c r="F606" i="3"/>
  <c r="BM606" i="3" s="1"/>
  <c r="Q606" i="3"/>
  <c r="S606" i="3"/>
  <c r="O606" i="3"/>
  <c r="U606" i="3"/>
  <c r="AE606" i="3"/>
  <c r="AK606" i="3"/>
  <c r="AM606" i="3"/>
  <c r="AF606" i="3"/>
  <c r="AD606" i="3"/>
  <c r="M606" i="3"/>
  <c r="P606" i="3"/>
  <c r="V606" i="3"/>
  <c r="R606" i="3"/>
  <c r="T606" i="3"/>
  <c r="AT604" i="3"/>
  <c r="BG602" i="3"/>
  <c r="BH602" i="3" s="1"/>
  <c r="BI602" i="3" s="1"/>
  <c r="BD602" i="3"/>
  <c r="AN605" i="3"/>
  <c r="X605" i="3"/>
  <c r="BF602" i="3"/>
  <c r="BJ601" i="3" s="1"/>
  <c r="BK601" i="3" s="1"/>
  <c r="BB602" i="3"/>
  <c r="BQ602" i="3"/>
  <c r="AU604" i="3"/>
  <c r="AW604" i="3"/>
  <c r="AY604" i="3" s="1"/>
  <c r="AV603" i="3"/>
  <c r="BC603" i="3" s="1"/>
  <c r="BA603" i="3"/>
  <c r="AW605" i="3" l="1"/>
  <c r="AH606" i="3"/>
  <c r="AN606" i="3"/>
  <c r="X606" i="3"/>
  <c r="AG606" i="3"/>
  <c r="AO606" i="3"/>
  <c r="BA604" i="3"/>
  <c r="AV604" i="3"/>
  <c r="BC604" i="3" s="1"/>
  <c r="AU606" i="3"/>
  <c r="Y606" i="3"/>
  <c r="Z606" i="3" s="1"/>
  <c r="AT606" i="3"/>
  <c r="AX606" i="3"/>
  <c r="A608" i="3"/>
  <c r="AQ607" i="3"/>
  <c r="AR607" i="3"/>
  <c r="C607" i="3"/>
  <c r="D607" i="3"/>
  <c r="B607" i="3"/>
  <c r="F607" i="3"/>
  <c r="G607" i="3"/>
  <c r="H607" i="3" s="1"/>
  <c r="BN607" i="3" s="1"/>
  <c r="Q607" i="3"/>
  <c r="S607" i="3"/>
  <c r="O607" i="3"/>
  <c r="U607" i="3"/>
  <c r="AD607" i="3"/>
  <c r="AM607" i="3"/>
  <c r="M607" i="3"/>
  <c r="AE607" i="3"/>
  <c r="AK607" i="3"/>
  <c r="AF607" i="3"/>
  <c r="V607" i="3"/>
  <c r="P607" i="3"/>
  <c r="R607" i="3"/>
  <c r="T607" i="3"/>
  <c r="AX605" i="3"/>
  <c r="BQ603" i="3"/>
  <c r="BB603" i="3"/>
  <c r="BF603" i="3"/>
  <c r="BJ602" i="3" s="1"/>
  <c r="BK602" i="3" s="1"/>
  <c r="BD603" i="3"/>
  <c r="BG603" i="3"/>
  <c r="BH603" i="3" s="1"/>
  <c r="BI603" i="3" s="1"/>
  <c r="AU605" i="3"/>
  <c r="BM607" i="3" l="1"/>
  <c r="AY605" i="3"/>
  <c r="BA605" i="3"/>
  <c r="AO607" i="3"/>
  <c r="BB605" i="3"/>
  <c r="BQ605" i="3"/>
  <c r="BF605" i="3"/>
  <c r="AR608" i="3"/>
  <c r="B608" i="3"/>
  <c r="A609" i="3"/>
  <c r="AQ608" i="3"/>
  <c r="D608" i="3"/>
  <c r="C608" i="3"/>
  <c r="F608" i="3"/>
  <c r="BM608" i="3" s="1"/>
  <c r="G608" i="3"/>
  <c r="H608" i="3" s="1"/>
  <c r="BN608" i="3" s="1"/>
  <c r="Q608" i="3"/>
  <c r="S608" i="3"/>
  <c r="O608" i="3"/>
  <c r="U608" i="3"/>
  <c r="AK608" i="3"/>
  <c r="AE608" i="3"/>
  <c r="AM608" i="3"/>
  <c r="AN608" i="3" s="1"/>
  <c r="AD608" i="3"/>
  <c r="AF608" i="3"/>
  <c r="M608" i="3"/>
  <c r="V608" i="3"/>
  <c r="T608" i="3"/>
  <c r="R608" i="3"/>
  <c r="P608" i="3"/>
  <c r="X607" i="3"/>
  <c r="AG607" i="3"/>
  <c r="AV605" i="3"/>
  <c r="BC605" i="3" s="1"/>
  <c r="Y607" i="3"/>
  <c r="Z607" i="3" s="1"/>
  <c r="AH607" i="3"/>
  <c r="AV606" i="3"/>
  <c r="BD604" i="3"/>
  <c r="BG604" i="3"/>
  <c r="BH604" i="3" s="1"/>
  <c r="BI604" i="3" s="1"/>
  <c r="AW606" i="3"/>
  <c r="AY606" i="3" s="1"/>
  <c r="AN607" i="3"/>
  <c r="BQ604" i="3"/>
  <c r="BF604" i="3"/>
  <c r="BJ603" i="3" s="1"/>
  <c r="BK603" i="3" s="1"/>
  <c r="BB604" i="3"/>
  <c r="AX607" i="3" l="1"/>
  <c r="AH608" i="3"/>
  <c r="Y608" i="3"/>
  <c r="Z608" i="3" s="1"/>
  <c r="X608" i="3"/>
  <c r="AT607" i="3"/>
  <c r="AG608" i="3"/>
  <c r="AQ609" i="3"/>
  <c r="D609" i="3"/>
  <c r="B609" i="3"/>
  <c r="C609" i="3"/>
  <c r="AR609" i="3"/>
  <c r="A610" i="3"/>
  <c r="F609" i="3"/>
  <c r="BM609" i="3" s="1"/>
  <c r="G609" i="3"/>
  <c r="H609" i="3" s="1"/>
  <c r="BN609" i="3" s="1"/>
  <c r="Q609" i="3"/>
  <c r="S609" i="3"/>
  <c r="O609" i="3"/>
  <c r="U609" i="3"/>
  <c r="AD609" i="3"/>
  <c r="M609" i="3"/>
  <c r="AF609" i="3"/>
  <c r="AM609" i="3"/>
  <c r="AE609" i="3"/>
  <c r="AK609" i="3"/>
  <c r="T609" i="3"/>
  <c r="P609" i="3"/>
  <c r="R609" i="3"/>
  <c r="V609" i="3"/>
  <c r="BD605" i="3"/>
  <c r="BG605" i="3"/>
  <c r="BH605" i="3" s="1"/>
  <c r="BI605" i="3" s="1"/>
  <c r="AU607" i="3"/>
  <c r="AW607" i="3"/>
  <c r="AO608" i="3"/>
  <c r="BC606" i="3"/>
  <c r="BJ604" i="3"/>
  <c r="BK604" i="3" s="1"/>
  <c r="BA606" i="3"/>
  <c r="AY607" i="3" l="1"/>
  <c r="AO609" i="3"/>
  <c r="AG609" i="3"/>
  <c r="Y609" i="3"/>
  <c r="Z609" i="3" s="1"/>
  <c r="AH609" i="3"/>
  <c r="AN609" i="3"/>
  <c r="X609" i="3"/>
  <c r="AT609" i="3"/>
  <c r="BQ606" i="3"/>
  <c r="BB606" i="3"/>
  <c r="BF606" i="3"/>
  <c r="BJ605" i="3" s="1"/>
  <c r="BK605" i="3" s="1"/>
  <c r="AQ610" i="3"/>
  <c r="B610" i="3"/>
  <c r="A611" i="3"/>
  <c r="D610" i="3"/>
  <c r="C610" i="3"/>
  <c r="AR610" i="3"/>
  <c r="F610" i="3"/>
  <c r="G610" i="3"/>
  <c r="H610" i="3" s="1"/>
  <c r="BN610" i="3" s="1"/>
  <c r="Q610" i="3"/>
  <c r="S610" i="3"/>
  <c r="O610" i="3"/>
  <c r="U610" i="3"/>
  <c r="AD610" i="3"/>
  <c r="AK610" i="3"/>
  <c r="AM610" i="3"/>
  <c r="AE610" i="3"/>
  <c r="M610" i="3"/>
  <c r="AF610" i="3"/>
  <c r="T610" i="3"/>
  <c r="V610" i="3"/>
  <c r="P610" i="3"/>
  <c r="R610" i="3"/>
  <c r="AW608" i="3"/>
  <c r="AT608" i="3"/>
  <c r="BA607" i="3"/>
  <c r="AV607" i="3"/>
  <c r="BC607" i="3" s="1"/>
  <c r="AU608" i="3"/>
  <c r="AX608" i="3"/>
  <c r="BD606" i="3"/>
  <c r="BG606" i="3"/>
  <c r="BH606" i="3" s="1"/>
  <c r="BI606" i="3" s="1"/>
  <c r="AW609" i="3" l="1"/>
  <c r="BM610" i="3"/>
  <c r="AU609" i="3"/>
  <c r="AV609" i="3" s="1"/>
  <c r="AN610" i="3"/>
  <c r="AY608" i="3"/>
  <c r="Y610" i="3"/>
  <c r="Z610" i="3" s="1"/>
  <c r="AG610" i="3"/>
  <c r="X610" i="3"/>
  <c r="AO610" i="3"/>
  <c r="AH610" i="3"/>
  <c r="BD607" i="3"/>
  <c r="BG607" i="3"/>
  <c r="BH607" i="3" s="1"/>
  <c r="BI607" i="3" s="1"/>
  <c r="A612" i="3"/>
  <c r="AQ611" i="3"/>
  <c r="AR611" i="3"/>
  <c r="B611" i="3"/>
  <c r="C611" i="3"/>
  <c r="D611" i="3"/>
  <c r="F611" i="3"/>
  <c r="BM611" i="3" s="1"/>
  <c r="G611" i="3"/>
  <c r="H611" i="3" s="1"/>
  <c r="BN611" i="3" s="1"/>
  <c r="Q611" i="3"/>
  <c r="S611" i="3"/>
  <c r="O611" i="3"/>
  <c r="U611" i="3"/>
  <c r="AD611" i="3"/>
  <c r="AK611" i="3"/>
  <c r="AM611" i="3"/>
  <c r="AF611" i="3"/>
  <c r="AE611" i="3"/>
  <c r="M611" i="3"/>
  <c r="V611" i="3"/>
  <c r="T611" i="3"/>
  <c r="P611" i="3"/>
  <c r="R611" i="3"/>
  <c r="BF607" i="3"/>
  <c r="BJ606" i="3" s="1"/>
  <c r="BK606" i="3" s="1"/>
  <c r="BQ607" i="3"/>
  <c r="BB607" i="3"/>
  <c r="BA608" i="3"/>
  <c r="AV608" i="3"/>
  <c r="AX609" i="3"/>
  <c r="AY609" i="3" l="1"/>
  <c r="BC608" i="3"/>
  <c r="AG611" i="3"/>
  <c r="AX610" i="3"/>
  <c r="AO611" i="3"/>
  <c r="A613" i="3"/>
  <c r="B612" i="3"/>
  <c r="AQ612" i="3"/>
  <c r="C612" i="3"/>
  <c r="D612" i="3"/>
  <c r="AR612" i="3"/>
  <c r="F612" i="3"/>
  <c r="BM612" i="3" s="1"/>
  <c r="G612" i="3"/>
  <c r="H612" i="3" s="1"/>
  <c r="BN612" i="3" s="1"/>
  <c r="Q612" i="3"/>
  <c r="S612" i="3"/>
  <c r="O612" i="3"/>
  <c r="U612" i="3"/>
  <c r="AM612" i="3"/>
  <c r="AD612" i="3"/>
  <c r="AK612" i="3"/>
  <c r="M612" i="3"/>
  <c r="AF612" i="3"/>
  <c r="AE612" i="3"/>
  <c r="R612" i="3"/>
  <c r="T612" i="3"/>
  <c r="P612" i="3"/>
  <c r="V612" i="3"/>
  <c r="AH611" i="3"/>
  <c r="AT611" i="3" s="1"/>
  <c r="BD608" i="3"/>
  <c r="BG608" i="3"/>
  <c r="BH608" i="3" s="1"/>
  <c r="BI608" i="3" s="1"/>
  <c r="Y611" i="3"/>
  <c r="Z611" i="3" s="1"/>
  <c r="X611" i="3"/>
  <c r="AN611" i="3"/>
  <c r="BQ608" i="3"/>
  <c r="BB608" i="3"/>
  <c r="BF608" i="3"/>
  <c r="BJ607" i="3" s="1"/>
  <c r="BK607" i="3" s="1"/>
  <c r="AU610" i="3"/>
  <c r="AW610" i="3"/>
  <c r="BA609" i="3"/>
  <c r="BC609" i="3"/>
  <c r="AT610" i="3"/>
  <c r="AY610" i="3" l="1"/>
  <c r="AG612" i="3"/>
  <c r="Y612" i="3"/>
  <c r="Z612" i="3" s="1"/>
  <c r="AO612" i="3"/>
  <c r="X612" i="3"/>
  <c r="AV610" i="3"/>
  <c r="BC610" i="3" s="1"/>
  <c r="BA610" i="3"/>
  <c r="BD609" i="3"/>
  <c r="BG609" i="3"/>
  <c r="BH609" i="3" s="1"/>
  <c r="BI609" i="3" s="1"/>
  <c r="AX611" i="3"/>
  <c r="AH612" i="3"/>
  <c r="AT612" i="3" s="1"/>
  <c r="AU611" i="3"/>
  <c r="AV611" i="3" s="1"/>
  <c r="AN612" i="3"/>
  <c r="BQ609" i="3"/>
  <c r="BB609" i="3"/>
  <c r="BF609" i="3"/>
  <c r="BJ608" i="3" s="1"/>
  <c r="BK608" i="3" s="1"/>
  <c r="AR613" i="3"/>
  <c r="A614" i="3"/>
  <c r="B613" i="3"/>
  <c r="AQ613" i="3"/>
  <c r="C613" i="3"/>
  <c r="D613" i="3"/>
  <c r="F613" i="3"/>
  <c r="BM613" i="3" s="1"/>
  <c r="G613" i="3"/>
  <c r="H613" i="3" s="1"/>
  <c r="BN613" i="3" s="1"/>
  <c r="S613" i="3"/>
  <c r="Q613" i="3"/>
  <c r="O613" i="3"/>
  <c r="U613" i="3"/>
  <c r="AE613" i="3"/>
  <c r="AM613" i="3"/>
  <c r="AK613" i="3"/>
  <c r="M613" i="3"/>
  <c r="AF613" i="3"/>
  <c r="AD613" i="3"/>
  <c r="R613" i="3"/>
  <c r="P613" i="3"/>
  <c r="T613" i="3"/>
  <c r="V613" i="3"/>
  <c r="AW611" i="3"/>
  <c r="AU612" i="3" l="1"/>
  <c r="AG613" i="3"/>
  <c r="AN613" i="3"/>
  <c r="B614" i="3"/>
  <c r="C614" i="3"/>
  <c r="A615" i="3"/>
  <c r="AR614" i="3"/>
  <c r="AQ614" i="3"/>
  <c r="D614" i="3"/>
  <c r="F614" i="3"/>
  <c r="G614" i="3"/>
  <c r="H614" i="3" s="1"/>
  <c r="BN614" i="3" s="1"/>
  <c r="Q614" i="3"/>
  <c r="S614" i="3"/>
  <c r="O614" i="3"/>
  <c r="U614" i="3"/>
  <c r="AE614" i="3"/>
  <c r="AM614" i="3"/>
  <c r="AK614" i="3"/>
  <c r="AD614" i="3"/>
  <c r="AF614" i="3"/>
  <c r="M614" i="3"/>
  <c r="T614" i="3"/>
  <c r="P614" i="3"/>
  <c r="R614" i="3"/>
  <c r="V614" i="3"/>
  <c r="AX612" i="3"/>
  <c r="Y613" i="3"/>
  <c r="Z613" i="3" s="1"/>
  <c r="AV612" i="3"/>
  <c r="X613" i="3"/>
  <c r="AY611" i="3"/>
  <c r="BC611" i="3" s="1"/>
  <c r="BD610" i="3"/>
  <c r="BG610" i="3"/>
  <c r="BH610" i="3" s="1"/>
  <c r="BI610" i="3" s="1"/>
  <c r="BA611" i="3"/>
  <c r="BB610" i="3"/>
  <c r="BQ610" i="3"/>
  <c r="BF610" i="3"/>
  <c r="BJ609" i="3" s="1"/>
  <c r="BK609" i="3" s="1"/>
  <c r="AH613" i="3"/>
  <c r="AW612" i="3"/>
  <c r="AO613" i="3"/>
  <c r="BA612" i="3" l="1"/>
  <c r="BF612" i="3" s="1"/>
  <c r="BM614" i="3"/>
  <c r="AO614" i="3"/>
  <c r="AT613" i="3"/>
  <c r="AN614" i="3"/>
  <c r="BD611" i="3"/>
  <c r="BG611" i="3"/>
  <c r="BH611" i="3" s="1"/>
  <c r="BI611" i="3" s="1"/>
  <c r="Y614" i="3"/>
  <c r="Z614" i="3" s="1"/>
  <c r="X614" i="3"/>
  <c r="AG614" i="3"/>
  <c r="AY612" i="3"/>
  <c r="BC612" i="3" s="1"/>
  <c r="AH614" i="3"/>
  <c r="AX613" i="3"/>
  <c r="AW613" i="3"/>
  <c r="B615" i="3"/>
  <c r="D615" i="3"/>
  <c r="C615" i="3"/>
  <c r="A616" i="3"/>
  <c r="AQ615" i="3"/>
  <c r="AR615" i="3"/>
  <c r="F615" i="3"/>
  <c r="BM615" i="3" s="1"/>
  <c r="G615" i="3"/>
  <c r="H615" i="3" s="1"/>
  <c r="BN615" i="3" s="1"/>
  <c r="Q615" i="3"/>
  <c r="S615" i="3"/>
  <c r="O615" i="3"/>
  <c r="U615" i="3"/>
  <c r="AD615" i="3"/>
  <c r="AE615" i="3"/>
  <c r="M615" i="3"/>
  <c r="AF615" i="3"/>
  <c r="AK615" i="3"/>
  <c r="AM615" i="3"/>
  <c r="P615" i="3"/>
  <c r="T615" i="3"/>
  <c r="R615" i="3"/>
  <c r="V615" i="3"/>
  <c r="BF611" i="3"/>
  <c r="BJ610" i="3" s="1"/>
  <c r="BK610" i="3" s="1"/>
  <c r="BQ611" i="3"/>
  <c r="BB611" i="3"/>
  <c r="AU613" i="3"/>
  <c r="BB612" i="3" l="1"/>
  <c r="BQ612" i="3"/>
  <c r="AX614" i="3"/>
  <c r="AN615" i="3"/>
  <c r="X615" i="3"/>
  <c r="AG615" i="3"/>
  <c r="BA613" i="3"/>
  <c r="BD612" i="3"/>
  <c r="BG612" i="3"/>
  <c r="BH612" i="3" s="1"/>
  <c r="BI612" i="3" s="1"/>
  <c r="BQ613" i="3"/>
  <c r="BF613" i="3"/>
  <c r="BJ612" i="3" s="1"/>
  <c r="BK612" i="3" s="1"/>
  <c r="BB613" i="3"/>
  <c r="AH615" i="3"/>
  <c r="AU614" i="3"/>
  <c r="A617" i="3"/>
  <c r="AR616" i="3"/>
  <c r="C616" i="3"/>
  <c r="B616" i="3"/>
  <c r="AQ616" i="3"/>
  <c r="D616" i="3"/>
  <c r="F616" i="3"/>
  <c r="G616" i="3"/>
  <c r="H616" i="3" s="1"/>
  <c r="BN616" i="3" s="1"/>
  <c r="Q616" i="3"/>
  <c r="S616" i="3"/>
  <c r="O616" i="3"/>
  <c r="U616" i="3"/>
  <c r="AM616" i="3"/>
  <c r="AK616" i="3"/>
  <c r="AD616" i="3"/>
  <c r="M616" i="3"/>
  <c r="AF616" i="3"/>
  <c r="AE616" i="3"/>
  <c r="R616" i="3"/>
  <c r="T616" i="3"/>
  <c r="V616" i="3"/>
  <c r="P616" i="3"/>
  <c r="AW614" i="3"/>
  <c r="AV613" i="3"/>
  <c r="AT614" i="3"/>
  <c r="BJ611" i="3"/>
  <c r="BK611" i="3" s="1"/>
  <c r="AY613" i="3"/>
  <c r="Y615" i="3"/>
  <c r="Z615" i="3" s="1"/>
  <c r="AO615" i="3"/>
  <c r="BM616" i="3" l="1"/>
  <c r="AY614" i="3"/>
  <c r="AG616" i="3"/>
  <c r="Y616" i="3"/>
  <c r="Z616" i="3" s="1"/>
  <c r="AO616" i="3"/>
  <c r="BC613" i="3"/>
  <c r="X616" i="3"/>
  <c r="BD613" i="3"/>
  <c r="BG613" i="3"/>
  <c r="BH613" i="3" s="1"/>
  <c r="BI613" i="3" s="1"/>
  <c r="AX615" i="3"/>
  <c r="AN616" i="3"/>
  <c r="AT616" i="3"/>
  <c r="AQ617" i="3"/>
  <c r="AR617" i="3"/>
  <c r="A618" i="3"/>
  <c r="D617" i="3"/>
  <c r="C617" i="3"/>
  <c r="B617" i="3"/>
  <c r="G617" i="3"/>
  <c r="H617" i="3" s="1"/>
  <c r="BN617" i="3" s="1"/>
  <c r="F617" i="3"/>
  <c r="BM617" i="3" s="1"/>
  <c r="Q617" i="3"/>
  <c r="S617" i="3"/>
  <c r="O617" i="3"/>
  <c r="U617" i="3"/>
  <c r="AD617" i="3"/>
  <c r="AE617" i="3"/>
  <c r="AF617" i="3"/>
  <c r="AK617" i="3"/>
  <c r="AM617" i="3"/>
  <c r="M617" i="3"/>
  <c r="P617" i="3"/>
  <c r="R617" i="3"/>
  <c r="V617" i="3"/>
  <c r="T617" i="3"/>
  <c r="AT615" i="3"/>
  <c r="AW615" i="3"/>
  <c r="AH616" i="3"/>
  <c r="AU615" i="3"/>
  <c r="AV614" i="3"/>
  <c r="BC614" i="3" s="1"/>
  <c r="BA614" i="3"/>
  <c r="AU616" i="3" l="1"/>
  <c r="AY615" i="3"/>
  <c r="AN617" i="3"/>
  <c r="AH617" i="3"/>
  <c r="AG617" i="3"/>
  <c r="AV615" i="3"/>
  <c r="BA615" i="3"/>
  <c r="AO617" i="3"/>
  <c r="X617" i="3"/>
  <c r="AT617" i="3"/>
  <c r="AW617" i="3"/>
  <c r="Y617" i="3"/>
  <c r="Z617" i="3" s="1"/>
  <c r="AV616" i="3"/>
  <c r="AX617" i="3"/>
  <c r="AR618" i="3"/>
  <c r="B618" i="3"/>
  <c r="A619" i="3"/>
  <c r="D618" i="3"/>
  <c r="AQ618" i="3"/>
  <c r="C618" i="3"/>
  <c r="F618" i="3"/>
  <c r="G618" i="3"/>
  <c r="H618" i="3" s="1"/>
  <c r="BN618" i="3" s="1"/>
  <c r="Q618" i="3"/>
  <c r="S618" i="3"/>
  <c r="O618" i="3"/>
  <c r="U618" i="3"/>
  <c r="AD618" i="3"/>
  <c r="AF618" i="3"/>
  <c r="AK618" i="3"/>
  <c r="M618" i="3"/>
  <c r="AM618" i="3"/>
  <c r="AE618" i="3"/>
  <c r="P618" i="3"/>
  <c r="T618" i="3"/>
  <c r="V618" i="3"/>
  <c r="R618" i="3"/>
  <c r="AX616" i="3"/>
  <c r="BF614" i="3"/>
  <c r="BJ613" i="3" s="1"/>
  <c r="BK613" i="3" s="1"/>
  <c r="BB614" i="3"/>
  <c r="BQ614" i="3"/>
  <c r="BD614" i="3"/>
  <c r="BG614" i="3"/>
  <c r="BH614" i="3" s="1"/>
  <c r="BI614" i="3" s="1"/>
  <c r="AW616" i="3"/>
  <c r="BC615" i="3" l="1"/>
  <c r="BM618" i="3"/>
  <c r="BA616" i="3"/>
  <c r="AU617" i="3"/>
  <c r="AN618" i="3"/>
  <c r="AY617" i="3"/>
  <c r="BQ616" i="3"/>
  <c r="BF616" i="3"/>
  <c r="BB616" i="3"/>
  <c r="X618" i="3"/>
  <c r="AO618" i="3"/>
  <c r="Y618" i="3"/>
  <c r="Z618" i="3" s="1"/>
  <c r="AG618" i="3"/>
  <c r="AV617" i="3"/>
  <c r="BC617" i="3" s="1"/>
  <c r="BA617" i="3"/>
  <c r="AH618" i="3"/>
  <c r="BB615" i="3"/>
  <c r="BQ615" i="3"/>
  <c r="BF615" i="3"/>
  <c r="BJ614" i="3" s="1"/>
  <c r="BK614" i="3" s="1"/>
  <c r="AQ619" i="3"/>
  <c r="A620" i="3"/>
  <c r="C619" i="3"/>
  <c r="AR619" i="3"/>
  <c r="B619" i="3"/>
  <c r="D619" i="3"/>
  <c r="F619" i="3"/>
  <c r="BM619" i="3" s="1"/>
  <c r="G619" i="3"/>
  <c r="H619" i="3" s="1"/>
  <c r="BN619" i="3" s="1"/>
  <c r="Q619" i="3"/>
  <c r="S619" i="3"/>
  <c r="O619" i="3"/>
  <c r="U619" i="3"/>
  <c r="AD619" i="3"/>
  <c r="AM619" i="3"/>
  <c r="AE619" i="3"/>
  <c r="M619" i="3"/>
  <c r="AK619" i="3"/>
  <c r="AF619" i="3"/>
  <c r="P619" i="3"/>
  <c r="R619" i="3"/>
  <c r="T619" i="3"/>
  <c r="V619" i="3"/>
  <c r="AY616" i="3"/>
  <c r="BC616" i="3" s="1"/>
  <c r="BD615" i="3"/>
  <c r="BG615" i="3"/>
  <c r="BH615" i="3" s="1"/>
  <c r="BI615" i="3" s="1"/>
  <c r="AU618" i="3" l="1"/>
  <c r="AH619" i="3"/>
  <c r="AN619" i="3"/>
  <c r="BD616" i="3"/>
  <c r="BG616" i="3"/>
  <c r="BH616" i="3" s="1"/>
  <c r="BI616" i="3" s="1"/>
  <c r="AW618" i="3"/>
  <c r="AX618" i="3"/>
  <c r="BD617" i="3"/>
  <c r="BG617" i="3"/>
  <c r="BH617" i="3" s="1"/>
  <c r="BI617" i="3" s="1"/>
  <c r="BB617" i="3"/>
  <c r="BQ617" i="3"/>
  <c r="BF617" i="3"/>
  <c r="BJ616" i="3" s="1"/>
  <c r="BK616" i="3" s="1"/>
  <c r="X619" i="3"/>
  <c r="AT618" i="3"/>
  <c r="AG619" i="3"/>
  <c r="D620" i="3"/>
  <c r="AQ620" i="3"/>
  <c r="C620" i="3"/>
  <c r="A621" i="3"/>
  <c r="AR620" i="3"/>
  <c r="B620" i="3"/>
  <c r="F620" i="3"/>
  <c r="BM620" i="3" s="1"/>
  <c r="G620" i="3"/>
  <c r="H620" i="3" s="1"/>
  <c r="BN620" i="3" s="1"/>
  <c r="Q620" i="3"/>
  <c r="S620" i="3"/>
  <c r="O620" i="3"/>
  <c r="U620" i="3"/>
  <c r="AE620" i="3"/>
  <c r="AM620" i="3"/>
  <c r="AD620" i="3"/>
  <c r="M620" i="3"/>
  <c r="AF620" i="3"/>
  <c r="AK620" i="3"/>
  <c r="V620" i="3"/>
  <c r="R620" i="3"/>
  <c r="P620" i="3"/>
  <c r="T620" i="3"/>
  <c r="BJ615" i="3"/>
  <c r="BK615" i="3" s="1"/>
  <c r="Y619" i="3"/>
  <c r="Z619" i="3" s="1"/>
  <c r="AO619" i="3"/>
  <c r="AU619" i="3" l="1"/>
  <c r="AG620" i="3"/>
  <c r="AN620" i="3"/>
  <c r="X620" i="3"/>
  <c r="AH620" i="3"/>
  <c r="AU620" i="3" s="1"/>
  <c r="Y620" i="3"/>
  <c r="Z620" i="3" s="1"/>
  <c r="AX619" i="3"/>
  <c r="AT619" i="3"/>
  <c r="AW619" i="3"/>
  <c r="AT620" i="3"/>
  <c r="AR621" i="3"/>
  <c r="A622" i="3"/>
  <c r="AQ621" i="3"/>
  <c r="B621" i="3"/>
  <c r="C621" i="3"/>
  <c r="D621" i="3"/>
  <c r="F621" i="3"/>
  <c r="BM621" i="3" s="1"/>
  <c r="G621" i="3"/>
  <c r="H621" i="3" s="1"/>
  <c r="BN621" i="3" s="1"/>
  <c r="Q621" i="3"/>
  <c r="S621" i="3"/>
  <c r="O621" i="3"/>
  <c r="U621" i="3"/>
  <c r="AK621" i="3"/>
  <c r="AE621" i="3"/>
  <c r="M621" i="3"/>
  <c r="AM621" i="3"/>
  <c r="AD621" i="3"/>
  <c r="AF621" i="3"/>
  <c r="T621" i="3"/>
  <c r="V621" i="3"/>
  <c r="P621" i="3"/>
  <c r="R621" i="3"/>
  <c r="AY618" i="3"/>
  <c r="AV618" i="3"/>
  <c r="BA618" i="3"/>
  <c r="AO620" i="3"/>
  <c r="AN621" i="3" l="1"/>
  <c r="AH621" i="3"/>
  <c r="AO621" i="3"/>
  <c r="Y621" i="3"/>
  <c r="Z621" i="3" s="1"/>
  <c r="AG621" i="3"/>
  <c r="AW621" i="3" s="1"/>
  <c r="AR622" i="3"/>
  <c r="AQ622" i="3"/>
  <c r="B622" i="3"/>
  <c r="A623" i="3"/>
  <c r="C622" i="3"/>
  <c r="D622" i="3"/>
  <c r="G622" i="3"/>
  <c r="H622" i="3" s="1"/>
  <c r="BN622" i="3" s="1"/>
  <c r="F622" i="3"/>
  <c r="BM622" i="3" s="1"/>
  <c r="Q622" i="3"/>
  <c r="S622" i="3"/>
  <c r="O622" i="3"/>
  <c r="U622" i="3"/>
  <c r="AM622" i="3"/>
  <c r="AE622" i="3"/>
  <c r="M622" i="3"/>
  <c r="AK622" i="3"/>
  <c r="AF622" i="3"/>
  <c r="AD622" i="3"/>
  <c r="P622" i="3"/>
  <c r="R622" i="3"/>
  <c r="V622" i="3"/>
  <c r="T622" i="3"/>
  <c r="AY619" i="3"/>
  <c r="X621" i="3"/>
  <c r="AV620" i="3"/>
  <c r="BA619" i="3"/>
  <c r="AV619" i="3"/>
  <c r="BF618" i="3"/>
  <c r="BJ617" i="3" s="1"/>
  <c r="BK617" i="3" s="1"/>
  <c r="BB618" i="3"/>
  <c r="BQ618" i="3"/>
  <c r="AX620" i="3"/>
  <c r="BC618" i="3"/>
  <c r="AW620" i="3"/>
  <c r="BA620" i="3" s="1"/>
  <c r="AU621" i="3" l="1"/>
  <c r="AT621" i="3"/>
  <c r="AX621" i="3"/>
  <c r="AY621" i="3" s="1"/>
  <c r="AO622" i="3"/>
  <c r="AH622" i="3"/>
  <c r="AV621" i="3"/>
  <c r="BC621" i="3" s="1"/>
  <c r="BA621" i="3"/>
  <c r="AG622" i="3"/>
  <c r="AU622" i="3" s="1"/>
  <c r="BQ620" i="3"/>
  <c r="BB620" i="3"/>
  <c r="BF620" i="3"/>
  <c r="BJ619" i="3" s="1"/>
  <c r="BK619" i="3" s="1"/>
  <c r="Y622" i="3"/>
  <c r="Z622" i="3" s="1"/>
  <c r="X622" i="3"/>
  <c r="BD618" i="3"/>
  <c r="BG618" i="3"/>
  <c r="BH618" i="3" s="1"/>
  <c r="BI618" i="3" s="1"/>
  <c r="BC619" i="3"/>
  <c r="AN622" i="3"/>
  <c r="A624" i="3"/>
  <c r="AQ623" i="3"/>
  <c r="AR623" i="3"/>
  <c r="C623" i="3"/>
  <c r="D623" i="3"/>
  <c r="B623" i="3"/>
  <c r="F623" i="3"/>
  <c r="BM623" i="3" s="1"/>
  <c r="G623" i="3"/>
  <c r="H623" i="3" s="1"/>
  <c r="BN623" i="3" s="1"/>
  <c r="Q623" i="3"/>
  <c r="S623" i="3"/>
  <c r="O623" i="3"/>
  <c r="U623" i="3"/>
  <c r="AM623" i="3"/>
  <c r="AD623" i="3"/>
  <c r="AE623" i="3"/>
  <c r="AF623" i="3"/>
  <c r="M623" i="3"/>
  <c r="AK623" i="3"/>
  <c r="P623" i="3"/>
  <c r="R623" i="3"/>
  <c r="T623" i="3"/>
  <c r="V623" i="3"/>
  <c r="AY620" i="3"/>
  <c r="BF619" i="3"/>
  <c r="BJ618" i="3" s="1"/>
  <c r="BK618" i="3" s="1"/>
  <c r="BQ619" i="3"/>
  <c r="BB619" i="3"/>
  <c r="BC620" i="3"/>
  <c r="AX622" i="3" l="1"/>
  <c r="AT622" i="3"/>
  <c r="AH623" i="3"/>
  <c r="AN623" i="3"/>
  <c r="X623" i="3"/>
  <c r="AR624" i="3"/>
  <c r="A625" i="3"/>
  <c r="B624" i="3"/>
  <c r="AQ624" i="3"/>
  <c r="D624" i="3"/>
  <c r="C624" i="3"/>
  <c r="G624" i="3"/>
  <c r="H624" i="3" s="1"/>
  <c r="BN624" i="3" s="1"/>
  <c r="F624" i="3"/>
  <c r="BM624" i="3" s="1"/>
  <c r="S624" i="3"/>
  <c r="Q624" i="3"/>
  <c r="O624" i="3"/>
  <c r="U624" i="3"/>
  <c r="AM624" i="3"/>
  <c r="AK624" i="3"/>
  <c r="AF624" i="3"/>
  <c r="AE624" i="3"/>
  <c r="AD624" i="3"/>
  <c r="M624" i="3"/>
  <c r="V624" i="3"/>
  <c r="T624" i="3"/>
  <c r="R624" i="3"/>
  <c r="P624" i="3"/>
  <c r="Y623" i="3"/>
  <c r="Z623" i="3" s="1"/>
  <c r="AG623" i="3"/>
  <c r="BD620" i="3"/>
  <c r="BG620" i="3"/>
  <c r="BH620" i="3" s="1"/>
  <c r="BI620" i="3" s="1"/>
  <c r="AW622" i="3"/>
  <c r="BQ621" i="3"/>
  <c r="BB621" i="3"/>
  <c r="BF621" i="3"/>
  <c r="BJ620" i="3" s="1"/>
  <c r="BK620" i="3" s="1"/>
  <c r="BD619" i="3"/>
  <c r="BG619" i="3"/>
  <c r="BH619" i="3" s="1"/>
  <c r="BI619" i="3" s="1"/>
  <c r="AV622" i="3"/>
  <c r="AO623" i="3"/>
  <c r="BD621" i="3"/>
  <c r="BG621" i="3"/>
  <c r="BH621" i="3" s="1"/>
  <c r="BI621" i="3" s="1"/>
  <c r="AY622" i="3" l="1"/>
  <c r="BC622" i="3" s="1"/>
  <c r="AW623" i="3"/>
  <c r="AO624" i="3"/>
  <c r="AH624" i="3"/>
  <c r="Y624" i="3"/>
  <c r="Z624" i="3" s="1"/>
  <c r="X624" i="3"/>
  <c r="AN624" i="3"/>
  <c r="BA622" i="3"/>
  <c r="AG624" i="3"/>
  <c r="C625" i="3"/>
  <c r="AQ625" i="3"/>
  <c r="D625" i="3"/>
  <c r="AR625" i="3"/>
  <c r="A626" i="3"/>
  <c r="B625" i="3"/>
  <c r="F625" i="3"/>
  <c r="BM625" i="3" s="1"/>
  <c r="G625" i="3"/>
  <c r="H625" i="3" s="1"/>
  <c r="BN625" i="3" s="1"/>
  <c r="Q625" i="3"/>
  <c r="S625" i="3"/>
  <c r="O625" i="3"/>
  <c r="U625" i="3"/>
  <c r="M625" i="3"/>
  <c r="AE625" i="3"/>
  <c r="AM625" i="3"/>
  <c r="AK625" i="3"/>
  <c r="AD625" i="3"/>
  <c r="AF625" i="3"/>
  <c r="T625" i="3"/>
  <c r="P625" i="3"/>
  <c r="R625" i="3"/>
  <c r="V625" i="3"/>
  <c r="AU623" i="3"/>
  <c r="AT623" i="3"/>
  <c r="AX623" i="3"/>
  <c r="AY623" i="3" s="1"/>
  <c r="AT624" i="3" l="1"/>
  <c r="AW624" i="3"/>
  <c r="Y625" i="3"/>
  <c r="Z625" i="3" s="1"/>
  <c r="AO625" i="3"/>
  <c r="AX624" i="3"/>
  <c r="AY624" i="3" s="1"/>
  <c r="X625" i="3"/>
  <c r="AQ626" i="3"/>
  <c r="B626" i="3"/>
  <c r="A627" i="3"/>
  <c r="D626" i="3"/>
  <c r="C626" i="3"/>
  <c r="AR626" i="3"/>
  <c r="F626" i="3"/>
  <c r="BM626" i="3" s="1"/>
  <c r="G626" i="3"/>
  <c r="H626" i="3" s="1"/>
  <c r="BN626" i="3" s="1"/>
  <c r="Q626" i="3"/>
  <c r="S626" i="3"/>
  <c r="O626" i="3"/>
  <c r="U626" i="3"/>
  <c r="M626" i="3"/>
  <c r="AD626" i="3"/>
  <c r="AF626" i="3"/>
  <c r="AE626" i="3"/>
  <c r="AK626" i="3"/>
  <c r="AM626" i="3"/>
  <c r="V626" i="3"/>
  <c r="P626" i="3"/>
  <c r="T626" i="3"/>
  <c r="R626" i="3"/>
  <c r="AG625" i="3"/>
  <c r="AH625" i="3"/>
  <c r="AX625" i="3" s="1"/>
  <c r="BB622" i="3"/>
  <c r="BQ622" i="3"/>
  <c r="BF622" i="3"/>
  <c r="BJ621" i="3" s="1"/>
  <c r="BK621" i="3" s="1"/>
  <c r="BD622" i="3"/>
  <c r="BG622" i="3"/>
  <c r="BH622" i="3" s="1"/>
  <c r="BI622" i="3" s="1"/>
  <c r="AN625" i="3"/>
  <c r="AU624" i="3"/>
  <c r="AV624" i="3" s="1"/>
  <c r="AV623" i="3"/>
  <c r="BC623" i="3" s="1"/>
  <c r="BA623" i="3"/>
  <c r="AN626" i="3" l="1"/>
  <c r="BC624" i="3"/>
  <c r="AG626" i="3"/>
  <c r="X626" i="3"/>
  <c r="BG624" i="3"/>
  <c r="BH624" i="3" s="1"/>
  <c r="BI624" i="3" s="1"/>
  <c r="BD624" i="3"/>
  <c r="BQ623" i="3"/>
  <c r="BB623" i="3"/>
  <c r="BF623" i="3"/>
  <c r="BJ622" i="3" s="1"/>
  <c r="BK622" i="3" s="1"/>
  <c r="BD623" i="3"/>
  <c r="BG623" i="3"/>
  <c r="BH623" i="3" s="1"/>
  <c r="BI623" i="3" s="1"/>
  <c r="AW625" i="3"/>
  <c r="AY625" i="3" s="1"/>
  <c r="Y626" i="3"/>
  <c r="Z626" i="3" s="1"/>
  <c r="AU625" i="3"/>
  <c r="AT625" i="3"/>
  <c r="AO626" i="3"/>
  <c r="BA624" i="3"/>
  <c r="AH626" i="3"/>
  <c r="AR627" i="3"/>
  <c r="D627" i="3"/>
  <c r="A628" i="3"/>
  <c r="AQ627" i="3"/>
  <c r="B627" i="3"/>
  <c r="C627" i="3"/>
  <c r="F627" i="3"/>
  <c r="G627" i="3"/>
  <c r="H627" i="3" s="1"/>
  <c r="BN627" i="3" s="1"/>
  <c r="S627" i="3"/>
  <c r="Q627" i="3"/>
  <c r="O627" i="3"/>
  <c r="U627" i="3"/>
  <c r="AD627" i="3"/>
  <c r="AK627" i="3"/>
  <c r="AE627" i="3"/>
  <c r="AM627" i="3"/>
  <c r="AF627" i="3"/>
  <c r="M627" i="3"/>
  <c r="V627" i="3"/>
  <c r="T627" i="3"/>
  <c r="P627" i="3"/>
  <c r="R627" i="3"/>
  <c r="BM627" i="3" l="1"/>
  <c r="AX626" i="3"/>
  <c r="X627" i="3"/>
  <c r="AO627" i="3"/>
  <c r="BA625" i="3"/>
  <c r="AV625" i="3"/>
  <c r="BC625" i="3" s="1"/>
  <c r="BB624" i="3"/>
  <c r="BQ624" i="3"/>
  <c r="BF624" i="3"/>
  <c r="BJ623" i="3" s="1"/>
  <c r="BK623" i="3" s="1"/>
  <c r="AT626" i="3"/>
  <c r="B628" i="3"/>
  <c r="AQ628" i="3"/>
  <c r="C628" i="3"/>
  <c r="A629" i="3"/>
  <c r="AR628" i="3"/>
  <c r="D628" i="3"/>
  <c r="G628" i="3"/>
  <c r="H628" i="3" s="1"/>
  <c r="BN628" i="3" s="1"/>
  <c r="F628" i="3"/>
  <c r="BM628" i="3" s="1"/>
  <c r="S628" i="3"/>
  <c r="Q628" i="3"/>
  <c r="O628" i="3"/>
  <c r="U628" i="3"/>
  <c r="AD628" i="3"/>
  <c r="AK628" i="3"/>
  <c r="AE628" i="3"/>
  <c r="AF628" i="3"/>
  <c r="M628" i="3"/>
  <c r="AM628" i="3"/>
  <c r="R628" i="3"/>
  <c r="P628" i="3"/>
  <c r="V628" i="3"/>
  <c r="T628" i="3"/>
  <c r="AU626" i="3"/>
  <c r="AH627" i="3"/>
  <c r="AW626" i="3"/>
  <c r="Y627" i="3"/>
  <c r="Z627" i="3" s="1"/>
  <c r="AN627" i="3"/>
  <c r="AG627" i="3"/>
  <c r="AN628" i="3" l="1"/>
  <c r="AY626" i="3"/>
  <c r="AX627" i="3"/>
  <c r="AH628" i="3"/>
  <c r="Y628" i="3"/>
  <c r="Z628" i="3" s="1"/>
  <c r="AG628" i="3"/>
  <c r="AO628" i="3"/>
  <c r="AW627" i="3"/>
  <c r="AY627" i="3" s="1"/>
  <c r="AU627" i="3"/>
  <c r="AR629" i="3"/>
  <c r="A630" i="3"/>
  <c r="B629" i="3"/>
  <c r="AQ629" i="3"/>
  <c r="D629" i="3"/>
  <c r="C629" i="3"/>
  <c r="F629" i="3"/>
  <c r="BM629" i="3" s="1"/>
  <c r="G629" i="3"/>
  <c r="H629" i="3" s="1"/>
  <c r="BN629" i="3" s="1"/>
  <c r="Q629" i="3"/>
  <c r="S629" i="3"/>
  <c r="O629" i="3"/>
  <c r="U629" i="3"/>
  <c r="AK629" i="3"/>
  <c r="AD629" i="3"/>
  <c r="M629" i="3"/>
  <c r="AM629" i="3"/>
  <c r="AE629" i="3"/>
  <c r="AF629" i="3"/>
  <c r="V629" i="3"/>
  <c r="R629" i="3"/>
  <c r="T629" i="3"/>
  <c r="P629" i="3"/>
  <c r="BA626" i="3"/>
  <c r="AV626" i="3"/>
  <c r="BD625" i="3"/>
  <c r="BG625" i="3"/>
  <c r="BH625" i="3" s="1"/>
  <c r="BI625" i="3" s="1"/>
  <c r="X628" i="3"/>
  <c r="AT627" i="3"/>
  <c r="BF625" i="3"/>
  <c r="BJ624" i="3" s="1"/>
  <c r="BK624" i="3" s="1"/>
  <c r="BB625" i="3"/>
  <c r="BQ625" i="3"/>
  <c r="AU628" i="3" l="1"/>
  <c r="BC626" i="3"/>
  <c r="AN629" i="3"/>
  <c r="Y629" i="3"/>
  <c r="Z629" i="3" s="1"/>
  <c r="BF626" i="3"/>
  <c r="BJ625" i="3" s="1"/>
  <c r="BK625" i="3" s="1"/>
  <c r="BQ626" i="3"/>
  <c r="BB626" i="3"/>
  <c r="AO629" i="3"/>
  <c r="BD626" i="3"/>
  <c r="BG626" i="3"/>
  <c r="BH626" i="3" s="1"/>
  <c r="BI626" i="3" s="1"/>
  <c r="AG629" i="3"/>
  <c r="X629" i="3"/>
  <c r="BA627" i="3"/>
  <c r="AV627" i="3"/>
  <c r="BC627" i="3" s="1"/>
  <c r="AH629" i="3"/>
  <c r="AX629" i="3" s="1"/>
  <c r="AQ630" i="3"/>
  <c r="C630" i="3"/>
  <c r="AR630" i="3"/>
  <c r="B630" i="3"/>
  <c r="A631" i="3"/>
  <c r="D630" i="3"/>
  <c r="F630" i="3"/>
  <c r="BM630" i="3" s="1"/>
  <c r="G630" i="3"/>
  <c r="H630" i="3" s="1"/>
  <c r="BN630" i="3" s="1"/>
  <c r="Q630" i="3"/>
  <c r="S630" i="3"/>
  <c r="O630" i="3"/>
  <c r="U630" i="3"/>
  <c r="AE630" i="3"/>
  <c r="AD630" i="3"/>
  <c r="AM630" i="3"/>
  <c r="AK630" i="3"/>
  <c r="AF630" i="3"/>
  <c r="M630" i="3"/>
  <c r="V630" i="3"/>
  <c r="R630" i="3"/>
  <c r="P630" i="3"/>
  <c r="T630" i="3"/>
  <c r="AW628" i="3"/>
  <c r="AT628" i="3"/>
  <c r="AX628" i="3"/>
  <c r="AY628" i="3" l="1"/>
  <c r="AH630" i="3"/>
  <c r="Y630" i="3"/>
  <c r="Z630" i="3" s="1"/>
  <c r="AO630" i="3"/>
  <c r="AN630" i="3"/>
  <c r="X630" i="3"/>
  <c r="BQ627" i="3"/>
  <c r="BB627" i="3"/>
  <c r="BF627" i="3"/>
  <c r="BJ626" i="3" s="1"/>
  <c r="AU629" i="3"/>
  <c r="AG630" i="3"/>
  <c r="AW630" i="3" s="1"/>
  <c r="B631" i="3"/>
  <c r="C631" i="3"/>
  <c r="D631" i="3"/>
  <c r="A632" i="3"/>
  <c r="AQ631" i="3"/>
  <c r="AR631" i="3"/>
  <c r="G631" i="3"/>
  <c r="H631" i="3" s="1"/>
  <c r="BN631" i="3" s="1"/>
  <c r="F631" i="3"/>
  <c r="BM631" i="3" s="1"/>
  <c r="Q631" i="3"/>
  <c r="S631" i="3"/>
  <c r="O631" i="3"/>
  <c r="U631" i="3"/>
  <c r="AD631" i="3"/>
  <c r="M631" i="3"/>
  <c r="AK631" i="3"/>
  <c r="AM631" i="3"/>
  <c r="AF631" i="3"/>
  <c r="AE631" i="3"/>
  <c r="R631" i="3"/>
  <c r="V631" i="3"/>
  <c r="P631" i="3"/>
  <c r="T631" i="3"/>
  <c r="BD627" i="3"/>
  <c r="BG627" i="3"/>
  <c r="BH627" i="3" s="1"/>
  <c r="BI627" i="3" s="1"/>
  <c r="AT629" i="3"/>
  <c r="AW629" i="3"/>
  <c r="AY629" i="3" s="1"/>
  <c r="AV628" i="3"/>
  <c r="BA628" i="3"/>
  <c r="BC628" i="3" l="1"/>
  <c r="BD628" i="3" s="1"/>
  <c r="AO631" i="3"/>
  <c r="AX630" i="3"/>
  <c r="AY630" i="3" s="1"/>
  <c r="AR632" i="3"/>
  <c r="AQ632" i="3"/>
  <c r="A633" i="3"/>
  <c r="D632" i="3"/>
  <c r="B632" i="3"/>
  <c r="C632" i="3"/>
  <c r="G632" i="3"/>
  <c r="H632" i="3" s="1"/>
  <c r="BN632" i="3" s="1"/>
  <c r="F632" i="3"/>
  <c r="Q632" i="3"/>
  <c r="S632" i="3"/>
  <c r="O632" i="3"/>
  <c r="U632" i="3"/>
  <c r="AK632" i="3"/>
  <c r="AD632" i="3"/>
  <c r="AF632" i="3"/>
  <c r="AM632" i="3"/>
  <c r="M632" i="3"/>
  <c r="AE632" i="3"/>
  <c r="T632" i="3"/>
  <c r="P632" i="3"/>
  <c r="V632" i="3"/>
  <c r="R632" i="3"/>
  <c r="BK626" i="3"/>
  <c r="BK5" i="3"/>
  <c r="AG631" i="3"/>
  <c r="AH631" i="3"/>
  <c r="Y631" i="3"/>
  <c r="Z631" i="3" s="1"/>
  <c r="AU630" i="3"/>
  <c r="AV629" i="3"/>
  <c r="BC629" i="3" s="1"/>
  <c r="BA629" i="3"/>
  <c r="AN631" i="3"/>
  <c r="BB628" i="3"/>
  <c r="BF628" i="3"/>
  <c r="BJ627" i="3" s="1"/>
  <c r="BK627" i="3" s="1"/>
  <c r="BQ628" i="3"/>
  <c r="AT630" i="3"/>
  <c r="X631" i="3"/>
  <c r="BG628" i="3" l="1"/>
  <c r="BH628" i="3" s="1"/>
  <c r="BI628" i="3" s="1"/>
  <c r="BK6" i="3"/>
  <c r="A261" i="2" s="1"/>
  <c r="AN632" i="3"/>
  <c r="Y632" i="3"/>
  <c r="Z632" i="3" s="1"/>
  <c r="AT631" i="3"/>
  <c r="AW631" i="3"/>
  <c r="A691" i="3"/>
  <c r="B691" i="3" s="1"/>
  <c r="A260" i="2"/>
  <c r="C260" i="2"/>
  <c r="B260" i="2"/>
  <c r="A688" i="3"/>
  <c r="A690" i="3"/>
  <c r="B690" i="3" s="1"/>
  <c r="A692" i="3"/>
  <c r="B692" i="3" s="1"/>
  <c r="AH632" i="3"/>
  <c r="AG632" i="3"/>
  <c r="BM632" i="3"/>
  <c r="BD629" i="3"/>
  <c r="BG629" i="3"/>
  <c r="BH629" i="3" s="1"/>
  <c r="BI629" i="3" s="1"/>
  <c r="X632" i="3"/>
  <c r="AV630" i="3"/>
  <c r="BC630" i="3" s="1"/>
  <c r="BA630" i="3"/>
  <c r="AX631" i="3"/>
  <c r="AO632" i="3"/>
  <c r="AR633" i="3"/>
  <c r="A634" i="3"/>
  <c r="C633" i="3"/>
  <c r="D633" i="3"/>
  <c r="B633" i="3"/>
  <c r="AQ633" i="3"/>
  <c r="F633" i="3"/>
  <c r="G633" i="3"/>
  <c r="H633" i="3" s="1"/>
  <c r="Q633" i="3"/>
  <c r="S633" i="3"/>
  <c r="O633" i="3"/>
  <c r="U633" i="3"/>
  <c r="AD633" i="3"/>
  <c r="M633" i="3"/>
  <c r="AM633" i="3"/>
  <c r="AK633" i="3"/>
  <c r="AO633" i="3" s="1"/>
  <c r="AE633" i="3"/>
  <c r="AF633" i="3"/>
  <c r="P633" i="3"/>
  <c r="R633" i="3"/>
  <c r="T633" i="3"/>
  <c r="V633" i="3"/>
  <c r="BF629" i="3"/>
  <c r="BJ628" i="3" s="1"/>
  <c r="BK628" i="3" s="1"/>
  <c r="BQ629" i="3"/>
  <c r="BB629" i="3"/>
  <c r="AU631" i="3"/>
  <c r="AY631" i="3" l="1"/>
  <c r="B261" i="2"/>
  <c r="BM633" i="3"/>
  <c r="AU632" i="3"/>
  <c r="AT632" i="3"/>
  <c r="AV632" i="3" s="1"/>
  <c r="AH633" i="3"/>
  <c r="BA631" i="3"/>
  <c r="BF631" i="3" s="1"/>
  <c r="BD630" i="3"/>
  <c r="BG630" i="3"/>
  <c r="BH630" i="3" s="1"/>
  <c r="BI630" i="3" s="1"/>
  <c r="Y633" i="3"/>
  <c r="Z633" i="3" s="1"/>
  <c r="AR634" i="3"/>
  <c r="B634" i="3"/>
  <c r="A635" i="3"/>
  <c r="D634" i="3"/>
  <c r="AQ634" i="3"/>
  <c r="C634" i="3"/>
  <c r="G634" i="3"/>
  <c r="H634" i="3" s="1"/>
  <c r="BN634" i="3" s="1"/>
  <c r="F634" i="3"/>
  <c r="Q634" i="3"/>
  <c r="S634" i="3"/>
  <c r="O634" i="3"/>
  <c r="U634" i="3"/>
  <c r="AK634" i="3"/>
  <c r="AF634" i="3"/>
  <c r="AM634" i="3"/>
  <c r="AE634" i="3"/>
  <c r="AD634" i="3"/>
  <c r="M634" i="3"/>
  <c r="P634" i="3"/>
  <c r="T634" i="3"/>
  <c r="V634" i="3"/>
  <c r="R634" i="3"/>
  <c r="BB630" i="3"/>
  <c r="BF630" i="3"/>
  <c r="BJ629" i="3" s="1"/>
  <c r="BK629" i="3" s="1"/>
  <c r="BQ630" i="3"/>
  <c r="AW632" i="3"/>
  <c r="AN633" i="3"/>
  <c r="D688" i="3"/>
  <c r="Q688" i="3"/>
  <c r="S688" i="3"/>
  <c r="M688" i="3"/>
  <c r="F688" i="3"/>
  <c r="V688" i="3"/>
  <c r="O688" i="3"/>
  <c r="U688" i="3"/>
  <c r="C688" i="3"/>
  <c r="P688" i="3"/>
  <c r="AQ688" i="3"/>
  <c r="AR688" i="3"/>
  <c r="AM688" i="3"/>
  <c r="AK688" i="3"/>
  <c r="G688" i="3"/>
  <c r="H688" i="3" s="1"/>
  <c r="AF688" i="3"/>
  <c r="T688" i="3"/>
  <c r="AD688" i="3"/>
  <c r="B688" i="3"/>
  <c r="R688" i="3"/>
  <c r="AE688" i="3"/>
  <c r="AX632" i="3"/>
  <c r="AV631" i="3"/>
  <c r="BC631" i="3" s="1"/>
  <c r="AG633" i="3"/>
  <c r="AT633" i="3" s="1"/>
  <c r="X633" i="3"/>
  <c r="BN633" i="3"/>
  <c r="AO688" i="3" l="1"/>
  <c r="BM634" i="3"/>
  <c r="AN634" i="3"/>
  <c r="BA632" i="3"/>
  <c r="BB631" i="3"/>
  <c r="BQ631" i="3"/>
  <c r="AG688" i="3"/>
  <c r="AH634" i="3"/>
  <c r="BB632" i="3"/>
  <c r="BQ632" i="3"/>
  <c r="BF632" i="3"/>
  <c r="BG631" i="3"/>
  <c r="BH631" i="3" s="1"/>
  <c r="BI631" i="3" s="1"/>
  <c r="BD631" i="3"/>
  <c r="AO634" i="3"/>
  <c r="AG634" i="3"/>
  <c r="AT634" i="3" s="1"/>
  <c r="AU633" i="3"/>
  <c r="AV633" i="3" s="1"/>
  <c r="Y634" i="3"/>
  <c r="Z634" i="3" s="1"/>
  <c r="AH688" i="3"/>
  <c r="AU688" i="3" s="1"/>
  <c r="AN688" i="3"/>
  <c r="X688" i="3"/>
  <c r="AX633" i="3"/>
  <c r="AW633" i="3"/>
  <c r="X634" i="3"/>
  <c r="AU634" i="3"/>
  <c r="AY632" i="3"/>
  <c r="BC632" i="3" s="1"/>
  <c r="A636" i="3"/>
  <c r="AQ635" i="3"/>
  <c r="AR635" i="3"/>
  <c r="B635" i="3"/>
  <c r="C635" i="3"/>
  <c r="D635" i="3"/>
  <c r="G635" i="3"/>
  <c r="H635" i="3" s="1"/>
  <c r="F635" i="3"/>
  <c r="Q635" i="3"/>
  <c r="S635" i="3"/>
  <c r="O635" i="3"/>
  <c r="U635" i="3"/>
  <c r="AK635" i="3"/>
  <c r="AE635" i="3"/>
  <c r="M635" i="3"/>
  <c r="AD635" i="3"/>
  <c r="AM635" i="3"/>
  <c r="AF635" i="3"/>
  <c r="T635" i="3"/>
  <c r="V635" i="3"/>
  <c r="P635" i="3"/>
  <c r="R635" i="3"/>
  <c r="Y688" i="3"/>
  <c r="Z688" i="3" s="1"/>
  <c r="BJ630" i="3"/>
  <c r="BK630" i="3" s="1"/>
  <c r="AX634" i="3" l="1"/>
  <c r="AN635" i="3"/>
  <c r="AW634" i="3"/>
  <c r="AY633" i="3"/>
  <c r="BC633" i="3" s="1"/>
  <c r="AW688" i="3"/>
  <c r="BD632" i="3"/>
  <c r="BG632" i="3"/>
  <c r="BH632" i="3" s="1"/>
  <c r="BI632" i="3" s="1"/>
  <c r="AV634" i="3"/>
  <c r="BA634" i="3"/>
  <c r="AH635" i="3"/>
  <c r="X635" i="3"/>
  <c r="Y635" i="3"/>
  <c r="Z635" i="3" s="1"/>
  <c r="AG635" i="3"/>
  <c r="BJ631" i="3"/>
  <c r="BK631" i="3" s="1"/>
  <c r="AO635" i="3"/>
  <c r="C636" i="3"/>
  <c r="D636" i="3"/>
  <c r="AQ636" i="3"/>
  <c r="B636" i="3"/>
  <c r="AR636" i="3"/>
  <c r="A637" i="3"/>
  <c r="G636" i="3"/>
  <c r="H636" i="3" s="1"/>
  <c r="BN636" i="3" s="1"/>
  <c r="F636" i="3"/>
  <c r="BM636" i="3" s="1"/>
  <c r="Q636" i="3"/>
  <c r="S636" i="3"/>
  <c r="O636" i="3"/>
  <c r="U636" i="3"/>
  <c r="AE636" i="3"/>
  <c r="M636" i="3"/>
  <c r="AF636" i="3"/>
  <c r="AM636" i="3"/>
  <c r="AK636" i="3"/>
  <c r="AD636" i="3"/>
  <c r="R636" i="3"/>
  <c r="P636" i="3"/>
  <c r="V636" i="3"/>
  <c r="T636" i="3"/>
  <c r="AY634" i="3"/>
  <c r="AT688" i="3"/>
  <c r="BM635" i="3"/>
  <c r="BA633" i="3"/>
  <c r="AX688" i="3"/>
  <c r="BN635" i="3"/>
  <c r="AY688" i="3" l="1"/>
  <c r="AO636" i="3"/>
  <c r="BG633" i="3"/>
  <c r="BH633" i="3" s="1"/>
  <c r="BI633" i="3" s="1"/>
  <c r="BD633" i="3"/>
  <c r="AG636" i="3"/>
  <c r="AU635" i="3"/>
  <c r="AW635" i="3"/>
  <c r="AN636" i="3"/>
  <c r="AX635" i="3"/>
  <c r="AV688" i="3"/>
  <c r="BA688" i="3"/>
  <c r="BB688" i="3" s="1"/>
  <c r="X636" i="3"/>
  <c r="AR637" i="3"/>
  <c r="A638" i="3"/>
  <c r="AQ637" i="3"/>
  <c r="B637" i="3"/>
  <c r="C637" i="3"/>
  <c r="D637" i="3"/>
  <c r="G637" i="3"/>
  <c r="H637" i="3" s="1"/>
  <c r="BN637" i="3" s="1"/>
  <c r="F637" i="3"/>
  <c r="BM637" i="3" s="1"/>
  <c r="Q637" i="3"/>
  <c r="S637" i="3"/>
  <c r="O637" i="3"/>
  <c r="U637" i="3"/>
  <c r="AM637" i="3"/>
  <c r="AK637" i="3"/>
  <c r="M637" i="3"/>
  <c r="AD637" i="3"/>
  <c r="AF637" i="3"/>
  <c r="AE637" i="3"/>
  <c r="V637" i="3"/>
  <c r="P637" i="3"/>
  <c r="T637" i="3"/>
  <c r="R637" i="3"/>
  <c r="AT635" i="3"/>
  <c r="AH636" i="3"/>
  <c r="BF633" i="3"/>
  <c r="BJ632" i="3" s="1"/>
  <c r="BK632" i="3" s="1"/>
  <c r="BB633" i="3"/>
  <c r="BQ633" i="3"/>
  <c r="BC634" i="3"/>
  <c r="BF634" i="3"/>
  <c r="BQ634" i="3"/>
  <c r="BB634" i="3"/>
  <c r="Y636" i="3"/>
  <c r="Z636" i="3" s="1"/>
  <c r="BC688" i="3" l="1"/>
  <c r="AG637" i="3"/>
  <c r="AU636" i="3"/>
  <c r="Y637" i="3"/>
  <c r="Z637" i="3" s="1"/>
  <c r="AO637" i="3"/>
  <c r="BJ633" i="3"/>
  <c r="BK633" i="3" s="1"/>
  <c r="X637" i="3"/>
  <c r="BD688" i="3"/>
  <c r="BG688" i="3"/>
  <c r="AN637" i="3"/>
  <c r="AY635" i="3"/>
  <c r="AH637" i="3"/>
  <c r="A639" i="3"/>
  <c r="B638" i="3"/>
  <c r="AR638" i="3"/>
  <c r="AQ638" i="3"/>
  <c r="D638" i="3"/>
  <c r="C638" i="3"/>
  <c r="F638" i="3"/>
  <c r="BM638" i="3" s="1"/>
  <c r="G638" i="3"/>
  <c r="H638" i="3" s="1"/>
  <c r="BN638" i="3" s="1"/>
  <c r="S638" i="3"/>
  <c r="Q638" i="3"/>
  <c r="O638" i="3"/>
  <c r="U638" i="3"/>
  <c r="AM638" i="3"/>
  <c r="AD638" i="3"/>
  <c r="AE638" i="3"/>
  <c r="AF638" i="3"/>
  <c r="M638" i="3"/>
  <c r="AK638" i="3"/>
  <c r="R638" i="3"/>
  <c r="P638" i="3"/>
  <c r="V638" i="3"/>
  <c r="T638" i="3"/>
  <c r="BD634" i="3"/>
  <c r="BG634" i="3"/>
  <c r="BH634" i="3" s="1"/>
  <c r="BI634" i="3" s="1"/>
  <c r="AX636" i="3"/>
  <c r="AT636" i="3"/>
  <c r="BA635" i="3"/>
  <c r="AV635" i="3"/>
  <c r="AW636" i="3"/>
  <c r="AO638" i="3" l="1"/>
  <c r="AX637" i="3"/>
  <c r="BC635" i="3"/>
  <c r="BG635" i="3" s="1"/>
  <c r="BH635" i="3" s="1"/>
  <c r="BI635" i="3" s="1"/>
  <c r="AG638" i="3"/>
  <c r="AN638" i="3"/>
  <c r="BB635" i="3"/>
  <c r="BQ635" i="3"/>
  <c r="BF635" i="3"/>
  <c r="BJ634" i="3" s="1"/>
  <c r="BK634" i="3" s="1"/>
  <c r="X638" i="3"/>
  <c r="AH638" i="3"/>
  <c r="AX638" i="3" s="1"/>
  <c r="AU637" i="3"/>
  <c r="AT637" i="3"/>
  <c r="AY636" i="3"/>
  <c r="Y638" i="3"/>
  <c r="Z638" i="3" s="1"/>
  <c r="A640" i="3"/>
  <c r="AQ639" i="3"/>
  <c r="AR639" i="3"/>
  <c r="C639" i="3"/>
  <c r="D639" i="3"/>
  <c r="B639" i="3"/>
  <c r="F639" i="3"/>
  <c r="BM639" i="3" s="1"/>
  <c r="G639" i="3"/>
  <c r="H639" i="3" s="1"/>
  <c r="BN639" i="3" s="1"/>
  <c r="Q639" i="3"/>
  <c r="S639" i="3"/>
  <c r="O639" i="3"/>
  <c r="U639" i="3"/>
  <c r="AK639" i="3"/>
  <c r="AM639" i="3"/>
  <c r="AE639" i="3"/>
  <c r="AD639" i="3"/>
  <c r="AF639" i="3"/>
  <c r="M639" i="3"/>
  <c r="P639" i="3"/>
  <c r="T639" i="3"/>
  <c r="R639" i="3"/>
  <c r="V639" i="3"/>
  <c r="BH688" i="3"/>
  <c r="BI688" i="3" s="1"/>
  <c r="BG689" i="3"/>
  <c r="BH689" i="3" s="1"/>
  <c r="BI689" i="3" s="1"/>
  <c r="BG690" i="3"/>
  <c r="BH690" i="3" s="1"/>
  <c r="BI690" i="3" s="1"/>
  <c r="AV636" i="3"/>
  <c r="BA636" i="3"/>
  <c r="AW637" i="3"/>
  <c r="AU638" i="3" l="1"/>
  <c r="AY637" i="3"/>
  <c r="BD635" i="3"/>
  <c r="X639" i="3"/>
  <c r="AN639" i="3"/>
  <c r="AG639" i="3"/>
  <c r="AT638" i="3"/>
  <c r="AO639" i="3"/>
  <c r="A641" i="3"/>
  <c r="AR640" i="3"/>
  <c r="D640" i="3"/>
  <c r="B640" i="3"/>
  <c r="AQ640" i="3"/>
  <c r="C640" i="3"/>
  <c r="F640" i="3"/>
  <c r="BM640" i="3" s="1"/>
  <c r="G640" i="3"/>
  <c r="H640" i="3" s="1"/>
  <c r="BN640" i="3" s="1"/>
  <c r="Q640" i="3"/>
  <c r="S640" i="3"/>
  <c r="O640" i="3"/>
  <c r="U640" i="3"/>
  <c r="AK640" i="3"/>
  <c r="AE640" i="3"/>
  <c r="AD640" i="3"/>
  <c r="M640" i="3"/>
  <c r="AF640" i="3"/>
  <c r="AM640" i="3"/>
  <c r="R640" i="3"/>
  <c r="V640" i="3"/>
  <c r="P640" i="3"/>
  <c r="T640" i="3"/>
  <c r="BA637" i="3"/>
  <c r="AV637" i="3"/>
  <c r="BC636" i="3"/>
  <c r="Y639" i="3"/>
  <c r="Z639" i="3" s="1"/>
  <c r="BQ636" i="3"/>
  <c r="BF636" i="3"/>
  <c r="BJ635" i="3" s="1"/>
  <c r="BK635" i="3" s="1"/>
  <c r="BB636" i="3"/>
  <c r="AH639" i="3"/>
  <c r="AW638" i="3"/>
  <c r="AY638" i="3" s="1"/>
  <c r="AT639" i="3" l="1"/>
  <c r="BC637" i="3"/>
  <c r="AU639" i="3"/>
  <c r="AN640" i="3"/>
  <c r="BD636" i="3"/>
  <c r="BG636" i="3"/>
  <c r="BH636" i="3" s="1"/>
  <c r="BI636" i="3" s="1"/>
  <c r="BB637" i="3"/>
  <c r="BF637" i="3"/>
  <c r="BJ636" i="3" s="1"/>
  <c r="BK636" i="3" s="1"/>
  <c r="BQ637" i="3"/>
  <c r="X640" i="3"/>
  <c r="AO640" i="3"/>
  <c r="BD637" i="3"/>
  <c r="BG637" i="3"/>
  <c r="BH637" i="3" s="1"/>
  <c r="BI637" i="3" s="1"/>
  <c r="AH640" i="3"/>
  <c r="B641" i="3"/>
  <c r="AR641" i="3"/>
  <c r="A642" i="3"/>
  <c r="AQ641" i="3"/>
  <c r="C641" i="3"/>
  <c r="D641" i="3"/>
  <c r="G641" i="3"/>
  <c r="H641" i="3" s="1"/>
  <c r="BN641" i="3" s="1"/>
  <c r="F641" i="3"/>
  <c r="BM641" i="3" s="1"/>
  <c r="Q641" i="3"/>
  <c r="S641" i="3"/>
  <c r="O641" i="3"/>
  <c r="U641" i="3"/>
  <c r="AE641" i="3"/>
  <c r="AD641" i="3"/>
  <c r="AF641" i="3"/>
  <c r="AM641" i="3"/>
  <c r="M641" i="3"/>
  <c r="AK641" i="3"/>
  <c r="P641" i="3"/>
  <c r="T641" i="3"/>
  <c r="R641" i="3"/>
  <c r="V641" i="3"/>
  <c r="AV638" i="3"/>
  <c r="BC638" i="3" s="1"/>
  <c r="BA638" i="3"/>
  <c r="Y640" i="3"/>
  <c r="Z640" i="3" s="1"/>
  <c r="AG640" i="3"/>
  <c r="AX639" i="3"/>
  <c r="AW639" i="3"/>
  <c r="AV639" i="3" l="1"/>
  <c r="AX640" i="3"/>
  <c r="AO641" i="3"/>
  <c r="AY639" i="3"/>
  <c r="BC639" i="3" s="1"/>
  <c r="AG641" i="3"/>
  <c r="AH641" i="3"/>
  <c r="AT641" i="3" s="1"/>
  <c r="AW640" i="3"/>
  <c r="AY640" i="3" s="1"/>
  <c r="X641" i="3"/>
  <c r="AQ642" i="3"/>
  <c r="B642" i="3"/>
  <c r="A643" i="3"/>
  <c r="D642" i="3"/>
  <c r="C642" i="3"/>
  <c r="AR642" i="3"/>
  <c r="G642" i="3"/>
  <c r="H642" i="3" s="1"/>
  <c r="BN642" i="3" s="1"/>
  <c r="F642" i="3"/>
  <c r="BM642" i="3" s="1"/>
  <c r="Q642" i="3"/>
  <c r="S642" i="3"/>
  <c r="O642" i="3"/>
  <c r="U642" i="3"/>
  <c r="AE642" i="3"/>
  <c r="AK642" i="3"/>
  <c r="AM642" i="3"/>
  <c r="M642" i="3"/>
  <c r="AD642" i="3"/>
  <c r="AF642" i="3"/>
  <c r="V642" i="3"/>
  <c r="T642" i="3"/>
  <c r="R642" i="3"/>
  <c r="P642" i="3"/>
  <c r="BA639" i="3"/>
  <c r="AN641" i="3"/>
  <c r="AT640" i="3"/>
  <c r="AU640" i="3"/>
  <c r="BB638" i="3"/>
  <c r="BQ638" i="3"/>
  <c r="BF638" i="3"/>
  <c r="BJ637" i="3" s="1"/>
  <c r="BK637" i="3" s="1"/>
  <c r="BD638" i="3"/>
  <c r="BG638" i="3"/>
  <c r="BH638" i="3" s="1"/>
  <c r="BI638" i="3" s="1"/>
  <c r="Y641" i="3"/>
  <c r="Z641" i="3" s="1"/>
  <c r="AU641" i="3" l="1"/>
  <c r="AO642" i="3"/>
  <c r="AG642" i="3"/>
  <c r="BD639" i="3"/>
  <c r="BG639" i="3"/>
  <c r="BH639" i="3" s="1"/>
  <c r="BI639" i="3" s="1"/>
  <c r="BF639" i="3"/>
  <c r="BJ638" i="3" s="1"/>
  <c r="BK638" i="3" s="1"/>
  <c r="BQ639" i="3"/>
  <c r="BB639" i="3"/>
  <c r="AV641" i="3"/>
  <c r="AH642" i="3"/>
  <c r="AX642" i="3" s="1"/>
  <c r="X642" i="3"/>
  <c r="AR643" i="3"/>
  <c r="A644" i="3"/>
  <c r="AQ643" i="3"/>
  <c r="B643" i="3"/>
  <c r="D643" i="3"/>
  <c r="C643" i="3"/>
  <c r="G643" i="3"/>
  <c r="H643" i="3" s="1"/>
  <c r="BN643" i="3" s="1"/>
  <c r="F643" i="3"/>
  <c r="BM643" i="3" s="1"/>
  <c r="S643" i="3"/>
  <c r="Q643" i="3"/>
  <c r="O643" i="3"/>
  <c r="U643" i="3"/>
  <c r="AD643" i="3"/>
  <c r="AE643" i="3"/>
  <c r="AM643" i="3"/>
  <c r="AF643" i="3"/>
  <c r="M643" i="3"/>
  <c r="AK643" i="3"/>
  <c r="R643" i="3"/>
  <c r="P643" i="3"/>
  <c r="V643" i="3"/>
  <c r="T643" i="3"/>
  <c r="AN642" i="3"/>
  <c r="AX641" i="3"/>
  <c r="Y642" i="3"/>
  <c r="Z642" i="3" s="1"/>
  <c r="AV640" i="3"/>
  <c r="BC640" i="3" s="1"/>
  <c r="BA640" i="3"/>
  <c r="AW641" i="3"/>
  <c r="AY641" i="3" s="1"/>
  <c r="AO643" i="3" l="1"/>
  <c r="AT642" i="3"/>
  <c r="Y643" i="3"/>
  <c r="Z643" i="3" s="1"/>
  <c r="AH643" i="3"/>
  <c r="B644" i="3"/>
  <c r="AQ644" i="3"/>
  <c r="D644" i="3"/>
  <c r="AR644" i="3"/>
  <c r="C644" i="3"/>
  <c r="A645" i="3"/>
  <c r="F644" i="3"/>
  <c r="BM644" i="3" s="1"/>
  <c r="G644" i="3"/>
  <c r="H644" i="3" s="1"/>
  <c r="BN644" i="3" s="1"/>
  <c r="Q644" i="3"/>
  <c r="S644" i="3"/>
  <c r="O644" i="3"/>
  <c r="U644" i="3"/>
  <c r="AM644" i="3"/>
  <c r="AK644" i="3"/>
  <c r="AF644" i="3"/>
  <c r="M644" i="3"/>
  <c r="AE644" i="3"/>
  <c r="AD644" i="3"/>
  <c r="R644" i="3"/>
  <c r="P644" i="3"/>
  <c r="T644" i="3"/>
  <c r="V644" i="3"/>
  <c r="BB640" i="3"/>
  <c r="BQ640" i="3"/>
  <c r="BF640" i="3"/>
  <c r="BJ639" i="3" s="1"/>
  <c r="BK639" i="3" s="1"/>
  <c r="X643" i="3"/>
  <c r="AU643" i="3"/>
  <c r="BD640" i="3"/>
  <c r="BG640" i="3"/>
  <c r="BH640" i="3" s="1"/>
  <c r="BI640" i="3" s="1"/>
  <c r="AN643" i="3"/>
  <c r="BA641" i="3"/>
  <c r="AG643" i="3"/>
  <c r="BC641" i="3"/>
  <c r="AU642" i="3"/>
  <c r="AW642" i="3"/>
  <c r="AY642" i="3" s="1"/>
  <c r="AW643" i="3" l="1"/>
  <c r="BA642" i="3"/>
  <c r="AV642" i="3"/>
  <c r="AO644" i="3"/>
  <c r="Y644" i="3"/>
  <c r="Z644" i="3" s="1"/>
  <c r="AG644" i="3"/>
  <c r="X644" i="3"/>
  <c r="BF642" i="3"/>
  <c r="BQ642" i="3"/>
  <c r="BB642" i="3"/>
  <c r="BC642" i="3"/>
  <c r="AN644" i="3"/>
  <c r="AH644" i="3"/>
  <c r="AR645" i="3"/>
  <c r="A646" i="3"/>
  <c r="AQ645" i="3"/>
  <c r="B645" i="3"/>
  <c r="C645" i="3"/>
  <c r="D645" i="3"/>
  <c r="G645" i="3"/>
  <c r="H645" i="3" s="1"/>
  <c r="BN645" i="3" s="1"/>
  <c r="F645" i="3"/>
  <c r="BM645" i="3" s="1"/>
  <c r="S645" i="3"/>
  <c r="Q645" i="3"/>
  <c r="O645" i="3"/>
  <c r="U645" i="3"/>
  <c r="AM645" i="3"/>
  <c r="M645" i="3"/>
  <c r="AK645" i="3"/>
  <c r="AE645" i="3"/>
  <c r="AF645" i="3"/>
  <c r="AD645" i="3"/>
  <c r="R645" i="3"/>
  <c r="T645" i="3"/>
  <c r="P645" i="3"/>
  <c r="V645" i="3"/>
  <c r="BD641" i="3"/>
  <c r="BG641" i="3"/>
  <c r="BH641" i="3" s="1"/>
  <c r="BI641" i="3" s="1"/>
  <c r="AT643" i="3"/>
  <c r="AX643" i="3"/>
  <c r="AY643" i="3" s="1"/>
  <c r="BQ641" i="3"/>
  <c r="BF641" i="3"/>
  <c r="BJ640" i="3" s="1"/>
  <c r="BK640" i="3" s="1"/>
  <c r="BB641" i="3"/>
  <c r="AX644" i="3" l="1"/>
  <c r="AO645" i="3"/>
  <c r="AG645" i="3"/>
  <c r="AH645" i="3"/>
  <c r="X645" i="3"/>
  <c r="BA643" i="3"/>
  <c r="AN645" i="3"/>
  <c r="AT645" i="3"/>
  <c r="AU644" i="3"/>
  <c r="AT644" i="3"/>
  <c r="D646" i="3"/>
  <c r="AR646" i="3"/>
  <c r="AQ646" i="3"/>
  <c r="B646" i="3"/>
  <c r="A647" i="3"/>
  <c r="C646" i="3"/>
  <c r="F646" i="3"/>
  <c r="BM646" i="3" s="1"/>
  <c r="G646" i="3"/>
  <c r="H646" i="3" s="1"/>
  <c r="BN646" i="3" s="1"/>
  <c r="Q646" i="3"/>
  <c r="S646" i="3"/>
  <c r="O646" i="3"/>
  <c r="U646" i="3"/>
  <c r="AK646" i="3"/>
  <c r="AE646" i="3"/>
  <c r="AD646" i="3"/>
  <c r="AM646" i="3"/>
  <c r="M646" i="3"/>
  <c r="AF646" i="3"/>
  <c r="P646" i="3"/>
  <c r="T646" i="3"/>
  <c r="V646" i="3"/>
  <c r="R646" i="3"/>
  <c r="BD642" i="3"/>
  <c r="BG642" i="3"/>
  <c r="BH642" i="3" s="1"/>
  <c r="BI642" i="3" s="1"/>
  <c r="Y645" i="3"/>
  <c r="Z645" i="3" s="1"/>
  <c r="AW644" i="3"/>
  <c r="BJ641" i="3"/>
  <c r="BK641" i="3" s="1"/>
  <c r="AV643" i="3"/>
  <c r="BC643" i="3" s="1"/>
  <c r="AN646" i="3" l="1"/>
  <c r="AU645" i="3"/>
  <c r="AY644" i="3"/>
  <c r="Y646" i="3"/>
  <c r="Z646" i="3" s="1"/>
  <c r="AG646" i="3"/>
  <c r="BD643" i="3"/>
  <c r="BG643" i="3"/>
  <c r="BH643" i="3" s="1"/>
  <c r="BI643" i="3" s="1"/>
  <c r="AV644" i="3"/>
  <c r="BC644" i="3" s="1"/>
  <c r="BA644" i="3"/>
  <c r="AV645" i="3"/>
  <c r="AH646" i="3"/>
  <c r="AT646" i="3" s="1"/>
  <c r="BF643" i="3"/>
  <c r="BJ642" i="3" s="1"/>
  <c r="BK642" i="3" s="1"/>
  <c r="BB643" i="3"/>
  <c r="BQ643" i="3"/>
  <c r="X646" i="3"/>
  <c r="AW645" i="3"/>
  <c r="AO646" i="3"/>
  <c r="B647" i="3"/>
  <c r="C647" i="3"/>
  <c r="D647" i="3"/>
  <c r="AQ647" i="3"/>
  <c r="AR647" i="3"/>
  <c r="A648" i="3"/>
  <c r="G647" i="3"/>
  <c r="H647" i="3" s="1"/>
  <c r="BN647" i="3" s="1"/>
  <c r="F647" i="3"/>
  <c r="BM647" i="3" s="1"/>
  <c r="Q647" i="3"/>
  <c r="S647" i="3"/>
  <c r="O647" i="3"/>
  <c r="U647" i="3"/>
  <c r="AM647" i="3"/>
  <c r="AD647" i="3"/>
  <c r="M647" i="3"/>
  <c r="AE647" i="3"/>
  <c r="AF647" i="3"/>
  <c r="AK647" i="3"/>
  <c r="P647" i="3"/>
  <c r="R647" i="3"/>
  <c r="V647" i="3"/>
  <c r="T647" i="3"/>
  <c r="AX645" i="3"/>
  <c r="AY645" i="3" l="1"/>
  <c r="AN647" i="3"/>
  <c r="AH647" i="3"/>
  <c r="AR648" i="3"/>
  <c r="AQ648" i="3"/>
  <c r="A649" i="3"/>
  <c r="D648" i="3"/>
  <c r="B648" i="3"/>
  <c r="C648" i="3"/>
  <c r="F648" i="3"/>
  <c r="BM648" i="3" s="1"/>
  <c r="G648" i="3"/>
  <c r="H648" i="3" s="1"/>
  <c r="BN648" i="3" s="1"/>
  <c r="Q648" i="3"/>
  <c r="S648" i="3"/>
  <c r="O648" i="3"/>
  <c r="U648" i="3"/>
  <c r="AE648" i="3"/>
  <c r="AD648" i="3"/>
  <c r="AF648" i="3"/>
  <c r="M648" i="3"/>
  <c r="AM648" i="3"/>
  <c r="AK648" i="3"/>
  <c r="V648" i="3"/>
  <c r="P648" i="3"/>
  <c r="R648" i="3"/>
  <c r="T648" i="3"/>
  <c r="Y647" i="3"/>
  <c r="Z647" i="3" s="1"/>
  <c r="AT647" i="3"/>
  <c r="BQ644" i="3"/>
  <c r="BF644" i="3"/>
  <c r="BJ643" i="3" s="1"/>
  <c r="BK643" i="3" s="1"/>
  <c r="BB644" i="3"/>
  <c r="AX646" i="3"/>
  <c r="BA645" i="3"/>
  <c r="BD644" i="3"/>
  <c r="BG644" i="3"/>
  <c r="BH644" i="3" s="1"/>
  <c r="BI644" i="3" s="1"/>
  <c r="X647" i="3"/>
  <c r="AO647" i="3"/>
  <c r="AW646" i="3"/>
  <c r="BC645" i="3"/>
  <c r="AU646" i="3"/>
  <c r="AG647" i="3"/>
  <c r="AW647" i="3" l="1"/>
  <c r="AN648" i="3"/>
  <c r="AH648" i="3"/>
  <c r="BA646" i="3"/>
  <c r="BQ646" i="3" s="1"/>
  <c r="AO648" i="3"/>
  <c r="BG645" i="3"/>
  <c r="BH645" i="3" s="1"/>
  <c r="BI645" i="3" s="1"/>
  <c r="BD645" i="3"/>
  <c r="A650" i="3"/>
  <c r="AR649" i="3"/>
  <c r="AQ649" i="3"/>
  <c r="C649" i="3"/>
  <c r="D649" i="3"/>
  <c r="B649" i="3"/>
  <c r="F649" i="3"/>
  <c r="BM649" i="3" s="1"/>
  <c r="G649" i="3"/>
  <c r="H649" i="3" s="1"/>
  <c r="Q649" i="3"/>
  <c r="S649" i="3"/>
  <c r="O649" i="3"/>
  <c r="U649" i="3"/>
  <c r="AK649" i="3"/>
  <c r="AD649" i="3"/>
  <c r="AF649" i="3"/>
  <c r="AM649" i="3"/>
  <c r="AE649" i="3"/>
  <c r="M649" i="3"/>
  <c r="V649" i="3"/>
  <c r="R649" i="3"/>
  <c r="P649" i="3"/>
  <c r="T649" i="3"/>
  <c r="BB645" i="3"/>
  <c r="BF645" i="3"/>
  <c r="BJ644" i="3" s="1"/>
  <c r="BK644" i="3" s="1"/>
  <c r="BQ645" i="3"/>
  <c r="AG648" i="3"/>
  <c r="Y648" i="3"/>
  <c r="Z648" i="3" s="1"/>
  <c r="X648" i="3"/>
  <c r="AX647" i="3"/>
  <c r="AY647" i="3" s="1"/>
  <c r="AY646" i="3"/>
  <c r="AV646" i="3"/>
  <c r="AX648" i="3"/>
  <c r="AU647" i="3"/>
  <c r="AV647" i="3" s="1"/>
  <c r="BN649" i="3" l="1"/>
  <c r="AG649" i="3"/>
  <c r="BC647" i="3"/>
  <c r="BG647" i="3" s="1"/>
  <c r="BH647" i="3" s="1"/>
  <c r="BI647" i="3" s="1"/>
  <c r="AT648" i="3"/>
  <c r="AN649" i="3"/>
  <c r="BF646" i="3"/>
  <c r="BB646" i="3"/>
  <c r="AU648" i="3"/>
  <c r="AV648" i="3" s="1"/>
  <c r="BC646" i="3"/>
  <c r="BD646" i="3" s="1"/>
  <c r="BJ645" i="3"/>
  <c r="BK645" i="3" s="1"/>
  <c r="AH649" i="3"/>
  <c r="AU649" i="3" s="1"/>
  <c r="AO649" i="3"/>
  <c r="BA647" i="3"/>
  <c r="AR650" i="3"/>
  <c r="B650" i="3"/>
  <c r="A651" i="3"/>
  <c r="C650" i="3"/>
  <c r="D650" i="3"/>
  <c r="AQ650" i="3"/>
  <c r="G650" i="3"/>
  <c r="H650" i="3" s="1"/>
  <c r="BN650" i="3" s="1"/>
  <c r="F650" i="3"/>
  <c r="BM650" i="3" s="1"/>
  <c r="S650" i="3"/>
  <c r="Q650" i="3"/>
  <c r="O650" i="3"/>
  <c r="U650" i="3"/>
  <c r="AK650" i="3"/>
  <c r="AF650" i="3"/>
  <c r="AM650" i="3"/>
  <c r="M650" i="3"/>
  <c r="AE650" i="3"/>
  <c r="AD650" i="3"/>
  <c r="R650" i="3"/>
  <c r="V650" i="3"/>
  <c r="T650" i="3"/>
  <c r="P650" i="3"/>
  <c r="Y649" i="3"/>
  <c r="Z649" i="3" s="1"/>
  <c r="X649" i="3"/>
  <c r="AW648" i="3"/>
  <c r="AY648" i="3" s="1"/>
  <c r="AN650" i="3" l="1"/>
  <c r="BD647" i="3"/>
  <c r="BG646" i="3"/>
  <c r="BH646" i="3" s="1"/>
  <c r="BI646" i="3" s="1"/>
  <c r="BA648" i="3"/>
  <c r="AH650" i="3"/>
  <c r="Y650" i="3"/>
  <c r="Z650" i="3" s="1"/>
  <c r="BQ648" i="3"/>
  <c r="BB648" i="3"/>
  <c r="BF648" i="3"/>
  <c r="AO650" i="3"/>
  <c r="A652" i="3"/>
  <c r="AQ651" i="3"/>
  <c r="C651" i="3"/>
  <c r="AR651" i="3"/>
  <c r="D651" i="3"/>
  <c r="B651" i="3"/>
  <c r="G651" i="3"/>
  <c r="H651" i="3" s="1"/>
  <c r="BN651" i="3" s="1"/>
  <c r="F651" i="3"/>
  <c r="BM651" i="3" s="1"/>
  <c r="Q651" i="3"/>
  <c r="S651" i="3"/>
  <c r="O651" i="3"/>
  <c r="U651" i="3"/>
  <c r="AD651" i="3"/>
  <c r="M651" i="3"/>
  <c r="AM651" i="3"/>
  <c r="AF651" i="3"/>
  <c r="AK651" i="3"/>
  <c r="AE651" i="3"/>
  <c r="V651" i="3"/>
  <c r="T651" i="3"/>
  <c r="R651" i="3"/>
  <c r="P651" i="3"/>
  <c r="AG650" i="3"/>
  <c r="X650" i="3"/>
  <c r="AX649" i="3"/>
  <c r="BC648" i="3"/>
  <c r="AW649" i="3"/>
  <c r="BQ647" i="3"/>
  <c r="BB647" i="3"/>
  <c r="BF647" i="3"/>
  <c r="BJ646" i="3" s="1"/>
  <c r="BK646" i="3" s="1"/>
  <c r="AT649" i="3"/>
  <c r="AW650" i="3" l="1"/>
  <c r="AO651" i="3"/>
  <c r="AG651" i="3"/>
  <c r="AV649" i="3"/>
  <c r="BA649" i="3"/>
  <c r="Y651" i="3"/>
  <c r="Z651" i="3" s="1"/>
  <c r="X651" i="3"/>
  <c r="BJ647" i="3"/>
  <c r="BK647" i="3" s="1"/>
  <c r="AH651" i="3"/>
  <c r="AY649" i="3"/>
  <c r="BD648" i="3"/>
  <c r="BG648" i="3"/>
  <c r="BH648" i="3" s="1"/>
  <c r="BI648" i="3" s="1"/>
  <c r="AN651" i="3"/>
  <c r="C652" i="3"/>
  <c r="B652" i="3"/>
  <c r="A653" i="3"/>
  <c r="AR652" i="3"/>
  <c r="AQ652" i="3"/>
  <c r="D652" i="3"/>
  <c r="G652" i="3"/>
  <c r="H652" i="3" s="1"/>
  <c r="BN652" i="3" s="1"/>
  <c r="F652" i="3"/>
  <c r="BM652" i="3" s="1"/>
  <c r="Q652" i="3"/>
  <c r="S652" i="3"/>
  <c r="O652" i="3"/>
  <c r="U652" i="3"/>
  <c r="AM652" i="3"/>
  <c r="AD652" i="3"/>
  <c r="M652" i="3"/>
  <c r="AK652" i="3"/>
  <c r="AE652" i="3"/>
  <c r="AF652" i="3"/>
  <c r="P652" i="3"/>
  <c r="V652" i="3"/>
  <c r="R652" i="3"/>
  <c r="T652" i="3"/>
  <c r="AU650" i="3"/>
  <c r="AX650" i="3"/>
  <c r="AY650" i="3" s="1"/>
  <c r="AT650" i="3"/>
  <c r="AG652" i="3" l="1"/>
  <c r="AW651" i="3"/>
  <c r="AN652" i="3"/>
  <c r="AO652" i="3"/>
  <c r="BF649" i="3"/>
  <c r="BJ648" i="3" s="1"/>
  <c r="BK648" i="3" s="1"/>
  <c r="BB649" i="3"/>
  <c r="BQ649" i="3"/>
  <c r="AX651" i="3"/>
  <c r="AY651" i="3" s="1"/>
  <c r="BC649" i="3"/>
  <c r="AQ653" i="3"/>
  <c r="B653" i="3"/>
  <c r="A654" i="3"/>
  <c r="D653" i="3"/>
  <c r="AR653" i="3"/>
  <c r="C653" i="3"/>
  <c r="F653" i="3"/>
  <c r="BM653" i="3" s="1"/>
  <c r="G653" i="3"/>
  <c r="H653" i="3" s="1"/>
  <c r="BN653" i="3" s="1"/>
  <c r="S653" i="3"/>
  <c r="Q653" i="3"/>
  <c r="O653" i="3"/>
  <c r="U653" i="3"/>
  <c r="AE653" i="3"/>
  <c r="AM653" i="3"/>
  <c r="AD653" i="3"/>
  <c r="AF653" i="3"/>
  <c r="AK653" i="3"/>
  <c r="M653" i="3"/>
  <c r="T653" i="3"/>
  <c r="P653" i="3"/>
  <c r="R653" i="3"/>
  <c r="V653" i="3"/>
  <c r="AT651" i="3"/>
  <c r="X652" i="3"/>
  <c r="AU651" i="3"/>
  <c r="AV650" i="3"/>
  <c r="BC650" i="3" s="1"/>
  <c r="BA650" i="3"/>
  <c r="Y652" i="3"/>
  <c r="Z652" i="3" s="1"/>
  <c r="AH652" i="3"/>
  <c r="AX652" i="3" s="1"/>
  <c r="AO653" i="3" l="1"/>
  <c r="AW652" i="3"/>
  <c r="AG653" i="3"/>
  <c r="X653" i="3"/>
  <c r="Y653" i="3"/>
  <c r="Z653" i="3" s="1"/>
  <c r="AY652" i="3"/>
  <c r="AU652" i="3"/>
  <c r="BD650" i="3"/>
  <c r="BG650" i="3"/>
  <c r="BH650" i="3" s="1"/>
  <c r="BI650" i="3" s="1"/>
  <c r="AH653" i="3"/>
  <c r="AT653" i="3" s="1"/>
  <c r="AN653" i="3"/>
  <c r="A655" i="3"/>
  <c r="AR654" i="3"/>
  <c r="AQ654" i="3"/>
  <c r="B654" i="3"/>
  <c r="C654" i="3"/>
  <c r="D654" i="3"/>
  <c r="G654" i="3"/>
  <c r="H654" i="3" s="1"/>
  <c r="BN654" i="3" s="1"/>
  <c r="F654" i="3"/>
  <c r="BM654" i="3" s="1"/>
  <c r="S654" i="3"/>
  <c r="Q654" i="3"/>
  <c r="O654" i="3"/>
  <c r="U654" i="3"/>
  <c r="AD654" i="3"/>
  <c r="AM654" i="3"/>
  <c r="AK654" i="3"/>
  <c r="M654" i="3"/>
  <c r="AE654" i="3"/>
  <c r="AF654" i="3"/>
  <c r="P654" i="3"/>
  <c r="T654" i="3"/>
  <c r="V654" i="3"/>
  <c r="R654" i="3"/>
  <c r="BD649" i="3"/>
  <c r="BG649" i="3"/>
  <c r="BH649" i="3" s="1"/>
  <c r="BI649" i="3" s="1"/>
  <c r="BB650" i="3"/>
  <c r="BQ650" i="3"/>
  <c r="BF650" i="3"/>
  <c r="BJ649" i="3" s="1"/>
  <c r="BK649" i="3" s="1"/>
  <c r="AT652" i="3"/>
  <c r="AV651" i="3"/>
  <c r="BC651" i="3" s="1"/>
  <c r="BA651" i="3"/>
  <c r="AO654" i="3" l="1"/>
  <c r="AH654" i="3"/>
  <c r="AN654" i="3"/>
  <c r="AV652" i="3"/>
  <c r="BC652" i="3" s="1"/>
  <c r="BA652" i="3"/>
  <c r="AX653" i="3"/>
  <c r="AU653" i="3"/>
  <c r="AV653" i="3" s="1"/>
  <c r="AG654" i="3"/>
  <c r="AW654" i="3" s="1"/>
  <c r="X654" i="3"/>
  <c r="A656" i="3"/>
  <c r="AQ655" i="3"/>
  <c r="AR655" i="3"/>
  <c r="C655" i="3"/>
  <c r="D655" i="3"/>
  <c r="B655" i="3"/>
  <c r="G655" i="3"/>
  <c r="H655" i="3" s="1"/>
  <c r="BN655" i="3" s="1"/>
  <c r="F655" i="3"/>
  <c r="BM655" i="3" s="1"/>
  <c r="Q655" i="3"/>
  <c r="S655" i="3"/>
  <c r="O655" i="3"/>
  <c r="U655" i="3"/>
  <c r="AD655" i="3"/>
  <c r="M655" i="3"/>
  <c r="AE655" i="3"/>
  <c r="AM655" i="3"/>
  <c r="AK655" i="3"/>
  <c r="AF655" i="3"/>
  <c r="V655" i="3"/>
  <c r="T655" i="3"/>
  <c r="R655" i="3"/>
  <c r="P655" i="3"/>
  <c r="BQ651" i="3"/>
  <c r="BF651" i="3"/>
  <c r="BJ650" i="3" s="1"/>
  <c r="BK650" i="3" s="1"/>
  <c r="BB651" i="3"/>
  <c r="BD651" i="3"/>
  <c r="BG651" i="3"/>
  <c r="BH651" i="3" s="1"/>
  <c r="BI651" i="3" s="1"/>
  <c r="Y654" i="3"/>
  <c r="Z654" i="3" s="1"/>
  <c r="AW653" i="3"/>
  <c r="AU654" i="3" l="1"/>
  <c r="AN655" i="3"/>
  <c r="AT654" i="3"/>
  <c r="AX654" i="3"/>
  <c r="AY654" i="3" s="1"/>
  <c r="BA653" i="3"/>
  <c r="AH655" i="3"/>
  <c r="X655" i="3"/>
  <c r="AY653" i="3"/>
  <c r="BC653" i="3" s="1"/>
  <c r="Y655" i="3"/>
  <c r="Z655" i="3" s="1"/>
  <c r="A657" i="3"/>
  <c r="AR656" i="3"/>
  <c r="B656" i="3"/>
  <c r="AQ656" i="3"/>
  <c r="C656" i="3"/>
  <c r="D656" i="3"/>
  <c r="F656" i="3"/>
  <c r="BM656" i="3" s="1"/>
  <c r="G656" i="3"/>
  <c r="H656" i="3" s="1"/>
  <c r="BN656" i="3" s="1"/>
  <c r="Q656" i="3"/>
  <c r="S656" i="3"/>
  <c r="O656" i="3"/>
  <c r="U656" i="3"/>
  <c r="AM656" i="3"/>
  <c r="AE656" i="3"/>
  <c r="AK656" i="3"/>
  <c r="M656" i="3"/>
  <c r="AF656" i="3"/>
  <c r="AD656" i="3"/>
  <c r="R656" i="3"/>
  <c r="T656" i="3"/>
  <c r="V656" i="3"/>
  <c r="P656" i="3"/>
  <c r="BF652" i="3"/>
  <c r="BJ651" i="3" s="1"/>
  <c r="BK651" i="3" s="1"/>
  <c r="BB652" i="3"/>
  <c r="BQ652" i="3"/>
  <c r="AO655" i="3"/>
  <c r="BD652" i="3"/>
  <c r="BG652" i="3"/>
  <c r="BH652" i="3" s="1"/>
  <c r="BI652" i="3" s="1"/>
  <c r="AG655" i="3"/>
  <c r="AV654" i="3"/>
  <c r="BA654" i="3" l="1"/>
  <c r="BQ654" i="3" s="1"/>
  <c r="AO656" i="3"/>
  <c r="Y656" i="3"/>
  <c r="Z656" i="3" s="1"/>
  <c r="AH656" i="3"/>
  <c r="AW655" i="3"/>
  <c r="BC654" i="3"/>
  <c r="BD653" i="3"/>
  <c r="BG653" i="3"/>
  <c r="BH653" i="3" s="1"/>
  <c r="BI653" i="3" s="1"/>
  <c r="BG654" i="3"/>
  <c r="BH654" i="3" s="1"/>
  <c r="BI654" i="3" s="1"/>
  <c r="BD654" i="3"/>
  <c r="AX655" i="3"/>
  <c r="AY655" i="3" s="1"/>
  <c r="AN656" i="3"/>
  <c r="D657" i="3"/>
  <c r="C657" i="3"/>
  <c r="AR657" i="3"/>
  <c r="A658" i="3"/>
  <c r="AQ657" i="3"/>
  <c r="B657" i="3"/>
  <c r="G657" i="3"/>
  <c r="H657" i="3" s="1"/>
  <c r="BN657" i="3" s="1"/>
  <c r="F657" i="3"/>
  <c r="BM657" i="3" s="1"/>
  <c r="S657" i="3"/>
  <c r="Q657" i="3"/>
  <c r="O657" i="3"/>
  <c r="U657" i="3"/>
  <c r="AM657" i="3"/>
  <c r="AD657" i="3"/>
  <c r="AK657" i="3"/>
  <c r="AE657" i="3"/>
  <c r="M657" i="3"/>
  <c r="AF657" i="3"/>
  <c r="T657" i="3"/>
  <c r="P657" i="3"/>
  <c r="R657" i="3"/>
  <c r="V657" i="3"/>
  <c r="AU655" i="3"/>
  <c r="AT655" i="3"/>
  <c r="BQ653" i="3"/>
  <c r="BB653" i="3"/>
  <c r="BF653" i="3"/>
  <c r="BJ652" i="3" s="1"/>
  <c r="BK652" i="3" s="1"/>
  <c r="X656" i="3"/>
  <c r="AG656" i="3"/>
  <c r="AU656" i="3" s="1"/>
  <c r="BF654" i="3" l="1"/>
  <c r="BJ653" i="3" s="1"/>
  <c r="BK653" i="3" s="1"/>
  <c r="BB654" i="3"/>
  <c r="AX656" i="3"/>
  <c r="AO657" i="3"/>
  <c r="AN657" i="3"/>
  <c r="AG657" i="3"/>
  <c r="X657" i="3"/>
  <c r="AT656" i="3"/>
  <c r="B658" i="3"/>
  <c r="AQ658" i="3"/>
  <c r="A659" i="3"/>
  <c r="D658" i="3"/>
  <c r="C658" i="3"/>
  <c r="AR658" i="3"/>
  <c r="F658" i="3"/>
  <c r="BM658" i="3" s="1"/>
  <c r="G658" i="3"/>
  <c r="H658" i="3" s="1"/>
  <c r="BN658" i="3" s="1"/>
  <c r="S658" i="3"/>
  <c r="Q658" i="3"/>
  <c r="O658" i="3"/>
  <c r="U658" i="3"/>
  <c r="AD658" i="3"/>
  <c r="AM658" i="3"/>
  <c r="AE658" i="3"/>
  <c r="AK658" i="3"/>
  <c r="AF658" i="3"/>
  <c r="M658" i="3"/>
  <c r="R658" i="3"/>
  <c r="P658" i="3"/>
  <c r="V658" i="3"/>
  <c r="T658" i="3"/>
  <c r="AH657" i="3"/>
  <c r="Y657" i="3"/>
  <c r="Z657" i="3" s="1"/>
  <c r="AW656" i="3"/>
  <c r="BA655" i="3"/>
  <c r="AV655" i="3"/>
  <c r="BC655" i="3" s="1"/>
  <c r="AX657" i="3" l="1"/>
  <c r="AY656" i="3"/>
  <c r="AO658" i="3"/>
  <c r="AH658" i="3"/>
  <c r="AT657" i="3"/>
  <c r="BF655" i="3"/>
  <c r="BJ654" i="3" s="1"/>
  <c r="BK654" i="3" s="1"/>
  <c r="BB655" i="3"/>
  <c r="BQ655" i="3"/>
  <c r="Y658" i="3"/>
  <c r="Z658" i="3" s="1"/>
  <c r="AG658" i="3"/>
  <c r="C659" i="3"/>
  <c r="AQ659" i="3"/>
  <c r="B659" i="3"/>
  <c r="AR659" i="3"/>
  <c r="D659" i="3"/>
  <c r="A660" i="3"/>
  <c r="F659" i="3"/>
  <c r="BM659" i="3" s="1"/>
  <c r="G659" i="3"/>
  <c r="H659" i="3" s="1"/>
  <c r="S659" i="3"/>
  <c r="Q659" i="3"/>
  <c r="O659" i="3"/>
  <c r="U659" i="3"/>
  <c r="AM659" i="3"/>
  <c r="AK659" i="3"/>
  <c r="AD659" i="3"/>
  <c r="AF659" i="3"/>
  <c r="AE659" i="3"/>
  <c r="M659" i="3"/>
  <c r="T659" i="3"/>
  <c r="R659" i="3"/>
  <c r="V659" i="3"/>
  <c r="P659" i="3"/>
  <c r="AV656" i="3"/>
  <c r="BA656" i="3"/>
  <c r="AN658" i="3"/>
  <c r="X658" i="3"/>
  <c r="AU657" i="3"/>
  <c r="BD655" i="3"/>
  <c r="BG655" i="3"/>
  <c r="BH655" i="3" s="1"/>
  <c r="BI655" i="3" s="1"/>
  <c r="AW657" i="3"/>
  <c r="AY657" i="3" s="1"/>
  <c r="BC656" i="3" l="1"/>
  <c r="AU658" i="3"/>
  <c r="AW658" i="3"/>
  <c r="AG659" i="3"/>
  <c r="BN659" i="3"/>
  <c r="AT658" i="3"/>
  <c r="AV658" i="3" s="1"/>
  <c r="AO659" i="3"/>
  <c r="BD656" i="3"/>
  <c r="BG656" i="3"/>
  <c r="BH656" i="3" s="1"/>
  <c r="BI656" i="3" s="1"/>
  <c r="Y659" i="3"/>
  <c r="Z659" i="3" s="1"/>
  <c r="B660" i="3"/>
  <c r="AQ660" i="3"/>
  <c r="D660" i="3"/>
  <c r="A661" i="3"/>
  <c r="AR660" i="3"/>
  <c r="C660" i="3"/>
  <c r="G660" i="3"/>
  <c r="H660" i="3" s="1"/>
  <c r="BN660" i="3" s="1"/>
  <c r="F660" i="3"/>
  <c r="BM660" i="3" s="1"/>
  <c r="S660" i="3"/>
  <c r="Q660" i="3"/>
  <c r="O660" i="3"/>
  <c r="U660" i="3"/>
  <c r="AK660" i="3"/>
  <c r="AD660" i="3"/>
  <c r="AM660" i="3"/>
  <c r="AE660" i="3"/>
  <c r="M660" i="3"/>
  <c r="AF660" i="3"/>
  <c r="P660" i="3"/>
  <c r="R660" i="3"/>
  <c r="V660" i="3"/>
  <c r="T660" i="3"/>
  <c r="AH659" i="3"/>
  <c r="X659" i="3"/>
  <c r="AN659" i="3"/>
  <c r="AX658" i="3"/>
  <c r="AV657" i="3"/>
  <c r="BC657" i="3" s="1"/>
  <c r="BA657" i="3"/>
  <c r="BQ656" i="3"/>
  <c r="BB656" i="3"/>
  <c r="BF656" i="3"/>
  <c r="BJ655" i="3" s="1"/>
  <c r="BK655" i="3" s="1"/>
  <c r="AU659" i="3" l="1"/>
  <c r="BA658" i="3"/>
  <c r="AY658" i="3"/>
  <c r="BC658" i="3" s="1"/>
  <c r="AN660" i="3"/>
  <c r="AT659" i="3"/>
  <c r="Y660" i="3"/>
  <c r="Z660" i="3" s="1"/>
  <c r="BB658" i="3"/>
  <c r="BQ658" i="3"/>
  <c r="BF658" i="3"/>
  <c r="AH660" i="3"/>
  <c r="BQ657" i="3"/>
  <c r="BB657" i="3"/>
  <c r="BF657" i="3"/>
  <c r="BJ656" i="3" s="1"/>
  <c r="BK656" i="3" s="1"/>
  <c r="AV659" i="3"/>
  <c r="AO660" i="3"/>
  <c r="BD657" i="3"/>
  <c r="BG657" i="3"/>
  <c r="BH657" i="3" s="1"/>
  <c r="BI657" i="3" s="1"/>
  <c r="AW659" i="3"/>
  <c r="AX659" i="3"/>
  <c r="AG660" i="3"/>
  <c r="AW660" i="3" s="1"/>
  <c r="X660" i="3"/>
  <c r="AQ661" i="3"/>
  <c r="B661" i="3"/>
  <c r="A662" i="3"/>
  <c r="AR661" i="3"/>
  <c r="D661" i="3"/>
  <c r="C661" i="3"/>
  <c r="G661" i="3"/>
  <c r="H661" i="3" s="1"/>
  <c r="BN661" i="3" s="1"/>
  <c r="F661" i="3"/>
  <c r="BM661" i="3" s="1"/>
  <c r="Q661" i="3"/>
  <c r="S661" i="3"/>
  <c r="O661" i="3"/>
  <c r="U661" i="3"/>
  <c r="AK661" i="3"/>
  <c r="AD661" i="3"/>
  <c r="AF661" i="3"/>
  <c r="AE661" i="3"/>
  <c r="M661" i="3"/>
  <c r="AM661" i="3"/>
  <c r="P661" i="3"/>
  <c r="V661" i="3"/>
  <c r="T661" i="3"/>
  <c r="R661" i="3"/>
  <c r="BG658" i="3" l="1"/>
  <c r="BH658" i="3" s="1"/>
  <c r="BI658" i="3" s="1"/>
  <c r="BD658" i="3"/>
  <c r="AY659" i="3"/>
  <c r="BA659" i="3"/>
  <c r="AU660" i="3"/>
  <c r="AN661" i="3"/>
  <c r="AG661" i="3"/>
  <c r="BQ659" i="3"/>
  <c r="BF659" i="3"/>
  <c r="BJ658" i="3" s="1"/>
  <c r="BK658" i="3" s="1"/>
  <c r="BB659" i="3"/>
  <c r="X661" i="3"/>
  <c r="BC659" i="3"/>
  <c r="Y661" i="3"/>
  <c r="Z661" i="3" s="1"/>
  <c r="BJ657" i="3"/>
  <c r="BK657" i="3" s="1"/>
  <c r="B662" i="3"/>
  <c r="A663" i="3"/>
  <c r="AR662" i="3"/>
  <c r="AQ662" i="3"/>
  <c r="C662" i="3"/>
  <c r="D662" i="3"/>
  <c r="F662" i="3"/>
  <c r="BM662" i="3" s="1"/>
  <c r="G662" i="3"/>
  <c r="H662" i="3" s="1"/>
  <c r="BN662" i="3" s="1"/>
  <c r="Q662" i="3"/>
  <c r="S662" i="3"/>
  <c r="O662" i="3"/>
  <c r="U662" i="3"/>
  <c r="AD662" i="3"/>
  <c r="AE662" i="3"/>
  <c r="AF662" i="3"/>
  <c r="AM662" i="3"/>
  <c r="AK662" i="3"/>
  <c r="M662" i="3"/>
  <c r="V662" i="3"/>
  <c r="P662" i="3"/>
  <c r="T662" i="3"/>
  <c r="R662" i="3"/>
  <c r="AT660" i="3"/>
  <c r="AX660" i="3"/>
  <c r="AY660" i="3" s="1"/>
  <c r="AH661" i="3"/>
  <c r="AO661" i="3"/>
  <c r="AO662" i="3" l="1"/>
  <c r="AN662" i="3"/>
  <c r="AX661" i="3"/>
  <c r="X662" i="3"/>
  <c r="B663" i="3"/>
  <c r="C663" i="3"/>
  <c r="D663" i="3"/>
  <c r="AR663" i="3"/>
  <c r="A664" i="3"/>
  <c r="AQ663" i="3"/>
  <c r="G663" i="3"/>
  <c r="H663" i="3" s="1"/>
  <c r="BN663" i="3" s="1"/>
  <c r="F663" i="3"/>
  <c r="BM663" i="3" s="1"/>
  <c r="Q663" i="3"/>
  <c r="S663" i="3"/>
  <c r="O663" i="3"/>
  <c r="U663" i="3"/>
  <c r="AM663" i="3"/>
  <c r="AE663" i="3"/>
  <c r="M663" i="3"/>
  <c r="AK663" i="3"/>
  <c r="AO663" i="3" s="1"/>
  <c r="AD663" i="3"/>
  <c r="AF663" i="3"/>
  <c r="P663" i="3"/>
  <c r="R663" i="3"/>
  <c r="T663" i="3"/>
  <c r="V663" i="3"/>
  <c r="AG662" i="3"/>
  <c r="BD659" i="3"/>
  <c r="BG659" i="3"/>
  <c r="BH659" i="3" s="1"/>
  <c r="BI659" i="3" s="1"/>
  <c r="Y662" i="3"/>
  <c r="Z662" i="3" s="1"/>
  <c r="AH662" i="3"/>
  <c r="AT661" i="3"/>
  <c r="AU661" i="3"/>
  <c r="AW661" i="3"/>
  <c r="BA660" i="3"/>
  <c r="AV660" i="3"/>
  <c r="BC660" i="3" s="1"/>
  <c r="AX662" i="3" l="1"/>
  <c r="AY661" i="3"/>
  <c r="Y663" i="3"/>
  <c r="Z663" i="3" s="1"/>
  <c r="AW662" i="3"/>
  <c r="AG663" i="3"/>
  <c r="BA661" i="3"/>
  <c r="AV661" i="3"/>
  <c r="C664" i="3"/>
  <c r="A665" i="3"/>
  <c r="AR664" i="3"/>
  <c r="B664" i="3"/>
  <c r="AQ664" i="3"/>
  <c r="D664" i="3"/>
  <c r="G664" i="3"/>
  <c r="H664" i="3" s="1"/>
  <c r="BN664" i="3" s="1"/>
  <c r="F664" i="3"/>
  <c r="BM664" i="3" s="1"/>
  <c r="Q664" i="3"/>
  <c r="S664" i="3"/>
  <c r="O664" i="3"/>
  <c r="U664" i="3"/>
  <c r="M664" i="3"/>
  <c r="AD664" i="3"/>
  <c r="AE664" i="3"/>
  <c r="AK664" i="3"/>
  <c r="AM664" i="3"/>
  <c r="AF664" i="3"/>
  <c r="P664" i="3"/>
  <c r="V664" i="3"/>
  <c r="T664" i="3"/>
  <c r="R664" i="3"/>
  <c r="BG660" i="3"/>
  <c r="BH660" i="3" s="1"/>
  <c r="BI660" i="3" s="1"/>
  <c r="BD660" i="3"/>
  <c r="AH663" i="3"/>
  <c r="AX663" i="3" s="1"/>
  <c r="X663" i="3"/>
  <c r="BQ660" i="3"/>
  <c r="BF660" i="3"/>
  <c r="BJ659" i="3" s="1"/>
  <c r="BK659" i="3" s="1"/>
  <c r="BB660" i="3"/>
  <c r="AU662" i="3"/>
  <c r="AT662" i="3"/>
  <c r="AN663" i="3"/>
  <c r="BC661" i="3" l="1"/>
  <c r="AY662" i="3"/>
  <c r="AN664" i="3"/>
  <c r="AO664" i="3"/>
  <c r="AH664" i="3"/>
  <c r="Y664" i="3"/>
  <c r="Z664" i="3" s="1"/>
  <c r="AT663" i="3"/>
  <c r="AG664" i="3"/>
  <c r="AW664" i="3" s="1"/>
  <c r="BD661" i="3"/>
  <c r="BG661" i="3"/>
  <c r="BH661" i="3" s="1"/>
  <c r="BI661" i="3" s="1"/>
  <c r="AU663" i="3"/>
  <c r="BA662" i="3"/>
  <c r="AV662" i="3"/>
  <c r="BC662" i="3" s="1"/>
  <c r="BF661" i="3"/>
  <c r="BJ660" i="3" s="1"/>
  <c r="BK660" i="3" s="1"/>
  <c r="BQ661" i="3"/>
  <c r="BB661" i="3"/>
  <c r="X664" i="3"/>
  <c r="AR665" i="3"/>
  <c r="A666" i="3"/>
  <c r="C665" i="3"/>
  <c r="D665" i="3"/>
  <c r="AQ665" i="3"/>
  <c r="B665" i="3"/>
  <c r="G665" i="3"/>
  <c r="H665" i="3" s="1"/>
  <c r="BN665" i="3" s="1"/>
  <c r="F665" i="3"/>
  <c r="BM665" i="3" s="1"/>
  <c r="Q665" i="3"/>
  <c r="S665" i="3"/>
  <c r="O665" i="3"/>
  <c r="U665" i="3"/>
  <c r="AM665" i="3"/>
  <c r="AE665" i="3"/>
  <c r="AK665" i="3"/>
  <c r="M665" i="3"/>
  <c r="AD665" i="3"/>
  <c r="AF665" i="3"/>
  <c r="R665" i="3"/>
  <c r="P665" i="3"/>
  <c r="T665" i="3"/>
  <c r="V665" i="3"/>
  <c r="AW663" i="3"/>
  <c r="AY663" i="3" s="1"/>
  <c r="AT664" i="3" l="1"/>
  <c r="AU664" i="3"/>
  <c r="AO665" i="3"/>
  <c r="AG665" i="3"/>
  <c r="BQ662" i="3"/>
  <c r="BF662" i="3"/>
  <c r="BJ661" i="3" s="1"/>
  <c r="BK661" i="3" s="1"/>
  <c r="BB662" i="3"/>
  <c r="AN665" i="3"/>
  <c r="AV664" i="3"/>
  <c r="BA663" i="3"/>
  <c r="AV663" i="3"/>
  <c r="BC663" i="3" s="1"/>
  <c r="X665" i="3"/>
  <c r="Y665" i="3"/>
  <c r="Z665" i="3" s="1"/>
  <c r="AR666" i="3"/>
  <c r="B666" i="3"/>
  <c r="A667" i="3"/>
  <c r="C666" i="3"/>
  <c r="AQ666" i="3"/>
  <c r="D666" i="3"/>
  <c r="F666" i="3"/>
  <c r="BM666" i="3" s="1"/>
  <c r="G666" i="3"/>
  <c r="H666" i="3" s="1"/>
  <c r="BN666" i="3" s="1"/>
  <c r="Q666" i="3"/>
  <c r="S666" i="3"/>
  <c r="O666" i="3"/>
  <c r="U666" i="3"/>
  <c r="M666" i="3"/>
  <c r="AM666" i="3"/>
  <c r="AK666" i="3"/>
  <c r="AD666" i="3"/>
  <c r="AE666" i="3"/>
  <c r="AF666" i="3"/>
  <c r="P666" i="3"/>
  <c r="V666" i="3"/>
  <c r="R666" i="3"/>
  <c r="T666" i="3"/>
  <c r="BG662" i="3"/>
  <c r="BH662" i="3" s="1"/>
  <c r="BI662" i="3" s="1"/>
  <c r="BD662" i="3"/>
  <c r="AH665" i="3"/>
  <c r="AX664" i="3"/>
  <c r="AY664" i="3" s="1"/>
  <c r="AO666" i="3" l="1"/>
  <c r="X666" i="3"/>
  <c r="AH666" i="3"/>
  <c r="AX665" i="3"/>
  <c r="AG666" i="3"/>
  <c r="AT666" i="3" s="1"/>
  <c r="A668" i="3"/>
  <c r="AQ667" i="3"/>
  <c r="AR667" i="3"/>
  <c r="B667" i="3"/>
  <c r="C667" i="3"/>
  <c r="D667" i="3"/>
  <c r="F667" i="3"/>
  <c r="BM667" i="3" s="1"/>
  <c r="G667" i="3"/>
  <c r="H667" i="3" s="1"/>
  <c r="BN667" i="3" s="1"/>
  <c r="Q667" i="3"/>
  <c r="S667" i="3"/>
  <c r="O667" i="3"/>
  <c r="U667" i="3"/>
  <c r="AK667" i="3"/>
  <c r="AM667" i="3"/>
  <c r="AE667" i="3"/>
  <c r="M667" i="3"/>
  <c r="AD667" i="3"/>
  <c r="AF667" i="3"/>
  <c r="P667" i="3"/>
  <c r="T667" i="3"/>
  <c r="V667" i="3"/>
  <c r="R667" i="3"/>
  <c r="AN666" i="3"/>
  <c r="AX666" i="3" s="1"/>
  <c r="BA664" i="3"/>
  <c r="AU666" i="3"/>
  <c r="BD663" i="3"/>
  <c r="BG663" i="3"/>
  <c r="BH663" i="3" s="1"/>
  <c r="BI663" i="3" s="1"/>
  <c r="AT665" i="3"/>
  <c r="AU665" i="3"/>
  <c r="BQ663" i="3"/>
  <c r="BF663" i="3"/>
  <c r="BJ662" i="3" s="1"/>
  <c r="BK662" i="3" s="1"/>
  <c r="BB663" i="3"/>
  <c r="BC664" i="3"/>
  <c r="Y666" i="3"/>
  <c r="Z666" i="3" s="1"/>
  <c r="AW665" i="3"/>
  <c r="AY665" i="3" s="1"/>
  <c r="AG667" i="3" l="1"/>
  <c r="AN667" i="3"/>
  <c r="BB664" i="3"/>
  <c r="BF664" i="3"/>
  <c r="BJ663" i="3" s="1"/>
  <c r="BK663" i="3" s="1"/>
  <c r="BQ664" i="3"/>
  <c r="X667" i="3"/>
  <c r="BD664" i="3"/>
  <c r="BG664" i="3"/>
  <c r="BH664" i="3" s="1"/>
  <c r="BI664" i="3" s="1"/>
  <c r="D668" i="3"/>
  <c r="A669" i="3"/>
  <c r="AR668" i="3"/>
  <c r="B668" i="3"/>
  <c r="AQ668" i="3"/>
  <c r="C668" i="3"/>
  <c r="G668" i="3"/>
  <c r="H668" i="3" s="1"/>
  <c r="BN668" i="3" s="1"/>
  <c r="F668" i="3"/>
  <c r="BM668" i="3" s="1"/>
  <c r="S668" i="3"/>
  <c r="Q668" i="3"/>
  <c r="O668" i="3"/>
  <c r="U668" i="3"/>
  <c r="AM668" i="3"/>
  <c r="AK668" i="3"/>
  <c r="AE668" i="3"/>
  <c r="AD668" i="3"/>
  <c r="AF668" i="3"/>
  <c r="M668" i="3"/>
  <c r="V668" i="3"/>
  <c r="T668" i="3"/>
  <c r="R668" i="3"/>
  <c r="P668" i="3"/>
  <c r="AH667" i="3"/>
  <c r="AV666" i="3"/>
  <c r="BA665" i="3"/>
  <c r="AV665" i="3"/>
  <c r="BC665" i="3" s="1"/>
  <c r="Y667" i="3"/>
  <c r="Z667" i="3" s="1"/>
  <c r="AO667" i="3"/>
  <c r="AW666" i="3"/>
  <c r="AY666" i="3" s="1"/>
  <c r="AX667" i="3" l="1"/>
  <c r="AH668" i="3"/>
  <c r="AO668" i="3"/>
  <c r="Y668" i="3"/>
  <c r="Z668" i="3" s="1"/>
  <c r="AN668" i="3"/>
  <c r="AQ669" i="3"/>
  <c r="B669" i="3"/>
  <c r="AR669" i="3"/>
  <c r="C669" i="3"/>
  <c r="A670" i="3"/>
  <c r="D669" i="3"/>
  <c r="F669" i="3"/>
  <c r="BM669" i="3" s="1"/>
  <c r="G669" i="3"/>
  <c r="H669" i="3" s="1"/>
  <c r="BN669" i="3" s="1"/>
  <c r="Q669" i="3"/>
  <c r="S669" i="3"/>
  <c r="O669" i="3"/>
  <c r="U669" i="3"/>
  <c r="AM669" i="3"/>
  <c r="AK669" i="3"/>
  <c r="AD669" i="3"/>
  <c r="AE669" i="3"/>
  <c r="M669" i="3"/>
  <c r="AF669" i="3"/>
  <c r="P669" i="3"/>
  <c r="V669" i="3"/>
  <c r="R669" i="3"/>
  <c r="T669" i="3"/>
  <c r="BD665" i="3"/>
  <c r="BG665" i="3"/>
  <c r="BH665" i="3" s="1"/>
  <c r="BI665" i="3" s="1"/>
  <c r="AG668" i="3"/>
  <c r="AW668" i="3" s="1"/>
  <c r="AU667" i="3"/>
  <c r="BC666" i="3"/>
  <c r="AW667" i="3"/>
  <c r="AY667" i="3" s="1"/>
  <c r="X668" i="3"/>
  <c r="BF665" i="3"/>
  <c r="BJ664" i="3" s="1"/>
  <c r="BK664" i="3" s="1"/>
  <c r="BB665" i="3"/>
  <c r="BQ665" i="3"/>
  <c r="BA666" i="3"/>
  <c r="AT667" i="3"/>
  <c r="AO669" i="3" l="1"/>
  <c r="AH669" i="3"/>
  <c r="AX668" i="3"/>
  <c r="AY668" i="3" s="1"/>
  <c r="Y669" i="3"/>
  <c r="Z669" i="3" s="1"/>
  <c r="BA667" i="3"/>
  <c r="AV667" i="3"/>
  <c r="BC667" i="3" s="1"/>
  <c r="AN669" i="3"/>
  <c r="A671" i="3"/>
  <c r="B670" i="3"/>
  <c r="AR670" i="3"/>
  <c r="AQ670" i="3"/>
  <c r="D670" i="3"/>
  <c r="C670" i="3"/>
  <c r="G670" i="3"/>
  <c r="H670" i="3" s="1"/>
  <c r="BN670" i="3" s="1"/>
  <c r="F670" i="3"/>
  <c r="BM670" i="3" s="1"/>
  <c r="Q670" i="3"/>
  <c r="S670" i="3"/>
  <c r="O670" i="3"/>
  <c r="U670" i="3"/>
  <c r="AM670" i="3"/>
  <c r="AK670" i="3"/>
  <c r="AE670" i="3"/>
  <c r="AF670" i="3"/>
  <c r="AD670" i="3"/>
  <c r="M670" i="3"/>
  <c r="P670" i="3"/>
  <c r="R670" i="3"/>
  <c r="T670" i="3"/>
  <c r="V670" i="3"/>
  <c r="AU669" i="3"/>
  <c r="X669" i="3"/>
  <c r="AU668" i="3"/>
  <c r="BQ666" i="3"/>
  <c r="BB666" i="3"/>
  <c r="BF666" i="3"/>
  <c r="BJ665" i="3" s="1"/>
  <c r="BK665" i="3" s="1"/>
  <c r="AT668" i="3"/>
  <c r="AG669" i="3"/>
  <c r="BD666" i="3"/>
  <c r="BG666" i="3"/>
  <c r="BH666" i="3" s="1"/>
  <c r="BI666" i="3" s="1"/>
  <c r="AN670" i="3" l="1"/>
  <c r="AW669" i="3"/>
  <c r="AG670" i="3"/>
  <c r="AX669" i="3"/>
  <c r="X670" i="3"/>
  <c r="Y670" i="3"/>
  <c r="Z670" i="3" s="1"/>
  <c r="AO670" i="3"/>
  <c r="BQ667" i="3"/>
  <c r="BF667" i="3"/>
  <c r="BJ666" i="3" s="1"/>
  <c r="BK666" i="3" s="1"/>
  <c r="BB667" i="3"/>
  <c r="AH670" i="3"/>
  <c r="AR671" i="3"/>
  <c r="B671" i="3"/>
  <c r="AQ671" i="3"/>
  <c r="C671" i="3"/>
  <c r="D671" i="3"/>
  <c r="A672" i="3"/>
  <c r="F671" i="3"/>
  <c r="BM671" i="3" s="1"/>
  <c r="G671" i="3"/>
  <c r="H671" i="3" s="1"/>
  <c r="BN671" i="3" s="1"/>
  <c r="Q671" i="3"/>
  <c r="S671" i="3"/>
  <c r="O671" i="3"/>
  <c r="U671" i="3"/>
  <c r="AK671" i="3"/>
  <c r="M671" i="3"/>
  <c r="AM671" i="3"/>
  <c r="AE671" i="3"/>
  <c r="AF671" i="3"/>
  <c r="AD671" i="3"/>
  <c r="V671" i="3"/>
  <c r="P671" i="3"/>
  <c r="T671" i="3"/>
  <c r="R671" i="3"/>
  <c r="BA668" i="3"/>
  <c r="AV668" i="3"/>
  <c r="BC668" i="3" s="1"/>
  <c r="BD667" i="3"/>
  <c r="BG667" i="3"/>
  <c r="BH667" i="3" s="1"/>
  <c r="BI667" i="3" s="1"/>
  <c r="AT669" i="3"/>
  <c r="AN671" i="3" l="1"/>
  <c r="AY669" i="3"/>
  <c r="AX670" i="3"/>
  <c r="AG671" i="3"/>
  <c r="AH671" i="3"/>
  <c r="AO671" i="3"/>
  <c r="AV669" i="3"/>
  <c r="BC669" i="3" s="1"/>
  <c r="BA669" i="3"/>
  <c r="AT671" i="3"/>
  <c r="Y671" i="3"/>
  <c r="Z671" i="3" s="1"/>
  <c r="X671" i="3"/>
  <c r="A673" i="3"/>
  <c r="AR672" i="3"/>
  <c r="B672" i="3"/>
  <c r="C672" i="3"/>
  <c r="D672" i="3"/>
  <c r="AQ672" i="3"/>
  <c r="F672" i="3"/>
  <c r="BM672" i="3" s="1"/>
  <c r="G672" i="3"/>
  <c r="H672" i="3" s="1"/>
  <c r="BN672" i="3" s="1"/>
  <c r="Q672" i="3"/>
  <c r="S672" i="3"/>
  <c r="O672" i="3"/>
  <c r="U672" i="3"/>
  <c r="M672" i="3"/>
  <c r="AE672" i="3"/>
  <c r="AK672" i="3"/>
  <c r="AD672" i="3"/>
  <c r="AM672" i="3"/>
  <c r="AF672" i="3"/>
  <c r="V672" i="3"/>
  <c r="P672" i="3"/>
  <c r="T672" i="3"/>
  <c r="R672" i="3"/>
  <c r="AT670" i="3"/>
  <c r="BQ668" i="3"/>
  <c r="BB668" i="3"/>
  <c r="BF668" i="3"/>
  <c r="BJ667" i="3" s="1"/>
  <c r="BK667" i="3" s="1"/>
  <c r="AU670" i="3"/>
  <c r="AW670" i="3"/>
  <c r="AY670" i="3" s="1"/>
  <c r="BD668" i="3"/>
  <c r="BG668" i="3"/>
  <c r="BH668" i="3" s="1"/>
  <c r="BI668" i="3" s="1"/>
  <c r="AU671" i="3" l="1"/>
  <c r="AN672" i="3"/>
  <c r="AG672" i="3"/>
  <c r="BA670" i="3"/>
  <c r="AV670" i="3"/>
  <c r="BC670" i="3" s="1"/>
  <c r="AO672" i="3"/>
  <c r="BD669" i="3"/>
  <c r="BG669" i="3"/>
  <c r="BH669" i="3" s="1"/>
  <c r="BI669" i="3" s="1"/>
  <c r="AH672" i="3"/>
  <c r="AX672" i="3" s="1"/>
  <c r="AV671" i="3"/>
  <c r="Y672" i="3"/>
  <c r="Z672" i="3" s="1"/>
  <c r="X672" i="3"/>
  <c r="AR673" i="3"/>
  <c r="A674" i="3"/>
  <c r="C673" i="3"/>
  <c r="AQ673" i="3"/>
  <c r="B673" i="3"/>
  <c r="D673" i="3"/>
  <c r="G673" i="3"/>
  <c r="H673" i="3" s="1"/>
  <c r="BN673" i="3" s="1"/>
  <c r="F673" i="3"/>
  <c r="BM673" i="3" s="1"/>
  <c r="Q673" i="3"/>
  <c r="S673" i="3"/>
  <c r="O673" i="3"/>
  <c r="U673" i="3"/>
  <c r="AM673" i="3"/>
  <c r="AK673" i="3"/>
  <c r="AD673" i="3"/>
  <c r="AE673" i="3"/>
  <c r="AF673" i="3"/>
  <c r="M673" i="3"/>
  <c r="P673" i="3"/>
  <c r="R673" i="3"/>
  <c r="T673" i="3"/>
  <c r="V673" i="3"/>
  <c r="BB669" i="3"/>
  <c r="BF669" i="3"/>
  <c r="BJ668" i="3" s="1"/>
  <c r="BK668" i="3" s="1"/>
  <c r="BQ669" i="3"/>
  <c r="AW671" i="3"/>
  <c r="AX671" i="3"/>
  <c r="AY671" i="3" l="1"/>
  <c r="AO673" i="3"/>
  <c r="AG673" i="3"/>
  <c r="AT672" i="3"/>
  <c r="AN673" i="3"/>
  <c r="AU672" i="3"/>
  <c r="AV672" i="3" s="1"/>
  <c r="X673" i="3"/>
  <c r="AH673" i="3"/>
  <c r="AT673" i="3" s="1"/>
  <c r="B674" i="3"/>
  <c r="AQ674" i="3"/>
  <c r="A675" i="3"/>
  <c r="D674" i="3"/>
  <c r="C674" i="3"/>
  <c r="AR674" i="3"/>
  <c r="G674" i="3"/>
  <c r="H674" i="3" s="1"/>
  <c r="BN674" i="3" s="1"/>
  <c r="F674" i="3"/>
  <c r="BM674" i="3" s="1"/>
  <c r="S674" i="3"/>
  <c r="Q674" i="3"/>
  <c r="O674" i="3"/>
  <c r="U674" i="3"/>
  <c r="AK674" i="3"/>
  <c r="AD674" i="3"/>
  <c r="AM674" i="3"/>
  <c r="M674" i="3"/>
  <c r="AF674" i="3"/>
  <c r="AE674" i="3"/>
  <c r="V674" i="3"/>
  <c r="T674" i="3"/>
  <c r="R674" i="3"/>
  <c r="P674" i="3"/>
  <c r="BG670" i="3"/>
  <c r="BH670" i="3" s="1"/>
  <c r="BI670" i="3" s="1"/>
  <c r="BD670" i="3"/>
  <c r="BA671" i="3"/>
  <c r="BQ670" i="3"/>
  <c r="BF670" i="3"/>
  <c r="BJ669" i="3" s="1"/>
  <c r="BK669" i="3" s="1"/>
  <c r="BB670" i="3"/>
  <c r="BC671" i="3"/>
  <c r="Y673" i="3"/>
  <c r="Z673" i="3" s="1"/>
  <c r="AW672" i="3"/>
  <c r="AY672" i="3" s="1"/>
  <c r="AN674" i="3" l="1"/>
  <c r="AG674" i="3"/>
  <c r="AX673" i="3"/>
  <c r="BC672" i="3"/>
  <c r="Y674" i="3"/>
  <c r="Z674" i="3" s="1"/>
  <c r="AO674" i="3"/>
  <c r="AW673" i="3"/>
  <c r="BA672" i="3"/>
  <c r="AV673" i="3"/>
  <c r="X674" i="3"/>
  <c r="D675" i="3"/>
  <c r="B675" i="3"/>
  <c r="AQ675" i="3"/>
  <c r="AR675" i="3"/>
  <c r="C675" i="3"/>
  <c r="A676" i="3"/>
  <c r="G675" i="3"/>
  <c r="H675" i="3" s="1"/>
  <c r="BN675" i="3" s="1"/>
  <c r="F675" i="3"/>
  <c r="S675" i="3"/>
  <c r="Q675" i="3"/>
  <c r="O675" i="3"/>
  <c r="U675" i="3"/>
  <c r="AK675" i="3"/>
  <c r="AM675" i="3"/>
  <c r="AD675" i="3"/>
  <c r="AF675" i="3"/>
  <c r="M675" i="3"/>
  <c r="AE675" i="3"/>
  <c r="P675" i="3"/>
  <c r="V675" i="3"/>
  <c r="T675" i="3"/>
  <c r="R675" i="3"/>
  <c r="AH674" i="3"/>
  <c r="BD671" i="3"/>
  <c r="BG671" i="3"/>
  <c r="BH671" i="3" s="1"/>
  <c r="BI671" i="3" s="1"/>
  <c r="AU673" i="3"/>
  <c r="BB671" i="3"/>
  <c r="BF671" i="3"/>
  <c r="BJ670" i="3" s="1"/>
  <c r="BK670" i="3" s="1"/>
  <c r="BQ671" i="3"/>
  <c r="AU674" i="3" l="1"/>
  <c r="AW674" i="3"/>
  <c r="AT674" i="3"/>
  <c r="AN675" i="3"/>
  <c r="AG675" i="3"/>
  <c r="AY673" i="3"/>
  <c r="BA673" i="3"/>
  <c r="AO675" i="3"/>
  <c r="AX674" i="3"/>
  <c r="BA674" i="3" s="1"/>
  <c r="BC673" i="3"/>
  <c r="AH675" i="3"/>
  <c r="AX675" i="3" s="1"/>
  <c r="BF673" i="3"/>
  <c r="BB673" i="3"/>
  <c r="BQ673" i="3"/>
  <c r="AW675" i="3"/>
  <c r="X675" i="3"/>
  <c r="BB672" i="3"/>
  <c r="BQ672" i="3"/>
  <c r="BF672" i="3"/>
  <c r="BJ671" i="3" s="1"/>
  <c r="BK671" i="3" s="1"/>
  <c r="Y675" i="3"/>
  <c r="Z675" i="3" s="1"/>
  <c r="BM675" i="3"/>
  <c r="D676" i="3"/>
  <c r="C676" i="3"/>
  <c r="B676" i="3"/>
  <c r="AQ676" i="3"/>
  <c r="AR676" i="3"/>
  <c r="G676" i="3"/>
  <c r="H676" i="3" s="1"/>
  <c r="BN676" i="3" s="1"/>
  <c r="F676" i="3"/>
  <c r="BM676" i="3" s="1"/>
  <c r="Q676" i="3"/>
  <c r="S676" i="3"/>
  <c r="O676" i="3"/>
  <c r="U676" i="3"/>
  <c r="AM676" i="3"/>
  <c r="M676" i="3"/>
  <c r="AD676" i="3"/>
  <c r="AK676" i="3"/>
  <c r="AE676" i="3"/>
  <c r="AF676" i="3"/>
  <c r="V676" i="3"/>
  <c r="P676" i="3"/>
  <c r="R676" i="3"/>
  <c r="T676" i="3"/>
  <c r="AV674" i="3"/>
  <c r="BD672" i="3"/>
  <c r="BG672" i="3"/>
  <c r="BH672" i="3" s="1"/>
  <c r="BI672" i="3" s="1"/>
  <c r="AY674" i="3" l="1"/>
  <c r="BC674" i="3" s="1"/>
  <c r="AU675" i="3"/>
  <c r="AO676" i="3"/>
  <c r="AT675" i="3"/>
  <c r="AG676" i="3"/>
  <c r="Y676" i="3"/>
  <c r="Z676" i="3" s="1"/>
  <c r="AN676" i="3"/>
  <c r="X676" i="3"/>
  <c r="AV675" i="3"/>
  <c r="BA675" i="3"/>
  <c r="AY675" i="3"/>
  <c r="AH676" i="3"/>
  <c r="BJ672" i="3"/>
  <c r="BK672" i="3" s="1"/>
  <c r="BB674" i="3"/>
  <c r="BQ674" i="3"/>
  <c r="BF674" i="3"/>
  <c r="BJ673" i="3" s="1"/>
  <c r="BK673" i="3" s="1"/>
  <c r="BD673" i="3"/>
  <c r="BG673" i="3"/>
  <c r="BH673" i="3" s="1"/>
  <c r="BI673" i="3" s="1"/>
  <c r="AX676" i="3" l="1"/>
  <c r="BQ675" i="3"/>
  <c r="BB675" i="3"/>
  <c r="BF675" i="3"/>
  <c r="BJ674" i="3" s="1"/>
  <c r="BK674" i="3" s="1"/>
  <c r="AT676" i="3"/>
  <c r="AU676" i="3"/>
  <c r="BC675" i="3"/>
  <c r="BD674" i="3"/>
  <c r="BG674" i="3"/>
  <c r="BH674" i="3" s="1"/>
  <c r="BI674" i="3" s="1"/>
  <c r="AW676" i="3"/>
  <c r="AY676" i="3" l="1"/>
  <c r="BD675" i="3"/>
  <c r="BG675" i="3"/>
  <c r="BH675" i="3" s="1"/>
  <c r="BI675" i="3" s="1"/>
  <c r="AV676" i="3"/>
  <c r="BA676" i="3"/>
  <c r="BC676" i="3" l="1"/>
  <c r="BD676" i="3"/>
  <c r="BG676" i="3"/>
  <c r="BH676" i="3" s="1"/>
  <c r="BI676" i="3" s="1"/>
  <c r="BQ676" i="3"/>
  <c r="BB676" i="3"/>
  <c r="BF676" i="3"/>
  <c r="BJ675" i="3" l="1"/>
  <c r="BK675" i="3" s="1"/>
  <c r="BJ676" i="3"/>
  <c r="BK676"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Timothy Hegarty</author>
    <author>BDATSC</author>
    <author>Hegarty, Timothy</author>
  </authors>
  <commentList>
    <comment ref="A3" authorId="0" shapeId="0" xr:uid="{00000000-0006-0000-0000-000001000000}">
      <text>
        <r>
          <rPr>
            <b/>
            <sz val="11"/>
            <color indexed="10"/>
            <rFont val="Tahoma"/>
            <family val="2"/>
          </rPr>
          <t>Welcome to the LM5145/6/-Q1 Design Tool</t>
        </r>
        <r>
          <rPr>
            <sz val="9"/>
            <color indexed="81"/>
            <rFont val="Tahoma"/>
            <family val="2"/>
          </rPr>
          <t xml:space="preserve">
This stand-alone tool facilitates and assists the power supply engineer with design of a DC-DC buck regulator based on the </t>
        </r>
        <r>
          <rPr>
            <b/>
            <sz val="9"/>
            <color indexed="81"/>
            <rFont val="Tahoma"/>
            <family val="2"/>
          </rPr>
          <t>LM5145/6/-Q1 synchronous buck controller</t>
        </r>
        <r>
          <rPr>
            <sz val="9"/>
            <color indexed="81"/>
            <rFont val="Tahoma"/>
            <family val="2"/>
          </rPr>
          <t xml:space="preserve">. As such, the user can expeditiously arrive at an optimized design by virtue of the following:
- Determine buck inductance, input and output capacitances
- Select components for switching frequency, soft-start, UVLO, and OCP
- Optimize compensation values and pole/zero placement in terms of control loop stability using crossover frquency as a performance metric
- Inspect regulator efficiency and component power dissipation
- Analyze efficiency based on selected MOSFET parameters
- Review auto-generated schematic and BOM list
</t>
        </r>
        <r>
          <rPr>
            <b/>
            <sz val="9"/>
            <color indexed="81"/>
            <rFont val="Tahoma"/>
            <family val="2"/>
          </rPr>
          <t>IMPORTANT:</t>
        </r>
        <r>
          <rPr>
            <sz val="9"/>
            <color indexed="81"/>
            <rFont val="Tahoma"/>
            <family val="2"/>
          </rPr>
          <t xml:space="preserve"> You must enable macros if Microsoft Excel asks as the file is being opened. U.S. English notation is used throughout.</t>
        </r>
        <r>
          <rPr>
            <b/>
            <sz val="9"/>
            <color indexed="81"/>
            <rFont val="Tahoma"/>
            <family val="2"/>
          </rPr>
          <t xml:space="preserve"> </t>
        </r>
        <r>
          <rPr>
            <b/>
            <u/>
            <sz val="9"/>
            <color indexed="81"/>
            <rFont val="Tahoma"/>
            <family val="2"/>
          </rPr>
          <t>Also, set Windows zoom factor to 100% for correct schematic viewing.</t>
        </r>
        <r>
          <rPr>
            <sz val="9"/>
            <color indexed="81"/>
            <rFont val="Tahoma"/>
            <family val="2"/>
          </rPr>
          <t xml:space="preserve">
</t>
        </r>
        <r>
          <rPr>
            <u/>
            <sz val="9"/>
            <color indexed="12"/>
            <rFont val="Tahoma"/>
            <family val="2"/>
          </rPr>
          <t>www.ti.com/widevin</t>
        </r>
        <r>
          <rPr>
            <sz val="9"/>
            <color indexed="81"/>
            <rFont val="Tahoma"/>
            <family val="2"/>
          </rPr>
          <t xml:space="preserve">
</t>
        </r>
        <r>
          <rPr>
            <b/>
            <sz val="9"/>
            <color indexed="81"/>
            <rFont val="Tahoma"/>
            <family val="2"/>
          </rPr>
          <t xml:space="preserve">
Rev. B1, March 2025, Timothy Hegarty, Texas Instruments, Inc.</t>
        </r>
      </text>
    </comment>
    <comment ref="O3" authorId="0" shapeId="0" xr:uid="{00000000-0006-0000-0000-000002000000}">
      <text>
        <r>
          <rPr>
            <b/>
            <u/>
            <sz val="11"/>
            <color indexed="10"/>
            <rFont val="Tahoma"/>
            <family val="2"/>
          </rPr>
          <t>Texas Instruments</t>
        </r>
        <r>
          <rPr>
            <sz val="11"/>
            <color indexed="10"/>
            <rFont val="Tahoma"/>
            <family val="2"/>
          </rPr>
          <t>:</t>
        </r>
        <r>
          <rPr>
            <sz val="9"/>
            <color indexed="81"/>
            <rFont val="Tahoma"/>
            <family val="2"/>
          </rPr>
          <t xml:space="preserve">
</t>
        </r>
        <r>
          <rPr>
            <b/>
            <sz val="9"/>
            <color indexed="81"/>
            <rFont val="Tahoma"/>
            <family val="2"/>
          </rPr>
          <t>Limited Use Policy</t>
        </r>
        <r>
          <rPr>
            <sz val="9"/>
            <color indexed="81"/>
            <rFont val="Tahoma"/>
            <family val="2"/>
          </rPr>
          <t xml:space="preserve">
You must treat this software and documentation like any other copyrighted material.
</t>
        </r>
        <r>
          <rPr>
            <b/>
            <sz val="9"/>
            <color indexed="81"/>
            <rFont val="Tahoma"/>
            <family val="2"/>
          </rPr>
          <t>You may not:</t>
        </r>
        <r>
          <rPr>
            <sz val="9"/>
            <color indexed="81"/>
            <rFont val="Tahoma"/>
            <family val="2"/>
          </rPr>
          <t xml:space="preserve">
- Copy documentation of the software
- Copy this software except to make archival or backup copies
- Reverse engineer, disassemble, decompile or make any attempt to discover the source code of the Software 
- Place the software onto a server so that it is accessible via a public network such as the internet 
- Sublicense, rent, lease or lend any portion of the software or documentation.
Texas Instruments is not responsible for the validity of any design created with this software and urges all designs to be fully tested and carefully verified. Refer to the LM(2)5145/6/-Q1 product datasheets and EVM user's guides for more details.
</t>
        </r>
        <r>
          <rPr>
            <b/>
            <sz val="9"/>
            <color indexed="81"/>
            <rFont val="Tahoma"/>
            <family val="2"/>
          </rPr>
          <t>Rev. B1, Timothy Hegarty, Texas Instruments, Inc.</t>
        </r>
      </text>
    </comment>
    <comment ref="E6" authorId="0" shapeId="0" xr:uid="{00000000-0006-0000-0000-000003000000}">
      <text>
        <r>
          <rPr>
            <b/>
            <u/>
            <sz val="9"/>
            <color indexed="81"/>
            <rFont val="Tahoma"/>
            <family val="2"/>
          </rPr>
          <t>Minimum Input Voltage</t>
        </r>
        <r>
          <rPr>
            <b/>
            <sz val="9"/>
            <color indexed="81"/>
            <rFont val="Tahoma"/>
            <family val="2"/>
          </rPr>
          <t>:</t>
        </r>
        <r>
          <rPr>
            <sz val="9"/>
            <color indexed="81"/>
            <rFont val="Tahoma"/>
            <family val="2"/>
          </rPr>
          <t xml:space="preserve">
Enter the nominal input voltage.
</t>
        </r>
        <r>
          <rPr>
            <b/>
            <sz val="9"/>
            <color indexed="81"/>
            <rFont val="Tahoma"/>
            <family val="2"/>
          </rPr>
          <t>The text in this cell is red if:</t>
        </r>
        <r>
          <rPr>
            <sz val="9"/>
            <color indexed="81"/>
            <rFont val="Tahoma"/>
            <family val="2"/>
          </rPr>
          <t xml:space="preserve">
-The input voltage is above </t>
        </r>
        <r>
          <rPr>
            <b/>
            <sz val="9"/>
            <color indexed="10"/>
            <rFont val="Tahoma"/>
            <family val="2"/>
          </rPr>
          <t>42V (LM25145), 75V (LM5145) or 100V (LM5146)</t>
        </r>
        <r>
          <rPr>
            <sz val="9"/>
            <color indexed="81"/>
            <rFont val="Tahoma"/>
            <family val="2"/>
          </rPr>
          <t xml:space="preserve">
-The input voltage is below </t>
        </r>
        <r>
          <rPr>
            <b/>
            <sz val="9"/>
            <color indexed="10"/>
            <rFont val="Tahoma"/>
            <family val="2"/>
          </rPr>
          <t>5.5V (LM5146) or 6V (LM25145, LM5145)
-</t>
        </r>
        <r>
          <rPr>
            <sz val="9"/>
            <color indexed="81"/>
            <rFont val="Tahoma"/>
            <family val="2"/>
          </rPr>
          <t xml:space="preserve">The minimum PWM off-time of </t>
        </r>
        <r>
          <rPr>
            <b/>
            <sz val="9"/>
            <color indexed="10"/>
            <rFont val="Tahoma"/>
            <family val="2"/>
          </rPr>
          <t>140ns</t>
        </r>
        <r>
          <rPr>
            <sz val="9"/>
            <color indexed="81"/>
            <rFont val="Tahoma"/>
            <family val="2"/>
          </rPr>
          <t xml:space="preserve"> is reached</t>
        </r>
      </text>
    </comment>
    <comment ref="E7" authorId="0" shapeId="0" xr:uid="{00000000-0006-0000-0000-000004000000}">
      <text>
        <r>
          <rPr>
            <b/>
            <u/>
            <sz val="9"/>
            <color indexed="81"/>
            <rFont val="Tahoma"/>
            <family val="2"/>
          </rPr>
          <t>Nominal Input Voltage</t>
        </r>
        <r>
          <rPr>
            <b/>
            <sz val="9"/>
            <color indexed="81"/>
            <rFont val="Tahoma"/>
            <family val="2"/>
          </rPr>
          <t>:</t>
        </r>
        <r>
          <rPr>
            <sz val="9"/>
            <color indexed="81"/>
            <rFont val="Tahoma"/>
            <family val="2"/>
          </rPr>
          <t xml:space="preserve">
Enter the nominal input voltage.
</t>
        </r>
        <r>
          <rPr>
            <b/>
            <sz val="9"/>
            <color indexed="81"/>
            <rFont val="Tahoma"/>
            <family val="2"/>
          </rPr>
          <t>The text in this cell is red if:</t>
        </r>
        <r>
          <rPr>
            <sz val="9"/>
            <color indexed="81"/>
            <rFont val="Tahoma"/>
            <family val="2"/>
          </rPr>
          <t xml:space="preserve">
-The input voltage is above </t>
        </r>
        <r>
          <rPr>
            <b/>
            <sz val="9"/>
            <color indexed="10"/>
            <rFont val="Tahoma"/>
            <family val="2"/>
          </rPr>
          <t>42V (LM25145), 75V (LM5145) or 100V (LM5146)</t>
        </r>
        <r>
          <rPr>
            <sz val="9"/>
            <color indexed="81"/>
            <rFont val="Tahoma"/>
            <family val="2"/>
          </rPr>
          <t xml:space="preserve">
-The input voltage is below </t>
        </r>
        <r>
          <rPr>
            <b/>
            <sz val="9"/>
            <color indexed="10"/>
            <rFont val="Tahoma"/>
            <family val="2"/>
          </rPr>
          <t>5.5V (LM5146) or 6V (LM25145, LM5145)</t>
        </r>
      </text>
    </comment>
    <comment ref="E8" authorId="0" shapeId="0" xr:uid="{00000000-0006-0000-0000-000005000000}">
      <text>
        <r>
          <rPr>
            <b/>
            <u/>
            <sz val="9"/>
            <color indexed="81"/>
            <rFont val="Tahoma"/>
            <family val="2"/>
          </rPr>
          <t>Maximum Input Voltage</t>
        </r>
        <r>
          <rPr>
            <b/>
            <sz val="9"/>
            <color indexed="81"/>
            <rFont val="Tahoma"/>
            <family val="2"/>
          </rPr>
          <t>:</t>
        </r>
        <r>
          <rPr>
            <sz val="9"/>
            <color indexed="81"/>
            <rFont val="Tahoma"/>
            <family val="2"/>
          </rPr>
          <t xml:space="preserve">
Enter the nominal input voltage.
</t>
        </r>
        <r>
          <rPr>
            <b/>
            <sz val="9"/>
            <color indexed="81"/>
            <rFont val="Tahoma"/>
            <family val="2"/>
          </rPr>
          <t>The text in this cell is red if:</t>
        </r>
        <r>
          <rPr>
            <sz val="9"/>
            <color indexed="81"/>
            <rFont val="Tahoma"/>
            <family val="2"/>
          </rPr>
          <t xml:space="preserve">
-The input voltage is above </t>
        </r>
        <r>
          <rPr>
            <b/>
            <sz val="9"/>
            <color indexed="10"/>
            <rFont val="Tahoma"/>
            <family val="2"/>
          </rPr>
          <t>42V (LM@5145), 75V (LM5145) or 100V (LM5146)</t>
        </r>
        <r>
          <rPr>
            <sz val="9"/>
            <color indexed="81"/>
            <rFont val="Tahoma"/>
            <family val="2"/>
          </rPr>
          <t xml:space="preserve">
-The input voltage is below </t>
        </r>
        <r>
          <rPr>
            <b/>
            <sz val="9"/>
            <color indexed="10"/>
            <rFont val="Tahoma"/>
            <family val="2"/>
          </rPr>
          <t xml:space="preserve">5.5V (LM5146) or 6V (LM25145, LM5145)
</t>
        </r>
        <r>
          <rPr>
            <sz val="9"/>
            <color indexed="81"/>
            <rFont val="Tahoma"/>
            <family val="2"/>
          </rPr>
          <t xml:space="preserve">-The minimum PWM on-time of </t>
        </r>
        <r>
          <rPr>
            <b/>
            <sz val="9"/>
            <color indexed="10"/>
            <rFont val="Tahoma"/>
            <family val="2"/>
          </rPr>
          <t>40ns</t>
        </r>
        <r>
          <rPr>
            <sz val="9"/>
            <color indexed="81"/>
            <rFont val="Tahoma"/>
            <family val="2"/>
          </rPr>
          <t xml:space="preserve"> is reached</t>
        </r>
      </text>
    </comment>
    <comment ref="E9" authorId="0" shapeId="0" xr:uid="{00000000-0006-0000-0000-000006000000}">
      <text>
        <r>
          <rPr>
            <b/>
            <u/>
            <sz val="9"/>
            <color indexed="81"/>
            <rFont val="Tahoma"/>
            <family val="2"/>
          </rPr>
          <t>Output Voltage</t>
        </r>
        <r>
          <rPr>
            <b/>
            <sz val="9"/>
            <color indexed="81"/>
            <rFont val="Tahoma"/>
            <family val="2"/>
          </rPr>
          <t xml:space="preserve">:
</t>
        </r>
        <r>
          <rPr>
            <sz val="9"/>
            <color indexed="81"/>
            <rFont val="Tahoma"/>
            <family val="2"/>
          </rPr>
          <t>Enter the desired output voltage.</t>
        </r>
        <r>
          <rPr>
            <b/>
            <sz val="9"/>
            <color indexed="81"/>
            <rFont val="Tahoma"/>
            <family val="2"/>
          </rPr>
          <t xml:space="preserve">
</t>
        </r>
        <r>
          <rPr>
            <sz val="9"/>
            <color indexed="81"/>
            <rFont val="Tahoma"/>
            <family val="2"/>
          </rPr>
          <t>The text in this cell is red if:</t>
        </r>
        <r>
          <rPr>
            <b/>
            <sz val="9"/>
            <color indexed="81"/>
            <rFont val="Tahoma"/>
            <family val="2"/>
          </rPr>
          <t xml:space="preserve">
</t>
        </r>
        <r>
          <rPr>
            <b/>
            <sz val="9"/>
            <color indexed="10"/>
            <rFont val="Tahoma"/>
            <family val="2"/>
          </rPr>
          <t>-The output voltage is above the nominal input voltage 
-The output voltage is below 0.8V
-The output voltage is above 42V (LM25145) and 60V (LM5145, LM5146)</t>
        </r>
      </text>
    </comment>
    <comment ref="E11" authorId="0" shapeId="0" xr:uid="{00000000-0006-0000-0000-000007000000}">
      <text>
        <r>
          <rPr>
            <b/>
            <u/>
            <sz val="9"/>
            <color indexed="81"/>
            <rFont val="Tahoma"/>
            <family val="2"/>
          </rPr>
          <t>Operating Frequency</t>
        </r>
        <r>
          <rPr>
            <b/>
            <sz val="9"/>
            <color indexed="81"/>
            <rFont val="Tahoma"/>
            <family val="2"/>
          </rPr>
          <t xml:space="preserve"> (set by R</t>
        </r>
        <r>
          <rPr>
            <b/>
            <vertAlign val="subscript"/>
            <sz val="9"/>
            <color indexed="81"/>
            <rFont val="Tahoma"/>
            <family val="2"/>
          </rPr>
          <t>FADJ</t>
        </r>
        <r>
          <rPr>
            <b/>
            <sz val="9"/>
            <color indexed="81"/>
            <rFont val="Tahoma"/>
            <family val="2"/>
          </rPr>
          <t>):</t>
        </r>
        <r>
          <rPr>
            <sz val="9"/>
            <color indexed="81"/>
            <rFont val="Tahoma"/>
            <family val="2"/>
          </rPr>
          <t xml:space="preserve">
This cell defines the free running frequency set by the R</t>
        </r>
        <r>
          <rPr>
            <vertAlign val="subscript"/>
            <sz val="9"/>
            <color indexed="81"/>
            <rFont val="Tahoma"/>
            <family val="2"/>
          </rPr>
          <t>RT</t>
        </r>
        <r>
          <rPr>
            <sz val="9"/>
            <color indexed="81"/>
            <rFont val="Tahoma"/>
            <family val="2"/>
          </rPr>
          <t xml:space="preserve"> resistor. 
</t>
        </r>
        <r>
          <rPr>
            <b/>
            <sz val="9"/>
            <color indexed="81"/>
            <rFont val="Tahoma"/>
            <family val="2"/>
          </rPr>
          <t xml:space="preserve">The text in this cell is blue if:
</t>
        </r>
        <r>
          <rPr>
            <b/>
            <sz val="9"/>
            <color indexed="39"/>
            <rFont val="Tahoma"/>
            <family val="2"/>
          </rPr>
          <t>-The SYNC frequency is not with -20% to +50% of the free-running frequency set by R</t>
        </r>
        <r>
          <rPr>
            <b/>
            <vertAlign val="subscript"/>
            <sz val="9"/>
            <color indexed="39"/>
            <rFont val="Tahoma"/>
            <family val="2"/>
          </rPr>
          <t>RT</t>
        </r>
        <r>
          <rPr>
            <b/>
            <sz val="9"/>
            <color indexed="39"/>
            <rFont val="Tahoma"/>
            <family val="2"/>
          </rPr>
          <t>.</t>
        </r>
        <r>
          <rPr>
            <sz val="9"/>
            <color indexed="81"/>
            <rFont val="Tahoma"/>
            <family val="2"/>
          </rPr>
          <t xml:space="preserve">
</t>
        </r>
        <r>
          <rPr>
            <b/>
            <sz val="9"/>
            <color indexed="81"/>
            <rFont val="Tahoma"/>
            <family val="2"/>
          </rPr>
          <t xml:space="preserve">The text in this cell is red if:
</t>
        </r>
        <r>
          <rPr>
            <b/>
            <sz val="9"/>
            <color indexed="10"/>
            <rFont val="Tahoma"/>
            <family val="2"/>
          </rPr>
          <t>-The frequency is below 100 kHz
-The frequency is above 1 MHz</t>
        </r>
        <r>
          <rPr>
            <sz val="11"/>
            <color indexed="81"/>
            <rFont val="Tahoma"/>
            <family val="2"/>
          </rPr>
          <t xml:space="preserve">
</t>
        </r>
      </text>
    </comment>
    <comment ref="E12" authorId="0" shapeId="0" xr:uid="{00000000-0006-0000-0000-000008000000}">
      <text>
        <r>
          <rPr>
            <b/>
            <u/>
            <sz val="9"/>
            <color indexed="81"/>
            <rFont val="Tahoma"/>
            <family val="2"/>
          </rPr>
          <t>Operating SYNC Frequency</t>
        </r>
        <r>
          <rPr>
            <b/>
            <sz val="9"/>
            <color indexed="81"/>
            <rFont val="Tahoma"/>
            <family val="2"/>
          </rPr>
          <t xml:space="preserve">:
</t>
        </r>
        <r>
          <rPr>
            <sz val="9"/>
            <color indexed="81"/>
            <rFont val="Tahoma"/>
            <family val="2"/>
          </rPr>
          <t>This frequency sets the switching frequency the LM5146 should synchronize to. If SYNC is not used, the SYNCIN pin should be grounded for DCM or tied high (to VCC) for CCM, and the free-running frequency should be inserted here.</t>
        </r>
        <r>
          <rPr>
            <b/>
            <sz val="9"/>
            <color indexed="81"/>
            <rFont val="Tahoma"/>
            <family val="2"/>
          </rPr>
          <t xml:space="preserve">
The text in this cell is blue if 
</t>
        </r>
        <r>
          <rPr>
            <b/>
            <sz val="9"/>
            <color indexed="39"/>
            <rFont val="Tahoma"/>
            <family val="2"/>
          </rPr>
          <t>-The SYNC frequency is greater than 150% or less than 80% of the frequency set by R</t>
        </r>
        <r>
          <rPr>
            <b/>
            <vertAlign val="subscript"/>
            <sz val="9"/>
            <color indexed="39"/>
            <rFont val="Tahoma"/>
            <family val="2"/>
          </rPr>
          <t>RT</t>
        </r>
        <r>
          <rPr>
            <b/>
            <sz val="9"/>
            <color indexed="39"/>
            <rFont val="Tahoma"/>
            <family val="2"/>
          </rPr>
          <t>.
If the SYNC frequency is outside the applicable range, Fsw defaults in this tool to the free-running frequency value.</t>
        </r>
        <r>
          <rPr>
            <b/>
            <sz val="9"/>
            <color indexed="81"/>
            <rFont val="Tahoma"/>
            <family val="2"/>
          </rPr>
          <t xml:space="preserve">
The text in this cell is red if:
</t>
        </r>
        <r>
          <rPr>
            <b/>
            <sz val="9"/>
            <color indexed="10"/>
            <rFont val="Tahoma"/>
            <family val="2"/>
          </rPr>
          <t>- The frequency is below 100 kHz;
- The frequency is above 1 MHz;
- The frequency is not within -20% to +50% of the programmed frequency (set by the R</t>
        </r>
        <r>
          <rPr>
            <b/>
            <vertAlign val="subscript"/>
            <sz val="9"/>
            <color indexed="10"/>
            <rFont val="Tahoma"/>
            <family val="2"/>
          </rPr>
          <t>RT</t>
        </r>
        <r>
          <rPr>
            <b/>
            <sz val="9"/>
            <color indexed="10"/>
            <rFont val="Tahoma"/>
            <family val="2"/>
          </rPr>
          <t xml:space="preserve"> resistor).</t>
        </r>
      </text>
    </comment>
    <comment ref="E17" authorId="0" shapeId="0" xr:uid="{00000000-0006-0000-0000-000009000000}">
      <text>
        <r>
          <rPr>
            <b/>
            <sz val="9"/>
            <color indexed="81"/>
            <rFont val="Tahoma"/>
            <family val="2"/>
          </rPr>
          <t>L</t>
        </r>
        <r>
          <rPr>
            <b/>
            <vertAlign val="subscript"/>
            <sz val="9"/>
            <color indexed="81"/>
            <rFont val="Tahoma"/>
            <family val="2"/>
          </rPr>
          <t>F</t>
        </r>
        <r>
          <rPr>
            <b/>
            <sz val="9"/>
            <color indexed="81"/>
            <rFont val="Tahoma"/>
            <family val="2"/>
          </rPr>
          <t xml:space="preserve">:
</t>
        </r>
        <r>
          <rPr>
            <sz val="9"/>
            <color indexed="81"/>
            <rFont val="Tahoma"/>
            <family val="2"/>
          </rPr>
          <t>Enter the buck filter inductance here. Target inductor (peak-to-peak) ripple currrent is 25-45% of the DC full load current at nominal input voltage.</t>
        </r>
      </text>
    </comment>
    <comment ref="E18" authorId="0" shapeId="0" xr:uid="{00000000-0006-0000-0000-00000A000000}">
      <text>
        <r>
          <rPr>
            <b/>
            <u/>
            <sz val="9"/>
            <color indexed="81"/>
            <rFont val="Tahoma"/>
            <family val="2"/>
          </rPr>
          <t>Inductor DCR</t>
        </r>
        <r>
          <rPr>
            <b/>
            <sz val="9"/>
            <color indexed="81"/>
            <rFont val="Tahoma"/>
            <family val="2"/>
          </rPr>
          <t xml:space="preserve">:
</t>
        </r>
        <r>
          <rPr>
            <sz val="9"/>
            <color indexed="81"/>
            <rFont val="Tahoma"/>
            <family val="2"/>
          </rPr>
          <t>Enter the inductor DC resistance here. This is typically specified in the inductor datasheet at 25°C copper temperature.</t>
        </r>
      </text>
    </comment>
    <comment ref="F21" authorId="0" shapeId="0" xr:uid="{E16B2DB5-2E88-40B3-9726-C84913B304F3}">
      <text>
        <r>
          <rPr>
            <b/>
            <u/>
            <sz val="9"/>
            <color indexed="81"/>
            <rFont val="Tahoma"/>
            <family val="2"/>
          </rPr>
          <t>Core Loss</t>
        </r>
        <r>
          <rPr>
            <b/>
            <sz val="9"/>
            <color indexed="81"/>
            <rFont val="Tahoma"/>
            <family val="2"/>
          </rPr>
          <t xml:space="preserve">:
</t>
        </r>
        <r>
          <rPr>
            <sz val="9"/>
            <color indexed="81"/>
            <rFont val="Tahoma"/>
            <family val="2"/>
          </rPr>
          <t>Enter the estimated inductor AC loss at nominal input voltage.</t>
        </r>
      </text>
    </comment>
    <comment ref="E26" authorId="0" shapeId="0" xr:uid="{00000000-0006-0000-0000-00000B000000}">
      <text>
        <r>
          <rPr>
            <b/>
            <sz val="9"/>
            <color indexed="81"/>
            <rFont val="Tahoma"/>
            <family val="2"/>
          </rPr>
          <t>R</t>
        </r>
        <r>
          <rPr>
            <b/>
            <vertAlign val="subscript"/>
            <sz val="9"/>
            <color indexed="81"/>
            <rFont val="Tahoma"/>
            <family val="2"/>
          </rPr>
          <t>ILIM</t>
        </r>
        <r>
          <rPr>
            <b/>
            <sz val="9"/>
            <color indexed="81"/>
            <rFont val="Tahoma"/>
            <family val="2"/>
          </rPr>
          <t>:</t>
        </r>
        <r>
          <rPr>
            <sz val="9"/>
            <color indexed="81"/>
            <rFont val="Tahoma"/>
            <family val="2"/>
          </rPr>
          <t xml:space="preserve">
This resistor is used to set the overcurrent protection. As such, the calculation takes the required current limit setpoint, the inductor ripple current amplitude and the MOSFET RDS(on) or shunt resistance to calculate </t>
        </r>
        <r>
          <rPr>
            <b/>
            <sz val="9"/>
            <color indexed="81"/>
            <rFont val="Tahoma"/>
            <family val="2"/>
          </rPr>
          <t>R</t>
        </r>
        <r>
          <rPr>
            <b/>
            <vertAlign val="subscript"/>
            <sz val="9"/>
            <color indexed="81"/>
            <rFont val="Tahoma"/>
            <family val="2"/>
          </rPr>
          <t>ILIM</t>
        </r>
        <r>
          <rPr>
            <sz val="9"/>
            <color indexed="81"/>
            <rFont val="Tahoma"/>
            <family val="2"/>
          </rPr>
          <t>.</t>
        </r>
      </text>
    </comment>
    <comment ref="E31" authorId="0" shapeId="0" xr:uid="{00000000-0006-0000-0000-00000C000000}">
      <text>
        <r>
          <rPr>
            <b/>
            <u/>
            <sz val="9"/>
            <color indexed="81"/>
            <rFont val="Tahoma"/>
            <family val="2"/>
          </rPr>
          <t>Output Voltage Ripple</t>
        </r>
        <r>
          <rPr>
            <b/>
            <sz val="9"/>
            <color indexed="81"/>
            <rFont val="Tahoma"/>
            <family val="2"/>
          </rPr>
          <t xml:space="preserve">:
</t>
        </r>
        <r>
          <rPr>
            <sz val="9"/>
            <color indexed="81"/>
            <rFont val="Tahoma"/>
            <family val="2"/>
          </rPr>
          <t>Enter the desired maximum peak-to-peak output voltage ripple here. This will set the ideal output capacitance value.</t>
        </r>
        <r>
          <rPr>
            <b/>
            <sz val="9"/>
            <color indexed="81"/>
            <rFont val="Tahoma"/>
            <family val="2"/>
          </rPr>
          <t xml:space="preserve">
The text in this cell is red if:
</t>
        </r>
        <r>
          <rPr>
            <b/>
            <sz val="9"/>
            <color indexed="10"/>
            <rFont val="Tahoma"/>
            <family val="2"/>
          </rPr>
          <t>-The output voltage ripple is zero.</t>
        </r>
      </text>
    </comment>
    <comment ref="E33" authorId="0" shapeId="0" xr:uid="{00000000-0006-0000-0000-00000D000000}">
      <text>
        <r>
          <rPr>
            <b/>
            <u/>
            <sz val="9"/>
            <color indexed="81"/>
            <rFont val="Tahoma"/>
            <family val="2"/>
          </rPr>
          <t>Output Capacitance</t>
        </r>
        <r>
          <rPr>
            <b/>
            <sz val="9"/>
            <color indexed="81"/>
            <rFont val="Tahoma"/>
            <family val="2"/>
          </rPr>
          <t>:</t>
        </r>
        <r>
          <rPr>
            <sz val="9"/>
            <color indexed="81"/>
            <rFont val="Tahoma"/>
            <family val="2"/>
          </rPr>
          <t xml:space="preserve">
Enter the output capacitance here based on the minimum calculated result. Make sure that the nominal capacitance is appropriately </t>
        </r>
        <r>
          <rPr>
            <b/>
            <sz val="11"/>
            <color indexed="81"/>
            <rFont val="Tahoma"/>
            <family val="2"/>
          </rPr>
          <t>derated</t>
        </r>
        <r>
          <rPr>
            <sz val="9"/>
            <color indexed="81"/>
            <rFont val="Tahoma"/>
            <family val="2"/>
          </rPr>
          <t xml:space="preserve"> for applied voltage, particularly with </t>
        </r>
        <r>
          <rPr>
            <sz val="9"/>
            <color indexed="39"/>
            <rFont val="Tahoma"/>
            <family val="2"/>
          </rPr>
          <t>ceramics</t>
        </r>
        <r>
          <rPr>
            <sz val="9"/>
            <color indexed="81"/>
            <rFont val="Tahoma"/>
            <family val="2"/>
          </rPr>
          <t xml:space="preserve">.
</t>
        </r>
        <r>
          <rPr>
            <b/>
            <sz val="9"/>
            <color indexed="81"/>
            <rFont val="Tahoma"/>
            <family val="2"/>
          </rPr>
          <t>The text in this cell is flagged red if:</t>
        </r>
        <r>
          <rPr>
            <sz val="9"/>
            <color indexed="81"/>
            <rFont val="Tahoma"/>
            <family val="2"/>
          </rPr>
          <t xml:space="preserve">
</t>
        </r>
        <r>
          <rPr>
            <b/>
            <sz val="9"/>
            <color indexed="10"/>
            <rFont val="Tahoma"/>
            <family val="2"/>
          </rPr>
          <t>-The chosen output capacitor is smaller than the minimum ideal capacitance.</t>
        </r>
      </text>
    </comment>
    <comment ref="E35" authorId="0" shapeId="0" xr:uid="{00000000-0006-0000-0000-00000E000000}">
      <text>
        <r>
          <rPr>
            <b/>
            <u/>
            <sz val="9"/>
            <color indexed="81"/>
            <rFont val="Tahoma"/>
            <family val="2"/>
          </rPr>
          <t>Output Capacitor ESR</t>
        </r>
        <r>
          <rPr>
            <b/>
            <sz val="9"/>
            <color indexed="81"/>
            <rFont val="Tahoma"/>
            <family val="2"/>
          </rPr>
          <t xml:space="preserve">:
</t>
        </r>
        <r>
          <rPr>
            <sz val="9"/>
            <color indexed="81"/>
            <rFont val="Tahoma"/>
            <family val="2"/>
          </rPr>
          <t>Enter the output capacitor ESR here based on the maximum allowed output capacitor ESR to meet the voltage ripple specification.</t>
        </r>
        <r>
          <rPr>
            <b/>
            <sz val="9"/>
            <color indexed="81"/>
            <rFont val="Tahoma"/>
            <family val="2"/>
          </rPr>
          <t xml:space="preserve">
The text in this cell will be </t>
        </r>
        <r>
          <rPr>
            <b/>
            <sz val="9"/>
            <color indexed="10"/>
            <rFont val="Tahoma"/>
            <family val="2"/>
          </rPr>
          <t>red</t>
        </r>
        <r>
          <rPr>
            <b/>
            <sz val="9"/>
            <color indexed="81"/>
            <rFont val="Tahoma"/>
            <family val="2"/>
          </rPr>
          <t xml:space="preserve"> if:
</t>
        </r>
        <r>
          <rPr>
            <b/>
            <sz val="9"/>
            <color indexed="10"/>
            <rFont val="Tahoma"/>
            <family val="2"/>
          </rPr>
          <t>-ESR is zero, or
-ESR exceeds maximum allowable ESR to meet the voltage ripple specification.</t>
        </r>
      </text>
    </comment>
    <comment ref="E40" authorId="0" shapeId="0" xr:uid="{00000000-0006-0000-0000-00000F000000}">
      <text>
        <r>
          <rPr>
            <b/>
            <u/>
            <sz val="9"/>
            <color indexed="81"/>
            <rFont val="Tahoma"/>
            <family val="2"/>
          </rPr>
          <t>Input Voltage Ripple</t>
        </r>
        <r>
          <rPr>
            <b/>
            <sz val="9"/>
            <color indexed="81"/>
            <rFont val="Tahoma"/>
            <family val="2"/>
          </rPr>
          <t xml:space="preserve">:
</t>
        </r>
        <r>
          <rPr>
            <sz val="9"/>
            <color indexed="81"/>
            <rFont val="Tahoma"/>
            <family val="2"/>
          </rPr>
          <t>Enter the desired maximum peak-to-peak input voltage ripple here. This will set the ideal input capacitance requirement.</t>
        </r>
        <r>
          <rPr>
            <b/>
            <sz val="9"/>
            <color indexed="81"/>
            <rFont val="Tahoma"/>
            <family val="2"/>
          </rPr>
          <t xml:space="preserve">
The text in this cell is </t>
        </r>
        <r>
          <rPr>
            <b/>
            <sz val="9"/>
            <color indexed="10"/>
            <rFont val="Tahoma"/>
            <family val="2"/>
          </rPr>
          <t>red</t>
        </r>
        <r>
          <rPr>
            <b/>
            <sz val="9"/>
            <color indexed="81"/>
            <rFont val="Tahoma"/>
            <family val="2"/>
          </rPr>
          <t xml:space="preserve"> if:
</t>
        </r>
        <r>
          <rPr>
            <b/>
            <sz val="9"/>
            <color indexed="10"/>
            <rFont val="Tahoma"/>
            <family val="2"/>
          </rPr>
          <t>-The input voltage ripple is zero.</t>
        </r>
      </text>
    </comment>
    <comment ref="E42" authorId="0" shapeId="0" xr:uid="{00000000-0006-0000-0000-000010000000}">
      <text>
        <r>
          <rPr>
            <b/>
            <u/>
            <sz val="9"/>
            <color indexed="81"/>
            <rFont val="Tahoma"/>
            <family val="2"/>
          </rPr>
          <t>Input Capacitance</t>
        </r>
        <r>
          <rPr>
            <b/>
            <sz val="9"/>
            <color indexed="81"/>
            <rFont val="Tahoma"/>
            <family val="2"/>
          </rPr>
          <t xml:space="preserve">:
</t>
        </r>
        <r>
          <rPr>
            <sz val="9"/>
            <color indexed="81"/>
            <rFont val="Tahoma"/>
            <family val="2"/>
          </rPr>
          <t xml:space="preserve">Enter the input capacitance here based on the minimum calculated result. Make sure that the nominal capacitance is appropriately derated for applied voltage.
</t>
        </r>
        <r>
          <rPr>
            <b/>
            <sz val="9"/>
            <color indexed="81"/>
            <rFont val="Tahoma"/>
            <family val="2"/>
          </rPr>
          <t xml:space="preserve">The text in this cell is flagged </t>
        </r>
        <r>
          <rPr>
            <b/>
            <sz val="9"/>
            <color indexed="10"/>
            <rFont val="Tahoma"/>
            <family val="2"/>
          </rPr>
          <t>red</t>
        </r>
        <r>
          <rPr>
            <b/>
            <sz val="9"/>
            <color indexed="81"/>
            <rFont val="Tahoma"/>
            <family val="2"/>
          </rPr>
          <t xml:space="preserve"> if:
</t>
        </r>
        <r>
          <rPr>
            <b/>
            <sz val="9"/>
            <color indexed="10"/>
            <rFont val="Tahoma"/>
            <family val="2"/>
          </rPr>
          <t>-The chosen input capacitor is smaller than the minimum ideal capacitance.</t>
        </r>
      </text>
    </comment>
    <comment ref="E44" authorId="0" shapeId="0" xr:uid="{00000000-0006-0000-0000-000011000000}">
      <text>
        <r>
          <rPr>
            <b/>
            <u/>
            <sz val="9"/>
            <color indexed="81"/>
            <rFont val="Tahoma"/>
            <family val="2"/>
          </rPr>
          <t>Input Capacitor ESR</t>
        </r>
        <r>
          <rPr>
            <b/>
            <sz val="9"/>
            <color indexed="81"/>
            <rFont val="Tahoma"/>
            <family val="2"/>
          </rPr>
          <t xml:space="preserve">:
</t>
        </r>
        <r>
          <rPr>
            <sz val="9"/>
            <color indexed="81"/>
            <rFont val="Tahoma"/>
            <family val="2"/>
          </rPr>
          <t>Enter the input capacitor ESR here based on the maximum allowed input capacitor ESR to meet the ripple voltage specification.</t>
        </r>
        <r>
          <rPr>
            <b/>
            <sz val="9"/>
            <color indexed="81"/>
            <rFont val="Tahoma"/>
            <family val="2"/>
          </rPr>
          <t xml:space="preserve">
The text in this cell will be </t>
        </r>
        <r>
          <rPr>
            <b/>
            <sz val="9"/>
            <color indexed="10"/>
            <rFont val="Tahoma"/>
            <family val="2"/>
          </rPr>
          <t>red</t>
        </r>
        <r>
          <rPr>
            <b/>
            <sz val="9"/>
            <color indexed="81"/>
            <rFont val="Tahoma"/>
            <family val="2"/>
          </rPr>
          <t xml:space="preserve"> if:
</t>
        </r>
        <r>
          <rPr>
            <b/>
            <sz val="9"/>
            <color indexed="10"/>
            <rFont val="Tahoma"/>
            <family val="2"/>
          </rPr>
          <t>-ESR is zero, or
-ESR exceeds maximum allowable ESR to meet the voltage ripple specification.</t>
        </r>
        <r>
          <rPr>
            <sz val="11"/>
            <color indexed="81"/>
            <rFont val="Tahoma"/>
            <family val="2"/>
          </rPr>
          <t xml:space="preserve">
</t>
        </r>
      </text>
    </comment>
    <comment ref="E49" authorId="0" shapeId="0" xr:uid="{00000000-0006-0000-0000-000012000000}">
      <text>
        <r>
          <rPr>
            <b/>
            <u/>
            <sz val="8"/>
            <color indexed="81"/>
            <rFont val="Tahoma"/>
            <family val="2"/>
          </rPr>
          <t>Soft-Start Time</t>
        </r>
        <r>
          <rPr>
            <b/>
            <sz val="8"/>
            <color indexed="81"/>
            <rFont val="Tahoma"/>
            <family val="2"/>
          </rPr>
          <t xml:space="preserve">:
</t>
        </r>
        <r>
          <rPr>
            <sz val="8"/>
            <color indexed="81"/>
            <rFont val="Tahoma"/>
            <family val="2"/>
          </rPr>
          <t xml:space="preserve">Enter the desired soft-start time here. </t>
        </r>
      </text>
    </comment>
    <comment ref="E51" authorId="0" shapeId="0" xr:uid="{00000000-0006-0000-0000-000013000000}">
      <text>
        <r>
          <rPr>
            <b/>
            <u/>
            <sz val="9"/>
            <color indexed="81"/>
            <rFont val="Tahoma"/>
            <family val="2"/>
          </rPr>
          <t>Nominal UVLO Turn-On Input Voltage</t>
        </r>
        <r>
          <rPr>
            <b/>
            <sz val="9"/>
            <color indexed="81"/>
            <rFont val="Tahoma"/>
            <family val="2"/>
          </rPr>
          <t xml:space="preserve">:
</t>
        </r>
        <r>
          <rPr>
            <sz val="9"/>
            <color indexed="81"/>
            <rFont val="Tahoma"/>
            <family val="2"/>
          </rPr>
          <t xml:space="preserve">Enter the nominal input voltage at turn on.
The LM5146-Q1 input operating voltage range is 5.5V to 95V.
</t>
        </r>
        <r>
          <rPr>
            <b/>
            <sz val="9"/>
            <color indexed="81"/>
            <rFont val="Tahoma"/>
            <family val="2"/>
          </rPr>
          <t>The text in this cell is red if:</t>
        </r>
        <r>
          <rPr>
            <sz val="9"/>
            <color indexed="81"/>
            <rFont val="Tahoma"/>
            <family val="2"/>
          </rPr>
          <t xml:space="preserve">
-The input voltage is above </t>
        </r>
        <r>
          <rPr>
            <b/>
            <sz val="9"/>
            <color indexed="10"/>
            <rFont val="Tahoma"/>
            <family val="2"/>
          </rPr>
          <t>95V</t>
        </r>
        <r>
          <rPr>
            <sz val="9"/>
            <color indexed="81"/>
            <rFont val="Tahoma"/>
            <family val="2"/>
          </rPr>
          <t xml:space="preserve">
-The input voltage is below </t>
        </r>
        <r>
          <rPr>
            <b/>
            <sz val="9"/>
            <color indexed="10"/>
            <rFont val="Tahoma"/>
            <family val="2"/>
          </rPr>
          <t>5.5V</t>
        </r>
      </text>
    </comment>
    <comment ref="E52" authorId="0" shapeId="0" xr:uid="{00000000-0006-0000-0000-000014000000}">
      <text>
        <r>
          <rPr>
            <b/>
            <u/>
            <sz val="9"/>
            <color indexed="81"/>
            <rFont val="Tahoma"/>
            <family val="2"/>
          </rPr>
          <t>Nominal UVLO Turn-Off Input Voltage</t>
        </r>
        <r>
          <rPr>
            <b/>
            <sz val="9"/>
            <color indexed="81"/>
            <rFont val="Tahoma"/>
            <family val="2"/>
          </rPr>
          <t>:</t>
        </r>
        <r>
          <rPr>
            <sz val="9"/>
            <color indexed="81"/>
            <rFont val="Tahoma"/>
            <family val="2"/>
          </rPr>
          <t xml:space="preserve">
Enter the nominal input voltage at turn off.
The LM5146-Q1 input operating voltage range is 5.5V to 95V.
</t>
        </r>
        <r>
          <rPr>
            <b/>
            <sz val="9"/>
            <color indexed="81"/>
            <rFont val="Tahoma"/>
            <family val="2"/>
          </rPr>
          <t xml:space="preserve">
The text in this cell is red if:</t>
        </r>
        <r>
          <rPr>
            <sz val="9"/>
            <color indexed="81"/>
            <rFont val="Tahoma"/>
            <family val="2"/>
          </rPr>
          <t xml:space="preserve">
-The input voltage is above </t>
        </r>
        <r>
          <rPr>
            <b/>
            <sz val="9"/>
            <color indexed="10"/>
            <rFont val="Tahoma"/>
            <family val="2"/>
          </rPr>
          <t>90V</t>
        </r>
        <r>
          <rPr>
            <sz val="9"/>
            <color indexed="81"/>
            <rFont val="Tahoma"/>
            <family val="2"/>
          </rPr>
          <t xml:space="preserve">
-The input voltage is below </t>
        </r>
        <r>
          <rPr>
            <b/>
            <sz val="9"/>
            <color indexed="10"/>
            <rFont val="Tahoma"/>
            <family val="2"/>
          </rPr>
          <t>5.5V</t>
        </r>
      </text>
    </comment>
    <comment ref="F61" authorId="0" shapeId="0" xr:uid="{00000000-0006-0000-0000-000015000000}">
      <text>
        <r>
          <rPr>
            <b/>
            <u/>
            <sz val="9"/>
            <color indexed="81"/>
            <rFont val="Tahoma"/>
            <family val="2"/>
          </rPr>
          <t>Crossover Frequency</t>
        </r>
        <r>
          <rPr>
            <b/>
            <sz val="9"/>
            <color indexed="81"/>
            <rFont val="Tahoma"/>
            <family val="2"/>
          </rPr>
          <t>:</t>
        </r>
        <r>
          <rPr>
            <sz val="9"/>
            <color indexed="81"/>
            <rFont val="Tahoma"/>
            <family val="2"/>
          </rPr>
          <t xml:space="preserve">
Enter the desired open loop crossover frequency (usually between 10% and 20% of switching frequency). The LM5146 design tool determines feedback compensation components based on this target performance metric.</t>
        </r>
      </text>
    </comment>
    <comment ref="E63" authorId="0" shapeId="0" xr:uid="{00000000-0006-0000-0000-000016000000}">
      <text>
        <r>
          <rPr>
            <b/>
            <sz val="9"/>
            <color indexed="81"/>
            <rFont val="Tahoma"/>
            <family val="2"/>
          </rPr>
          <t>R</t>
        </r>
        <r>
          <rPr>
            <b/>
            <vertAlign val="subscript"/>
            <sz val="9"/>
            <color indexed="81"/>
            <rFont val="Tahoma"/>
            <family val="2"/>
          </rPr>
          <t>FB1</t>
        </r>
        <r>
          <rPr>
            <b/>
            <sz val="9"/>
            <color indexed="81"/>
            <rFont val="Tahoma"/>
            <family val="2"/>
          </rPr>
          <t>:</t>
        </r>
        <r>
          <rPr>
            <sz val="9"/>
            <color indexed="81"/>
            <rFont val="Tahoma"/>
            <family val="2"/>
          </rPr>
          <t xml:space="preserve">
This is the upper feedback resistor that sets the output voltage. A recommended starting value of </t>
        </r>
        <r>
          <rPr>
            <b/>
            <sz val="9"/>
            <color indexed="81"/>
            <rFont val="Tahoma"/>
            <family val="2"/>
          </rPr>
          <t>R</t>
        </r>
        <r>
          <rPr>
            <b/>
            <vertAlign val="subscript"/>
            <sz val="9"/>
            <color indexed="81"/>
            <rFont val="Tahoma"/>
            <family val="2"/>
          </rPr>
          <t>FB1</t>
        </r>
        <r>
          <rPr>
            <sz val="9"/>
            <color indexed="81"/>
            <rFont val="Tahoma"/>
            <family val="2"/>
          </rPr>
          <t xml:space="preserve"> is 20kΩ.</t>
        </r>
      </text>
    </comment>
    <comment ref="D67" authorId="0" shapeId="0" xr:uid="{00000000-0006-0000-0000-000017000000}">
      <text>
        <r>
          <rPr>
            <b/>
            <sz val="9"/>
            <color indexed="81"/>
            <rFont val="Tahoma"/>
            <family val="2"/>
          </rPr>
          <t>F</t>
        </r>
        <r>
          <rPr>
            <b/>
            <vertAlign val="subscript"/>
            <sz val="9"/>
            <color indexed="81"/>
            <rFont val="Tahoma"/>
            <family val="2"/>
          </rPr>
          <t>Z1</t>
        </r>
        <r>
          <rPr>
            <b/>
            <sz val="9"/>
            <color indexed="81"/>
            <rFont val="Tahoma"/>
            <family val="2"/>
          </rPr>
          <t>:
F</t>
        </r>
        <r>
          <rPr>
            <b/>
            <vertAlign val="subscript"/>
            <sz val="9"/>
            <color indexed="81"/>
            <rFont val="Tahoma"/>
            <family val="2"/>
          </rPr>
          <t>Z1</t>
        </r>
        <r>
          <rPr>
            <sz val="9"/>
            <color indexed="81"/>
            <rFont val="Tahoma"/>
            <family val="2"/>
          </rPr>
          <t xml:space="preserve"> is the first zero of the compensator. By default, </t>
        </r>
        <r>
          <rPr>
            <b/>
            <sz val="9"/>
            <color indexed="81"/>
            <rFont val="Tahoma"/>
            <family val="2"/>
          </rPr>
          <t>F</t>
        </r>
        <r>
          <rPr>
            <b/>
            <vertAlign val="subscript"/>
            <sz val="9"/>
            <color indexed="81"/>
            <rFont val="Tahoma"/>
            <family val="2"/>
          </rPr>
          <t>Z1</t>
        </r>
        <r>
          <rPr>
            <sz val="9"/>
            <color indexed="81"/>
            <rFont val="Tahoma"/>
            <family val="2"/>
          </rPr>
          <t xml:space="preserve"> is located near the complex double pole (F</t>
        </r>
        <r>
          <rPr>
            <vertAlign val="subscript"/>
            <sz val="9"/>
            <color indexed="81"/>
            <rFont val="Tahoma"/>
            <family val="2"/>
          </rPr>
          <t>LC</t>
        </r>
        <r>
          <rPr>
            <sz val="9"/>
            <color indexed="81"/>
            <rFont val="Tahoma"/>
            <family val="2"/>
          </rPr>
          <t>) associated with L</t>
        </r>
        <r>
          <rPr>
            <vertAlign val="subscript"/>
            <sz val="9"/>
            <color indexed="81"/>
            <rFont val="Tahoma"/>
            <family val="2"/>
          </rPr>
          <t>F</t>
        </r>
        <r>
          <rPr>
            <sz val="9"/>
            <color indexed="81"/>
            <rFont val="Tahoma"/>
            <family val="2"/>
          </rPr>
          <t xml:space="preserve"> and C</t>
        </r>
        <r>
          <rPr>
            <vertAlign val="subscript"/>
            <sz val="9"/>
            <color indexed="81"/>
            <rFont val="Tahoma"/>
            <family val="2"/>
          </rPr>
          <t>OUT</t>
        </r>
        <r>
          <rPr>
            <sz val="9"/>
            <color indexed="81"/>
            <rFont val="Tahoma"/>
            <family val="2"/>
          </rPr>
          <t xml:space="preserve"> filter components. </t>
        </r>
        <r>
          <rPr>
            <b/>
            <sz val="9"/>
            <color indexed="81"/>
            <rFont val="Tahoma"/>
            <family val="2"/>
          </rPr>
          <t>F</t>
        </r>
        <r>
          <rPr>
            <b/>
            <vertAlign val="subscript"/>
            <sz val="9"/>
            <color indexed="81"/>
            <rFont val="Tahoma"/>
            <family val="2"/>
          </rPr>
          <t>Z1</t>
        </r>
        <r>
          <rPr>
            <sz val="9"/>
            <color indexed="81"/>
            <rFont val="Tahoma"/>
            <family val="2"/>
          </rPr>
          <t xml:space="preserve"> can be changed by direct entry into the </t>
        </r>
        <r>
          <rPr>
            <b/>
            <sz val="9"/>
            <color indexed="81"/>
            <rFont val="Tahoma"/>
            <family val="2"/>
          </rPr>
          <t>F</t>
        </r>
        <r>
          <rPr>
            <b/>
            <vertAlign val="subscript"/>
            <sz val="9"/>
            <color indexed="81"/>
            <rFont val="Tahoma"/>
            <family val="2"/>
          </rPr>
          <t>Z1</t>
        </r>
        <r>
          <rPr>
            <sz val="9"/>
            <color indexed="81"/>
            <rFont val="Tahoma"/>
            <family val="2"/>
          </rPr>
          <t xml:space="preserve"> cell.</t>
        </r>
      </text>
    </comment>
    <comment ref="D68" authorId="0" shapeId="0" xr:uid="{00000000-0006-0000-0000-000018000000}">
      <text>
        <r>
          <rPr>
            <b/>
            <sz val="9"/>
            <color indexed="81"/>
            <rFont val="Tahoma"/>
            <family val="2"/>
          </rPr>
          <t>F</t>
        </r>
        <r>
          <rPr>
            <b/>
            <vertAlign val="subscript"/>
            <sz val="9"/>
            <color indexed="81"/>
            <rFont val="Tahoma"/>
            <family val="2"/>
          </rPr>
          <t>Z2</t>
        </r>
        <r>
          <rPr>
            <b/>
            <sz val="9"/>
            <color indexed="81"/>
            <rFont val="Tahoma"/>
            <family val="2"/>
          </rPr>
          <t>:
F</t>
        </r>
        <r>
          <rPr>
            <b/>
            <vertAlign val="subscript"/>
            <sz val="9"/>
            <color indexed="81"/>
            <rFont val="Tahoma"/>
            <family val="2"/>
          </rPr>
          <t>Z2</t>
        </r>
        <r>
          <rPr>
            <sz val="9"/>
            <color indexed="81"/>
            <rFont val="Tahoma"/>
            <family val="2"/>
          </rPr>
          <t xml:space="preserve"> is the second zero of the compensator. By default, </t>
        </r>
        <r>
          <rPr>
            <b/>
            <sz val="9"/>
            <color indexed="81"/>
            <rFont val="Tahoma"/>
            <family val="2"/>
          </rPr>
          <t>F</t>
        </r>
        <r>
          <rPr>
            <b/>
            <vertAlign val="subscript"/>
            <sz val="9"/>
            <color indexed="81"/>
            <rFont val="Tahoma"/>
            <family val="2"/>
          </rPr>
          <t>Z2</t>
        </r>
        <r>
          <rPr>
            <sz val="9"/>
            <color indexed="81"/>
            <rFont val="Tahoma"/>
            <family val="2"/>
          </rPr>
          <t xml:space="preserve">  is located near the LC resonant frequency (F</t>
        </r>
        <r>
          <rPr>
            <vertAlign val="subscript"/>
            <sz val="9"/>
            <color indexed="81"/>
            <rFont val="Tahoma"/>
            <family val="2"/>
          </rPr>
          <t>LC</t>
        </r>
        <r>
          <rPr>
            <sz val="9"/>
            <color indexed="81"/>
            <rFont val="Tahoma"/>
            <family val="2"/>
          </rPr>
          <t>) caused by L</t>
        </r>
        <r>
          <rPr>
            <vertAlign val="subscript"/>
            <sz val="9"/>
            <color indexed="81"/>
            <rFont val="Tahoma"/>
            <family val="2"/>
          </rPr>
          <t>F</t>
        </r>
        <r>
          <rPr>
            <sz val="9"/>
            <color indexed="81"/>
            <rFont val="Tahoma"/>
            <family val="2"/>
          </rPr>
          <t xml:space="preserve"> and C</t>
        </r>
        <r>
          <rPr>
            <vertAlign val="subscript"/>
            <sz val="9"/>
            <color indexed="81"/>
            <rFont val="Tahoma"/>
            <family val="2"/>
          </rPr>
          <t>OUT</t>
        </r>
        <r>
          <rPr>
            <sz val="9"/>
            <color indexed="81"/>
            <rFont val="Tahoma"/>
            <family val="2"/>
          </rPr>
          <t xml:space="preserve"> filter components.  </t>
        </r>
        <r>
          <rPr>
            <b/>
            <sz val="9"/>
            <color indexed="81"/>
            <rFont val="Tahoma"/>
            <family val="2"/>
          </rPr>
          <t>F</t>
        </r>
        <r>
          <rPr>
            <b/>
            <vertAlign val="subscript"/>
            <sz val="9"/>
            <color indexed="81"/>
            <rFont val="Tahoma"/>
            <family val="2"/>
          </rPr>
          <t>Z2</t>
        </r>
        <r>
          <rPr>
            <sz val="9"/>
            <color indexed="81"/>
            <rFont val="Tahoma"/>
            <family val="2"/>
          </rPr>
          <t xml:space="preserve"> can be changed by direct entry into the </t>
        </r>
        <r>
          <rPr>
            <b/>
            <sz val="9"/>
            <color indexed="81"/>
            <rFont val="Tahoma"/>
            <family val="2"/>
          </rPr>
          <t>F</t>
        </r>
        <r>
          <rPr>
            <b/>
            <vertAlign val="subscript"/>
            <sz val="9"/>
            <color indexed="81"/>
            <rFont val="Tahoma"/>
            <family val="2"/>
          </rPr>
          <t>Z2</t>
        </r>
        <r>
          <rPr>
            <sz val="9"/>
            <color indexed="81"/>
            <rFont val="Tahoma"/>
            <family val="2"/>
          </rPr>
          <t xml:space="preserve"> cell.</t>
        </r>
      </text>
    </comment>
    <comment ref="D69" authorId="0" shapeId="0" xr:uid="{00000000-0006-0000-0000-000019000000}">
      <text>
        <r>
          <rPr>
            <b/>
            <sz val="9"/>
            <color indexed="81"/>
            <rFont val="Tahoma"/>
            <family val="2"/>
          </rPr>
          <t>F</t>
        </r>
        <r>
          <rPr>
            <b/>
            <vertAlign val="subscript"/>
            <sz val="9"/>
            <color indexed="81"/>
            <rFont val="Tahoma"/>
            <family val="2"/>
          </rPr>
          <t>P1</t>
        </r>
        <r>
          <rPr>
            <b/>
            <sz val="9"/>
            <color indexed="81"/>
            <rFont val="Tahoma"/>
            <family val="2"/>
          </rPr>
          <t>:</t>
        </r>
        <r>
          <rPr>
            <sz val="9"/>
            <color indexed="81"/>
            <rFont val="Tahoma"/>
            <family val="2"/>
          </rPr>
          <t xml:space="preserve">
</t>
        </r>
        <r>
          <rPr>
            <b/>
            <sz val="9"/>
            <color indexed="81"/>
            <rFont val="Tahoma"/>
            <family val="2"/>
          </rPr>
          <t>F</t>
        </r>
        <r>
          <rPr>
            <b/>
            <vertAlign val="subscript"/>
            <sz val="9"/>
            <color indexed="81"/>
            <rFont val="Tahoma"/>
            <family val="2"/>
          </rPr>
          <t>P1</t>
        </r>
        <r>
          <rPr>
            <sz val="9"/>
            <color indexed="81"/>
            <rFont val="Tahoma"/>
            <family val="2"/>
          </rPr>
          <t xml:space="preserve"> is the first pole of the compensator. By default, </t>
        </r>
        <r>
          <rPr>
            <b/>
            <sz val="9"/>
            <color indexed="81"/>
            <rFont val="Tahoma"/>
            <family val="2"/>
          </rPr>
          <t>F</t>
        </r>
        <r>
          <rPr>
            <b/>
            <vertAlign val="subscript"/>
            <sz val="9"/>
            <color indexed="81"/>
            <rFont val="Tahoma"/>
            <family val="2"/>
          </rPr>
          <t>P1</t>
        </r>
        <r>
          <rPr>
            <sz val="9"/>
            <color indexed="81"/>
            <rFont val="Tahoma"/>
            <family val="2"/>
          </rPr>
          <t xml:space="preserve"> is located at the zero (F</t>
        </r>
        <r>
          <rPr>
            <vertAlign val="subscript"/>
            <sz val="9"/>
            <color indexed="81"/>
            <rFont val="Tahoma"/>
            <family val="2"/>
          </rPr>
          <t>ESR</t>
        </r>
        <r>
          <rPr>
            <sz val="9"/>
            <color indexed="81"/>
            <rFont val="Tahoma"/>
            <family val="2"/>
          </rPr>
          <t>) caused by the output capacitance (C</t>
        </r>
        <r>
          <rPr>
            <vertAlign val="subscript"/>
            <sz val="9"/>
            <color indexed="81"/>
            <rFont val="Tahoma"/>
            <family val="2"/>
          </rPr>
          <t>OUT</t>
        </r>
        <r>
          <rPr>
            <sz val="9"/>
            <color indexed="81"/>
            <rFont val="Tahoma"/>
            <family val="2"/>
          </rPr>
          <t xml:space="preserve">) and its associated ESR. </t>
        </r>
        <r>
          <rPr>
            <b/>
            <sz val="9"/>
            <color indexed="81"/>
            <rFont val="Tahoma"/>
            <family val="2"/>
          </rPr>
          <t>F</t>
        </r>
        <r>
          <rPr>
            <b/>
            <vertAlign val="subscript"/>
            <sz val="9"/>
            <color indexed="81"/>
            <rFont val="Tahoma"/>
            <family val="2"/>
          </rPr>
          <t>P1</t>
        </r>
        <r>
          <rPr>
            <sz val="9"/>
            <color indexed="81"/>
            <rFont val="Tahoma"/>
            <family val="2"/>
          </rPr>
          <t xml:space="preserve"> can be changed by direct entry into the </t>
        </r>
        <r>
          <rPr>
            <b/>
            <sz val="9"/>
            <color indexed="81"/>
            <rFont val="Tahoma"/>
            <family val="2"/>
          </rPr>
          <t>F</t>
        </r>
        <r>
          <rPr>
            <b/>
            <vertAlign val="subscript"/>
            <sz val="9"/>
            <color indexed="81"/>
            <rFont val="Tahoma"/>
            <family val="2"/>
          </rPr>
          <t>P1</t>
        </r>
        <r>
          <rPr>
            <sz val="9"/>
            <color indexed="81"/>
            <rFont val="Tahoma"/>
            <family val="2"/>
          </rPr>
          <t xml:space="preserve"> cell.</t>
        </r>
      </text>
    </comment>
    <comment ref="D70" authorId="0" shapeId="0" xr:uid="{00000000-0006-0000-0000-00001A000000}">
      <text>
        <r>
          <rPr>
            <b/>
            <sz val="9"/>
            <color indexed="81"/>
            <rFont val="Tahoma"/>
            <family val="2"/>
          </rPr>
          <t>F</t>
        </r>
        <r>
          <rPr>
            <b/>
            <vertAlign val="subscript"/>
            <sz val="9"/>
            <color indexed="81"/>
            <rFont val="Tahoma"/>
            <family val="2"/>
          </rPr>
          <t>P2</t>
        </r>
        <r>
          <rPr>
            <b/>
            <sz val="9"/>
            <color indexed="81"/>
            <rFont val="Tahoma"/>
            <family val="2"/>
          </rPr>
          <t>:</t>
        </r>
        <r>
          <rPr>
            <sz val="9"/>
            <color indexed="81"/>
            <rFont val="Tahoma"/>
            <family val="2"/>
          </rPr>
          <t xml:space="preserve">
</t>
        </r>
        <r>
          <rPr>
            <b/>
            <sz val="9"/>
            <color indexed="81"/>
            <rFont val="Tahoma"/>
            <family val="2"/>
          </rPr>
          <t>F</t>
        </r>
        <r>
          <rPr>
            <b/>
            <vertAlign val="subscript"/>
            <sz val="9"/>
            <color indexed="81"/>
            <rFont val="Tahoma"/>
            <family val="2"/>
          </rPr>
          <t>P2</t>
        </r>
        <r>
          <rPr>
            <sz val="9"/>
            <color indexed="81"/>
            <rFont val="Tahoma"/>
            <family val="2"/>
          </rPr>
          <t xml:space="preserve"> is the second pole of the compensator. By default, </t>
        </r>
        <r>
          <rPr>
            <b/>
            <sz val="9"/>
            <color indexed="81"/>
            <rFont val="Tahoma"/>
            <family val="2"/>
          </rPr>
          <t>F</t>
        </r>
        <r>
          <rPr>
            <b/>
            <vertAlign val="subscript"/>
            <sz val="9"/>
            <color indexed="81"/>
            <rFont val="Tahoma"/>
            <family val="2"/>
          </rPr>
          <t>P2</t>
        </r>
        <r>
          <rPr>
            <sz val="9"/>
            <color indexed="81"/>
            <rFont val="Tahoma"/>
            <family val="2"/>
          </rPr>
          <t xml:space="preserve"> is located at F</t>
        </r>
        <r>
          <rPr>
            <vertAlign val="subscript"/>
            <sz val="9"/>
            <color indexed="81"/>
            <rFont val="Tahoma"/>
            <family val="2"/>
          </rPr>
          <t>SW</t>
        </r>
        <r>
          <rPr>
            <sz val="9"/>
            <color indexed="81"/>
            <rFont val="Tahoma"/>
            <family val="2"/>
          </rPr>
          <t xml:space="preserve">/2. </t>
        </r>
        <r>
          <rPr>
            <b/>
            <sz val="9"/>
            <color indexed="81"/>
            <rFont val="Tahoma"/>
            <family val="2"/>
          </rPr>
          <t>F</t>
        </r>
        <r>
          <rPr>
            <b/>
            <vertAlign val="subscript"/>
            <sz val="9"/>
            <color indexed="81"/>
            <rFont val="Tahoma"/>
            <family val="2"/>
          </rPr>
          <t>P2</t>
        </r>
        <r>
          <rPr>
            <sz val="9"/>
            <color indexed="81"/>
            <rFont val="Tahoma"/>
            <family val="2"/>
          </rPr>
          <t xml:space="preserve"> can be changed by direct entry into the </t>
        </r>
        <r>
          <rPr>
            <b/>
            <sz val="9"/>
            <color indexed="81"/>
            <rFont val="Tahoma"/>
            <family val="2"/>
          </rPr>
          <t>F</t>
        </r>
        <r>
          <rPr>
            <b/>
            <vertAlign val="subscript"/>
            <sz val="9"/>
            <color indexed="81"/>
            <rFont val="Tahoma"/>
            <family val="2"/>
          </rPr>
          <t>P2</t>
        </r>
        <r>
          <rPr>
            <sz val="9"/>
            <color indexed="81"/>
            <rFont val="Tahoma"/>
            <family val="2"/>
          </rPr>
          <t xml:space="preserve"> cell.</t>
        </r>
      </text>
    </comment>
    <comment ref="E85" authorId="1" shapeId="0" xr:uid="{00000000-0006-0000-0000-00001B000000}">
      <text>
        <r>
          <rPr>
            <b/>
            <sz val="10"/>
            <color indexed="81"/>
            <rFont val="Tahoma"/>
            <family val="2"/>
          </rPr>
          <t>On-State Resistance (R</t>
        </r>
        <r>
          <rPr>
            <b/>
            <vertAlign val="subscript"/>
            <sz val="10"/>
            <color indexed="81"/>
            <rFont val="Tahoma"/>
            <family val="2"/>
          </rPr>
          <t>DS(on)</t>
        </r>
        <r>
          <rPr>
            <b/>
            <sz val="10"/>
            <color indexed="81"/>
            <rFont val="Tahoma"/>
            <family val="2"/>
          </rPr>
          <t xml:space="preserve">):
</t>
        </r>
        <r>
          <rPr>
            <sz val="10"/>
            <color indexed="81"/>
            <rFont val="Tahoma"/>
            <family val="2"/>
          </rPr>
          <t xml:space="preserve">Enter the </t>
        </r>
        <r>
          <rPr>
            <b/>
            <sz val="10"/>
            <color indexed="81"/>
            <rFont val="Tahoma"/>
            <family val="2"/>
          </rPr>
          <t>R</t>
        </r>
        <r>
          <rPr>
            <b/>
            <vertAlign val="subscript"/>
            <sz val="10"/>
            <color indexed="81"/>
            <rFont val="Tahoma"/>
            <family val="2"/>
          </rPr>
          <t>DS(on)</t>
        </r>
        <r>
          <rPr>
            <sz val="10"/>
            <color indexed="81"/>
            <rFont val="Tahoma"/>
            <family val="2"/>
          </rPr>
          <t xml:space="preserve"> of the high-side MOSFET here (V</t>
        </r>
        <r>
          <rPr>
            <vertAlign val="subscript"/>
            <sz val="10"/>
            <color indexed="81"/>
            <rFont val="Tahoma"/>
            <family val="2"/>
          </rPr>
          <t>GS</t>
        </r>
        <r>
          <rPr>
            <sz val="10"/>
            <color indexed="81"/>
            <rFont val="Tahoma"/>
            <family val="2"/>
          </rPr>
          <t xml:space="preserve"> = 7.5V).
High current designs (&gt;10A) will incur large conduction losses and, as such, demand MOSFETs with low </t>
        </r>
        <r>
          <rPr>
            <b/>
            <sz val="10"/>
            <color indexed="81"/>
            <rFont val="Tahoma"/>
            <family val="2"/>
          </rPr>
          <t>R</t>
        </r>
        <r>
          <rPr>
            <b/>
            <vertAlign val="subscript"/>
            <sz val="10"/>
            <color indexed="81"/>
            <rFont val="Tahoma"/>
            <family val="2"/>
          </rPr>
          <t>DS(on)</t>
        </r>
        <r>
          <rPr>
            <sz val="10"/>
            <color indexed="81"/>
            <rFont val="Tahoma"/>
            <family val="2"/>
          </rPr>
          <t xml:space="preserve"> usually at the expense of larger Q</t>
        </r>
        <r>
          <rPr>
            <vertAlign val="subscript"/>
            <sz val="10"/>
            <color indexed="81"/>
            <rFont val="Tahoma"/>
            <family val="2"/>
          </rPr>
          <t>G</t>
        </r>
        <r>
          <rPr>
            <sz val="10"/>
            <color indexed="81"/>
            <rFont val="Tahoma"/>
            <family val="2"/>
          </rPr>
          <t xml:space="preserve">.
MOSFET </t>
        </r>
        <r>
          <rPr>
            <b/>
            <sz val="10"/>
            <color indexed="81"/>
            <rFont val="Tahoma"/>
            <family val="2"/>
          </rPr>
          <t>R</t>
        </r>
        <r>
          <rPr>
            <b/>
            <vertAlign val="subscript"/>
            <sz val="10"/>
            <color indexed="81"/>
            <rFont val="Tahoma"/>
            <family val="2"/>
          </rPr>
          <t>DS(ON)</t>
        </r>
        <r>
          <rPr>
            <sz val="10"/>
            <color indexed="81"/>
            <rFont val="Tahoma"/>
            <family val="2"/>
          </rPr>
          <t xml:space="preserve"> has a positive temperature coefficient (resistance increases with increasing temperature). This temperature coefficient is accounted for in the efficiency and power dissipation calculations.</t>
        </r>
      </text>
    </comment>
    <comment ref="E86" authorId="1" shapeId="0" xr:uid="{00000000-0006-0000-0000-00001C000000}">
      <text>
        <r>
          <rPr>
            <b/>
            <sz val="10"/>
            <color indexed="81"/>
            <rFont val="Tahoma"/>
            <family val="2"/>
          </rPr>
          <t>Total Gate Charge (Q</t>
        </r>
        <r>
          <rPr>
            <b/>
            <vertAlign val="subscript"/>
            <sz val="10"/>
            <color indexed="81"/>
            <rFont val="Tahoma"/>
            <family val="2"/>
          </rPr>
          <t>g</t>
        </r>
        <r>
          <rPr>
            <b/>
            <sz val="10"/>
            <color indexed="81"/>
            <rFont val="Tahoma"/>
            <family val="2"/>
          </rPr>
          <t>):</t>
        </r>
        <r>
          <rPr>
            <sz val="10"/>
            <color indexed="81"/>
            <rFont val="Tahoma"/>
            <family val="2"/>
          </rPr>
          <t xml:space="preserve">
Enter the total gate charge of the high-side MOSFET here.</t>
        </r>
      </text>
    </comment>
    <comment ref="E87" authorId="1" shapeId="0" xr:uid="{00000000-0006-0000-0000-00001D000000}">
      <text>
        <r>
          <rPr>
            <b/>
            <sz val="10"/>
            <color indexed="81"/>
            <rFont val="Tahoma"/>
            <family val="2"/>
          </rPr>
          <t>Gate-Drain Charge (Q</t>
        </r>
        <r>
          <rPr>
            <b/>
            <vertAlign val="subscript"/>
            <sz val="10"/>
            <color indexed="81"/>
            <rFont val="Tahoma"/>
            <family val="2"/>
          </rPr>
          <t>GD</t>
        </r>
        <r>
          <rPr>
            <b/>
            <sz val="10"/>
            <color indexed="81"/>
            <rFont val="Tahoma"/>
            <family val="2"/>
          </rPr>
          <t xml:space="preserve">):
</t>
        </r>
        <r>
          <rPr>
            <sz val="10"/>
            <color indexed="81"/>
            <rFont val="Tahoma"/>
            <family val="2"/>
          </rPr>
          <t>Enter the Q</t>
        </r>
        <r>
          <rPr>
            <vertAlign val="subscript"/>
            <sz val="10"/>
            <color indexed="81"/>
            <rFont val="Tahoma"/>
            <family val="2"/>
          </rPr>
          <t>GD</t>
        </r>
        <r>
          <rPr>
            <sz val="10"/>
            <color indexed="81"/>
            <rFont val="Tahoma"/>
            <family val="2"/>
          </rPr>
          <t xml:space="preserve"> of the high-side MOSFET here.
MOSFET Q</t>
        </r>
        <r>
          <rPr>
            <vertAlign val="subscript"/>
            <sz val="10"/>
            <color indexed="81"/>
            <rFont val="Tahoma"/>
            <family val="2"/>
          </rPr>
          <t>GD</t>
        </r>
        <r>
          <rPr>
            <sz val="10"/>
            <color indexed="81"/>
            <rFont val="Tahoma"/>
            <family val="2"/>
          </rPr>
          <t xml:space="preserve"> will affect the turn-on and-off transition times. Slow transition times will result in a decrease in efficiency, especially at higher input voltages.</t>
        </r>
      </text>
    </comment>
    <comment ref="E88" authorId="1" shapeId="0" xr:uid="{00000000-0006-0000-0000-00001E000000}">
      <text>
        <r>
          <rPr>
            <b/>
            <sz val="10"/>
            <color indexed="81"/>
            <rFont val="Tahoma"/>
            <family val="2"/>
          </rPr>
          <t>Gate-Source Charge (Q</t>
        </r>
        <r>
          <rPr>
            <b/>
            <vertAlign val="subscript"/>
            <sz val="10"/>
            <color indexed="81"/>
            <rFont val="Tahoma"/>
            <family val="2"/>
          </rPr>
          <t>GS</t>
        </r>
        <r>
          <rPr>
            <b/>
            <sz val="10"/>
            <color indexed="81"/>
            <rFont val="Tahoma"/>
            <family val="2"/>
          </rPr>
          <t xml:space="preserve">):
</t>
        </r>
        <r>
          <rPr>
            <sz val="10"/>
            <color indexed="81"/>
            <rFont val="Tahoma"/>
            <family val="2"/>
          </rPr>
          <t xml:space="preserve">Enter the gate-source charge here. </t>
        </r>
      </text>
    </comment>
    <comment ref="E89" authorId="1" shapeId="0" xr:uid="{00000000-0006-0000-0000-00001F000000}">
      <text>
        <r>
          <rPr>
            <b/>
            <sz val="10"/>
            <color indexed="81"/>
            <rFont val="Tahoma"/>
            <family val="2"/>
          </rPr>
          <t>Output Charge (Q</t>
        </r>
        <r>
          <rPr>
            <b/>
            <vertAlign val="subscript"/>
            <sz val="10"/>
            <color indexed="81"/>
            <rFont val="Tahoma"/>
            <family val="2"/>
          </rPr>
          <t>OSS</t>
        </r>
        <r>
          <rPr>
            <b/>
            <sz val="10"/>
            <color indexed="81"/>
            <rFont val="Tahoma"/>
            <family val="2"/>
          </rPr>
          <t xml:space="preserve">):
</t>
        </r>
        <r>
          <rPr>
            <sz val="10"/>
            <color indexed="81"/>
            <rFont val="Tahoma"/>
            <family val="2"/>
          </rPr>
          <t xml:space="preserve">Enter the output capacitance of the high-side MOSFET at the relevant input voltage here. </t>
        </r>
      </text>
    </comment>
    <comment ref="E90" authorId="1" shapeId="0" xr:uid="{00000000-0006-0000-0000-000020000000}">
      <text>
        <r>
          <rPr>
            <b/>
            <sz val="10"/>
            <color indexed="81"/>
            <rFont val="Tahoma"/>
            <family val="2"/>
          </rPr>
          <t>Gate Resistance (R</t>
        </r>
        <r>
          <rPr>
            <b/>
            <vertAlign val="subscript"/>
            <sz val="10"/>
            <color indexed="81"/>
            <rFont val="Tahoma"/>
            <family val="2"/>
          </rPr>
          <t>G</t>
        </r>
        <r>
          <rPr>
            <b/>
            <sz val="10"/>
            <color indexed="81"/>
            <rFont val="Tahoma"/>
            <family val="2"/>
          </rPr>
          <t>):</t>
        </r>
        <r>
          <rPr>
            <sz val="10"/>
            <color indexed="81"/>
            <rFont val="Tahoma"/>
            <family val="2"/>
          </rPr>
          <t xml:space="preserve">
Enter the high-side MOSFET gate resistance here. </t>
        </r>
      </text>
    </comment>
    <comment ref="E91" authorId="1" shapeId="0" xr:uid="{00000000-0006-0000-0000-000021000000}">
      <text>
        <r>
          <rPr>
            <b/>
            <sz val="10"/>
            <color indexed="81"/>
            <rFont val="Tahoma"/>
            <family val="2"/>
          </rPr>
          <t>Forward Transconductance (g</t>
        </r>
        <r>
          <rPr>
            <b/>
            <vertAlign val="subscript"/>
            <sz val="10"/>
            <color indexed="81"/>
            <rFont val="Tahoma"/>
            <family val="2"/>
          </rPr>
          <t>FS</t>
        </r>
        <r>
          <rPr>
            <b/>
            <sz val="10"/>
            <color indexed="81"/>
            <rFont val="Tahoma"/>
            <family val="2"/>
          </rPr>
          <t xml:space="preserve">):
</t>
        </r>
        <r>
          <rPr>
            <sz val="10"/>
            <color indexed="81"/>
            <rFont val="Tahoma"/>
            <family val="2"/>
          </rPr>
          <t>Enter the forward transconductance rating of the high-side MOSFET here.</t>
        </r>
      </text>
    </comment>
    <comment ref="E92" authorId="1" shapeId="0" xr:uid="{00000000-0006-0000-0000-000022000000}">
      <text>
        <r>
          <rPr>
            <b/>
            <sz val="10"/>
            <color indexed="81"/>
            <rFont val="Tahoma"/>
            <family val="2"/>
          </rPr>
          <t>Gate to Source Threshold Voltage (V</t>
        </r>
        <r>
          <rPr>
            <b/>
            <vertAlign val="subscript"/>
            <sz val="10"/>
            <color indexed="81"/>
            <rFont val="Tahoma"/>
            <family val="2"/>
          </rPr>
          <t>GS(TH)</t>
        </r>
        <r>
          <rPr>
            <b/>
            <sz val="10"/>
            <color indexed="81"/>
            <rFont val="Tahoma"/>
            <family val="2"/>
          </rPr>
          <t xml:space="preserve">):
</t>
        </r>
        <r>
          <rPr>
            <sz val="10"/>
            <color indexed="81"/>
            <rFont val="Tahoma"/>
            <family val="2"/>
          </rPr>
          <t>Enter the MOSFET gate-source threshold voltage at rated current here. This can be taken as the plateau voltage in the V</t>
        </r>
        <r>
          <rPr>
            <vertAlign val="subscript"/>
            <sz val="10"/>
            <color indexed="81"/>
            <rFont val="Tahoma"/>
            <family val="2"/>
          </rPr>
          <t>GS</t>
        </r>
        <r>
          <rPr>
            <sz val="10"/>
            <color indexed="81"/>
            <rFont val="Tahoma"/>
            <family val="2"/>
          </rPr>
          <t>-Q</t>
        </r>
        <r>
          <rPr>
            <vertAlign val="subscript"/>
            <sz val="10"/>
            <color indexed="81"/>
            <rFont val="Tahoma"/>
            <family val="2"/>
          </rPr>
          <t>G</t>
        </r>
        <r>
          <rPr>
            <sz val="10"/>
            <color indexed="81"/>
            <rFont val="Tahoma"/>
            <family val="2"/>
          </rPr>
          <t xml:space="preserve"> curve in the MOSFET datasheet.
</t>
        </r>
      </text>
    </comment>
    <comment ref="E93" authorId="1" shapeId="0" xr:uid="{00000000-0006-0000-0000-000023000000}">
      <text>
        <r>
          <rPr>
            <b/>
            <sz val="10"/>
            <color indexed="81"/>
            <rFont val="Tahoma"/>
            <family val="2"/>
          </rPr>
          <t>Body Diode Forward Voltage (V</t>
        </r>
        <r>
          <rPr>
            <b/>
            <vertAlign val="subscript"/>
            <sz val="10"/>
            <color indexed="81"/>
            <rFont val="Tahoma"/>
            <family val="2"/>
          </rPr>
          <t>bd1</t>
        </r>
        <r>
          <rPr>
            <b/>
            <sz val="10"/>
            <color indexed="81"/>
            <rFont val="Tahoma"/>
            <family val="2"/>
          </rPr>
          <t xml:space="preserve">):
</t>
        </r>
        <r>
          <rPr>
            <sz val="10"/>
            <color indexed="81"/>
            <rFont val="Tahoma"/>
            <family val="2"/>
          </rPr>
          <t>A MOSFET has an inherent reverse body diode, and the voltage drop usually is specified at a rated current. The high-side MOSFET body diode contributes power loss during negative current events.</t>
        </r>
      </text>
    </comment>
    <comment ref="E94" authorId="1" shapeId="0" xr:uid="{00000000-0006-0000-0000-000024000000}">
      <text>
        <r>
          <rPr>
            <b/>
            <sz val="10"/>
            <color indexed="81"/>
            <rFont val="Tahoma"/>
            <family val="2"/>
          </rPr>
          <t>θ</t>
        </r>
        <r>
          <rPr>
            <b/>
            <vertAlign val="subscript"/>
            <sz val="10"/>
            <color indexed="81"/>
            <rFont val="Tahoma"/>
            <family val="2"/>
          </rPr>
          <t>JA</t>
        </r>
        <r>
          <rPr>
            <b/>
            <sz val="10"/>
            <color indexed="81"/>
            <rFont val="Tahoma"/>
            <family val="2"/>
          </rPr>
          <t xml:space="preserve">:
</t>
        </r>
        <r>
          <rPr>
            <sz val="10"/>
            <color indexed="81"/>
            <rFont val="Tahoma"/>
            <family val="2"/>
          </rPr>
          <t>θ</t>
        </r>
        <r>
          <rPr>
            <vertAlign val="subscript"/>
            <sz val="10"/>
            <color indexed="81"/>
            <rFont val="Tahoma"/>
            <family val="2"/>
          </rPr>
          <t>JA</t>
        </r>
        <r>
          <rPr>
            <sz val="10"/>
            <color indexed="81"/>
            <rFont val="Tahoma"/>
            <family val="2"/>
          </rPr>
          <t xml:space="preserve"> is the junction-to-ambient thermal resistance of the MOSFET. Higher θ</t>
        </r>
        <r>
          <rPr>
            <vertAlign val="subscript"/>
            <sz val="10"/>
            <color indexed="81"/>
            <rFont val="Tahoma"/>
            <family val="2"/>
          </rPr>
          <t>JA</t>
        </r>
        <r>
          <rPr>
            <sz val="10"/>
            <color indexed="81"/>
            <rFont val="Tahoma"/>
            <family val="2"/>
          </rPr>
          <t xml:space="preserve"> will lead to higher power loss and reduced efficiency. High current designs demand low θ</t>
        </r>
        <r>
          <rPr>
            <vertAlign val="subscript"/>
            <sz val="10"/>
            <color indexed="81"/>
            <rFont val="Tahoma"/>
            <family val="2"/>
          </rPr>
          <t>JA</t>
        </r>
        <r>
          <rPr>
            <sz val="10"/>
            <color indexed="81"/>
            <rFont val="Tahoma"/>
            <family val="2"/>
          </rPr>
          <t xml:space="preserve"> rating to help maintain low MOSFET operating junction temperature. What's imperative here is consciencious PCB design and layout to maximize heat removal from the MOSFET.</t>
        </r>
      </text>
    </comment>
    <comment ref="E97" authorId="1" shapeId="0" xr:uid="{00000000-0006-0000-0000-000025000000}">
      <text>
        <r>
          <rPr>
            <b/>
            <sz val="10"/>
            <color indexed="81"/>
            <rFont val="Tahoma"/>
            <family val="2"/>
          </rPr>
          <t>MOSFET On-State Resistance (R</t>
        </r>
        <r>
          <rPr>
            <b/>
            <vertAlign val="subscript"/>
            <sz val="10"/>
            <color indexed="81"/>
            <rFont val="Tahoma"/>
            <family val="2"/>
          </rPr>
          <t>DS(on)</t>
        </r>
        <r>
          <rPr>
            <b/>
            <sz val="10"/>
            <color indexed="81"/>
            <rFont val="Tahoma"/>
            <family val="2"/>
          </rPr>
          <t xml:space="preserve">):
</t>
        </r>
        <r>
          <rPr>
            <sz val="10"/>
            <color indexed="81"/>
            <rFont val="Tahoma"/>
            <family val="2"/>
          </rPr>
          <t>Enter the R</t>
        </r>
        <r>
          <rPr>
            <vertAlign val="subscript"/>
            <sz val="10"/>
            <color indexed="81"/>
            <rFont val="Tahoma"/>
            <family val="2"/>
          </rPr>
          <t>DS(on)</t>
        </r>
        <r>
          <rPr>
            <sz val="10"/>
            <color indexed="81"/>
            <rFont val="Tahoma"/>
            <family val="2"/>
          </rPr>
          <t xml:space="preserve"> of the low-side MOSFET here (V</t>
        </r>
        <r>
          <rPr>
            <vertAlign val="subscript"/>
            <sz val="10"/>
            <color indexed="81"/>
            <rFont val="Tahoma"/>
            <family val="2"/>
          </rPr>
          <t>GS</t>
        </r>
        <r>
          <rPr>
            <sz val="10"/>
            <color indexed="81"/>
            <rFont val="Tahoma"/>
            <family val="2"/>
          </rPr>
          <t xml:space="preserve"> = 7.5V).
High current designs (&gt;10A) can incur large conduction losses and, as such, demand MOSFETs with low R</t>
        </r>
        <r>
          <rPr>
            <vertAlign val="subscript"/>
            <sz val="10"/>
            <color indexed="81"/>
            <rFont val="Tahoma"/>
            <family val="2"/>
          </rPr>
          <t>DS(on)</t>
        </r>
        <r>
          <rPr>
            <sz val="10"/>
            <color indexed="81"/>
            <rFont val="Tahoma"/>
            <family val="2"/>
          </rPr>
          <t xml:space="preserve"> </t>
        </r>
        <r>
          <rPr>
            <sz val="10"/>
            <color indexed="81"/>
            <rFont val="Calibri"/>
            <family val="2"/>
          </rPr>
          <t xml:space="preserve">– </t>
        </r>
        <r>
          <rPr>
            <sz val="10"/>
            <color indexed="81"/>
            <rFont val="Tahoma"/>
            <family val="2"/>
          </rPr>
          <t>usually at the expense of larger Q</t>
        </r>
        <r>
          <rPr>
            <vertAlign val="subscript"/>
            <sz val="10"/>
            <color indexed="81"/>
            <rFont val="Tahoma"/>
            <family val="2"/>
          </rPr>
          <t>G</t>
        </r>
        <r>
          <rPr>
            <sz val="10"/>
            <color indexed="81"/>
            <rFont val="Tahoma"/>
            <family val="2"/>
          </rPr>
          <t>. MOSFET R</t>
        </r>
        <r>
          <rPr>
            <vertAlign val="subscript"/>
            <sz val="10"/>
            <color indexed="81"/>
            <rFont val="Tahoma"/>
            <family val="2"/>
          </rPr>
          <t>DS(on)</t>
        </r>
        <r>
          <rPr>
            <sz val="10"/>
            <color indexed="81"/>
            <rFont val="Tahoma"/>
            <family val="2"/>
          </rPr>
          <t xml:space="preserve"> temperature coefficient is accounted for in the efficiency and power dissipation calculations.  </t>
        </r>
      </text>
    </comment>
    <comment ref="E98" authorId="1" shapeId="0" xr:uid="{00000000-0006-0000-0000-000026000000}">
      <text>
        <r>
          <rPr>
            <b/>
            <sz val="10"/>
            <color indexed="81"/>
            <rFont val="Tahoma"/>
            <family val="2"/>
          </rPr>
          <t>Total Gate Charge (Q</t>
        </r>
        <r>
          <rPr>
            <b/>
            <vertAlign val="subscript"/>
            <sz val="10"/>
            <color indexed="81"/>
            <rFont val="Tahoma"/>
            <family val="2"/>
          </rPr>
          <t>G</t>
        </r>
        <r>
          <rPr>
            <b/>
            <sz val="10"/>
            <color indexed="81"/>
            <rFont val="Tahoma"/>
            <family val="2"/>
          </rPr>
          <t xml:space="preserve">):
</t>
        </r>
        <r>
          <rPr>
            <sz val="10"/>
            <color indexed="81"/>
            <rFont val="Tahoma"/>
            <family val="2"/>
          </rPr>
          <t>Enter the total gate charge of the low-side MOSFET here.</t>
        </r>
      </text>
    </comment>
    <comment ref="E99" authorId="1" shapeId="0" xr:uid="{00000000-0006-0000-0000-000027000000}">
      <text>
        <r>
          <rPr>
            <b/>
            <sz val="10"/>
            <color indexed="81"/>
            <rFont val="Tahoma"/>
            <family val="2"/>
          </rPr>
          <t>Output Charge (Q</t>
        </r>
        <r>
          <rPr>
            <b/>
            <vertAlign val="subscript"/>
            <sz val="10"/>
            <color indexed="81"/>
            <rFont val="Tahoma"/>
            <family val="2"/>
          </rPr>
          <t>OSS</t>
        </r>
        <r>
          <rPr>
            <b/>
            <sz val="10"/>
            <color indexed="81"/>
            <rFont val="Tahoma"/>
            <family val="2"/>
          </rPr>
          <t xml:space="preserve">):
</t>
        </r>
        <r>
          <rPr>
            <sz val="10"/>
            <color indexed="81"/>
            <rFont val="Tahoma"/>
            <family val="2"/>
          </rPr>
          <t xml:space="preserve">Enter the output charge of the low-side MOSFET at the relevant input voltage here. </t>
        </r>
      </text>
    </comment>
    <comment ref="E100" authorId="1" shapeId="0" xr:uid="{00000000-0006-0000-0000-000028000000}">
      <text>
        <r>
          <rPr>
            <b/>
            <sz val="10"/>
            <color indexed="81"/>
            <rFont val="Tahoma"/>
            <family val="2"/>
          </rPr>
          <t>Output Charge (Q</t>
        </r>
        <r>
          <rPr>
            <b/>
            <vertAlign val="subscript"/>
            <sz val="10"/>
            <color indexed="81"/>
            <rFont val="Tahoma"/>
            <family val="2"/>
          </rPr>
          <t>OSS</t>
        </r>
        <r>
          <rPr>
            <b/>
            <sz val="10"/>
            <color indexed="81"/>
            <rFont val="Tahoma"/>
            <family val="2"/>
          </rPr>
          <t xml:space="preserve">):
</t>
        </r>
        <r>
          <rPr>
            <sz val="10"/>
            <color indexed="81"/>
            <rFont val="Tahoma"/>
            <family val="2"/>
          </rPr>
          <t xml:space="preserve">Enter the MOSFET's output capacitance at the relevant input voltage here. </t>
        </r>
      </text>
    </comment>
    <comment ref="E101" authorId="1" shapeId="0" xr:uid="{00000000-0006-0000-0000-000029000000}">
      <text>
        <r>
          <rPr>
            <b/>
            <sz val="9"/>
            <color indexed="81"/>
            <rFont val="Tahoma"/>
            <family val="2"/>
          </rPr>
          <t>Body Diode Voltage (V</t>
        </r>
        <r>
          <rPr>
            <b/>
            <vertAlign val="subscript"/>
            <sz val="9"/>
            <color indexed="81"/>
            <rFont val="Tahoma"/>
            <family val="2"/>
          </rPr>
          <t>sd</t>
        </r>
        <r>
          <rPr>
            <b/>
            <sz val="9"/>
            <color indexed="81"/>
            <rFont val="Tahoma"/>
            <family val="2"/>
          </rPr>
          <t xml:space="preserve">):
</t>
        </r>
        <r>
          <rPr>
            <sz val="9"/>
            <color indexed="81"/>
            <rFont val="Tahoma"/>
            <family val="2"/>
          </rPr>
          <t>The low-side MOSFET body diode can contribute substantial power loss related to (1) body diode conduction drop during the deadtime, and (2) diode reverse recovery current.</t>
        </r>
      </text>
    </comment>
    <comment ref="E102" authorId="1" shapeId="0" xr:uid="{00000000-0006-0000-0000-00002A000000}">
      <text>
        <r>
          <rPr>
            <b/>
            <sz val="10"/>
            <color indexed="81"/>
            <rFont val="Tahoma"/>
            <family val="2"/>
          </rPr>
          <t>Body Diode Recovery Charge (Q</t>
        </r>
        <r>
          <rPr>
            <b/>
            <vertAlign val="subscript"/>
            <sz val="10"/>
            <color indexed="81"/>
            <rFont val="Tahoma"/>
            <family val="2"/>
          </rPr>
          <t>RR</t>
        </r>
        <r>
          <rPr>
            <b/>
            <sz val="10"/>
            <color indexed="81"/>
            <rFont val="Tahoma"/>
            <family val="2"/>
          </rPr>
          <t xml:space="preserve">):
</t>
        </r>
        <r>
          <rPr>
            <sz val="10"/>
            <color indexed="81"/>
            <rFont val="Tahoma"/>
            <family val="2"/>
          </rPr>
          <t xml:space="preserve">Enter the reverse recovery charge of the low-side MOSFET body diode here. </t>
        </r>
      </text>
    </comment>
    <comment ref="E103" authorId="1" shapeId="0" xr:uid="{00000000-0006-0000-0000-00002B000000}">
      <text>
        <r>
          <rPr>
            <b/>
            <sz val="10"/>
            <color indexed="81"/>
            <rFont val="Tahoma"/>
            <family val="2"/>
          </rPr>
          <t>θ</t>
        </r>
        <r>
          <rPr>
            <b/>
            <vertAlign val="subscript"/>
            <sz val="10"/>
            <color indexed="81"/>
            <rFont val="Tahoma"/>
            <family val="2"/>
          </rPr>
          <t>JA</t>
        </r>
        <r>
          <rPr>
            <b/>
            <sz val="10"/>
            <color indexed="81"/>
            <rFont val="Tahoma"/>
            <family val="2"/>
          </rPr>
          <t xml:space="preserve">:
</t>
        </r>
        <r>
          <rPr>
            <sz val="10"/>
            <color indexed="81"/>
            <rFont val="Tahoma"/>
            <family val="2"/>
          </rPr>
          <t>θ</t>
        </r>
        <r>
          <rPr>
            <vertAlign val="subscript"/>
            <sz val="10"/>
            <color indexed="81"/>
            <rFont val="Tahoma"/>
            <family val="2"/>
          </rPr>
          <t>JA</t>
        </r>
        <r>
          <rPr>
            <sz val="10"/>
            <color indexed="81"/>
            <rFont val="Tahoma"/>
            <family val="2"/>
          </rPr>
          <t xml:space="preserve"> is the junction-to-ambient thermal resistance of the MOSFET. Higher θ</t>
        </r>
        <r>
          <rPr>
            <vertAlign val="subscript"/>
            <sz val="10"/>
            <color indexed="81"/>
            <rFont val="Tahoma"/>
            <family val="2"/>
          </rPr>
          <t>JA</t>
        </r>
        <r>
          <rPr>
            <sz val="10"/>
            <color indexed="81"/>
            <rFont val="Tahoma"/>
            <family val="2"/>
          </rPr>
          <t xml:space="preserve"> will lead to higher power loss and reduced efficiency. High current designs demand low θ</t>
        </r>
        <r>
          <rPr>
            <vertAlign val="subscript"/>
            <sz val="10"/>
            <color indexed="81"/>
            <rFont val="Tahoma"/>
            <family val="2"/>
          </rPr>
          <t>JA</t>
        </r>
        <r>
          <rPr>
            <sz val="10"/>
            <color indexed="81"/>
            <rFont val="Tahoma"/>
            <family val="2"/>
          </rPr>
          <t xml:space="preserve"> rating to help maintain low MOSFET operating junction temperature. What's imperative here is consciencious PCB design and layout to maximize heat removal from the MOSFET.</t>
        </r>
      </text>
    </comment>
    <comment ref="F107" authorId="2" shapeId="0" xr:uid="{70B3F286-F84F-461D-9F74-21CCF1BCDAF1}">
      <text>
        <r>
          <rPr>
            <b/>
            <sz val="9"/>
            <color indexed="81"/>
            <rFont val="Tahoma"/>
            <family val="2"/>
          </rPr>
          <t>IC Power Loss:</t>
        </r>
        <r>
          <rPr>
            <sz val="9"/>
            <color indexed="81"/>
            <rFont val="Tahoma"/>
            <family val="2"/>
          </rPr>
          <t xml:space="preserve">
IC power loss estimate based on nominal input voltage and MOSFET gate drive requirements.</t>
        </r>
      </text>
    </comment>
    <comment ref="F108" authorId="2" shapeId="0" xr:uid="{710413E0-2AA9-48A8-934E-8C0025083D74}">
      <text>
        <r>
          <rPr>
            <b/>
            <sz val="9"/>
            <color indexed="81"/>
            <rFont val="Tahoma"/>
            <family val="2"/>
          </rPr>
          <t>IC Junction Temperature Rise:</t>
        </r>
        <r>
          <rPr>
            <sz val="9"/>
            <color indexed="81"/>
            <rFont val="Tahoma"/>
            <family val="2"/>
          </rPr>
          <t xml:space="preserve">
IC junction temperature based on power loss estimate.</t>
        </r>
      </text>
    </comment>
  </commentList>
</comments>
</file>

<file path=xl/sharedStrings.xml><?xml version="1.0" encoding="utf-8"?>
<sst xmlns="http://schemas.openxmlformats.org/spreadsheetml/2006/main" count="1372" uniqueCount="772">
  <si>
    <t>V</t>
  </si>
  <si>
    <t>Output Voltage</t>
  </si>
  <si>
    <t>A</t>
  </si>
  <si>
    <t>kHz</t>
  </si>
  <si>
    <t>Vin</t>
  </si>
  <si>
    <t>Vout</t>
  </si>
  <si>
    <t>Iout</t>
  </si>
  <si>
    <t>Fsw</t>
  </si>
  <si>
    <t>Value</t>
  </si>
  <si>
    <t>STD Units</t>
  </si>
  <si>
    <t>Hz</t>
  </si>
  <si>
    <t>uH</t>
  </si>
  <si>
    <t>Rdcr</t>
  </si>
  <si>
    <t>Notes</t>
  </si>
  <si>
    <t>Nominal input voltage</t>
  </si>
  <si>
    <t>Maximum output Current</t>
  </si>
  <si>
    <t>Nominal Operational Frequency</t>
  </si>
  <si>
    <t>ideal Duty Cycle</t>
  </si>
  <si>
    <t>Ideal 1- Duty Cycle</t>
  </si>
  <si>
    <t>Don1</t>
  </si>
  <si>
    <t>Doff1</t>
  </si>
  <si>
    <t>Don2</t>
  </si>
  <si>
    <t>Doff2</t>
  </si>
  <si>
    <t>index</t>
  </si>
  <si>
    <t>H</t>
  </si>
  <si>
    <t>Ohms</t>
  </si>
  <si>
    <t>Vripple1</t>
  </si>
  <si>
    <t>Choosen Initial Voltage ripple Value</t>
  </si>
  <si>
    <t>Minimum Output Capacitnace</t>
  </si>
  <si>
    <t>Coutmin</t>
  </si>
  <si>
    <t>uF</t>
  </si>
  <si>
    <t>Lout1</t>
  </si>
  <si>
    <t>Lout2</t>
  </si>
  <si>
    <t>Irripple1</t>
  </si>
  <si>
    <t>F</t>
  </si>
  <si>
    <t>Choosen Output Capacitor</t>
  </si>
  <si>
    <t>Cout</t>
  </si>
  <si>
    <t>Compensation</t>
  </si>
  <si>
    <t>iteration</t>
  </si>
  <si>
    <t>Fo</t>
  </si>
  <si>
    <t>LC Double Pole Location</t>
  </si>
  <si>
    <t>Fesr</t>
  </si>
  <si>
    <t>Q</t>
  </si>
  <si>
    <t>Quality Factor of LC output Filter</t>
  </si>
  <si>
    <t>Frequency</t>
  </si>
  <si>
    <t>Bode Plot Setup</t>
  </si>
  <si>
    <t>Output Filter</t>
  </si>
  <si>
    <t>Esr zero</t>
  </si>
  <si>
    <t>LC Double Pole</t>
  </si>
  <si>
    <t>V/V</t>
  </si>
  <si>
    <t>Origin Pole</t>
  </si>
  <si>
    <t>Kmidband</t>
  </si>
  <si>
    <t>Rfb1</t>
  </si>
  <si>
    <t>pF</t>
  </si>
  <si>
    <t>Cc1ea</t>
  </si>
  <si>
    <t>Cc2ea</t>
  </si>
  <si>
    <t>Rcea2</t>
  </si>
  <si>
    <t>Cc3ea</t>
  </si>
  <si>
    <t>Rcea1</t>
  </si>
  <si>
    <t>Rcea1_u</t>
  </si>
  <si>
    <t>Cc1ea_u</t>
  </si>
  <si>
    <t>Cc2ea_u</t>
  </si>
  <si>
    <t>Rcea2_u</t>
  </si>
  <si>
    <t>Cc3ea_u</t>
  </si>
  <si>
    <t>Fz1</t>
  </si>
  <si>
    <t>Fz2</t>
  </si>
  <si>
    <t>Fp1</t>
  </si>
  <si>
    <t>Fp2</t>
  </si>
  <si>
    <t>Gain</t>
  </si>
  <si>
    <t>Phase</t>
  </si>
  <si>
    <t>Pi</t>
  </si>
  <si>
    <t>Total Gain</t>
  </si>
  <si>
    <t>Total Phase</t>
  </si>
  <si>
    <t>Phase margin</t>
  </si>
  <si>
    <t>Vramp</t>
  </si>
  <si>
    <t>Vp-p</t>
  </si>
  <si>
    <t>Pwm</t>
  </si>
  <si>
    <t>Rfb2</t>
  </si>
  <si>
    <t>Vref</t>
  </si>
  <si>
    <t>Reference Voltage</t>
  </si>
  <si>
    <t>Ro</t>
  </si>
  <si>
    <t>Eadcg</t>
  </si>
  <si>
    <t>GBP</t>
  </si>
  <si>
    <t>A(s)</t>
  </si>
  <si>
    <t>xover</t>
  </si>
  <si>
    <t>phase margin</t>
  </si>
  <si>
    <t>Z1</t>
  </si>
  <si>
    <t>Z3</t>
  </si>
  <si>
    <t>Real</t>
  </si>
  <si>
    <t>Imag</t>
  </si>
  <si>
    <t>Num</t>
  </si>
  <si>
    <t>Den</t>
  </si>
  <si>
    <t>Total</t>
  </si>
  <si>
    <t>a</t>
  </si>
  <si>
    <t>b</t>
  </si>
  <si>
    <t>c</t>
  </si>
  <si>
    <t>d</t>
  </si>
  <si>
    <t>Z1 Real</t>
  </si>
  <si>
    <t>Z1 Imag</t>
  </si>
  <si>
    <t>Z3 Imag</t>
  </si>
  <si>
    <t>Z3 Real</t>
  </si>
  <si>
    <t>EAGain</t>
  </si>
  <si>
    <t>Ea Phase</t>
  </si>
  <si>
    <t>Ea Gain (db)</t>
  </si>
  <si>
    <t>Total Phase Margin</t>
  </si>
  <si>
    <t>Design Output</t>
  </si>
  <si>
    <t>EA MODELING</t>
  </si>
  <si>
    <t>Ea Gain BW</t>
  </si>
  <si>
    <t>Complex EA</t>
  </si>
  <si>
    <t>Actual EA Response</t>
  </si>
  <si>
    <t>Actual Total System Response</t>
  </si>
  <si>
    <t>XOVER SEARCH</t>
  </si>
  <si>
    <t>Step 2: Inductor</t>
  </si>
  <si>
    <t>Variable Name</t>
  </si>
  <si>
    <t>Resrmax</t>
  </si>
  <si>
    <t>mΩ</t>
  </si>
  <si>
    <t>kΩ</t>
  </si>
  <si>
    <t>TERMS OF USE</t>
  </si>
  <si>
    <t>Currents</t>
  </si>
  <si>
    <t>IQ</t>
  </si>
  <si>
    <t>Step</t>
  </si>
  <si>
    <t>Core</t>
  </si>
  <si>
    <t>Total Loss</t>
  </si>
  <si>
    <t>OUTPUT POWER</t>
  </si>
  <si>
    <t>EFF</t>
  </si>
  <si>
    <t>Design</t>
  </si>
  <si>
    <t>L</t>
  </si>
  <si>
    <t>Cin</t>
  </si>
  <si>
    <t>Components</t>
  </si>
  <si>
    <t>Top FET</t>
  </si>
  <si>
    <t>Bottom FET</t>
  </si>
  <si>
    <t>RdsonDRB</t>
  </si>
  <si>
    <t>RdsonDRT</t>
  </si>
  <si>
    <t>Deadtime</t>
  </si>
  <si>
    <t>mOhms</t>
  </si>
  <si>
    <t>mA</t>
  </si>
  <si>
    <t>nC</t>
  </si>
  <si>
    <t>S</t>
  </si>
  <si>
    <t>QgBot</t>
  </si>
  <si>
    <t>RdsonBot</t>
  </si>
  <si>
    <t>GfsTop</t>
  </si>
  <si>
    <t>QgTop</t>
  </si>
  <si>
    <t>RdsonTop</t>
  </si>
  <si>
    <t xml:space="preserve">INDUCTOR </t>
  </si>
  <si>
    <t>VsdBot</t>
  </si>
  <si>
    <t>QrrBot</t>
  </si>
  <si>
    <t>TrrBot</t>
  </si>
  <si>
    <t>ns</t>
  </si>
  <si>
    <t>Units</t>
  </si>
  <si>
    <t>Outputs</t>
  </si>
  <si>
    <t>Bottom FET/Diode</t>
  </si>
  <si>
    <t>Dprime</t>
  </si>
  <si>
    <t>RdsonTopTc</t>
  </si>
  <si>
    <t>RdsonBotTc</t>
  </si>
  <si>
    <t>ppm</t>
  </si>
  <si>
    <t>LTc</t>
  </si>
  <si>
    <t>Ta</t>
  </si>
  <si>
    <t>Irms</t>
  </si>
  <si>
    <t>RCoutEsr</t>
  </si>
  <si>
    <t>RCinEsr</t>
  </si>
  <si>
    <t>ThetaJaBot</t>
  </si>
  <si>
    <t>ThetaJaTop</t>
  </si>
  <si>
    <t>RDSON Loss</t>
  </si>
  <si>
    <t>Cin Esr   Loss</t>
  </si>
  <si>
    <t>Cout Esr Loss</t>
  </si>
  <si>
    <t>DCR    Loss</t>
  </si>
  <si>
    <t>Tr</t>
  </si>
  <si>
    <t>Tf</t>
  </si>
  <si>
    <t>RGateTop</t>
  </si>
  <si>
    <t>RGateBot</t>
  </si>
  <si>
    <t>VthTop</t>
  </si>
  <si>
    <t>Reverse Recovery Loss</t>
  </si>
  <si>
    <t>DeadTime Loss</t>
  </si>
  <si>
    <t>Switching Frequency</t>
  </si>
  <si>
    <t>Max Output Current</t>
  </si>
  <si>
    <t>Ambient Temperature</t>
  </si>
  <si>
    <t>Inductor Series Resistance Temp Co</t>
  </si>
  <si>
    <t>Input Capacitor Capacitance</t>
  </si>
  <si>
    <t>Input Capacitor Series Resistance</t>
  </si>
  <si>
    <t>Total Deadtime</t>
  </si>
  <si>
    <t>Gate Charge Of Top FET</t>
  </si>
  <si>
    <t>Gate Resistance</t>
  </si>
  <si>
    <t>Transconductance of Top FET</t>
  </si>
  <si>
    <t>Threshold Voltage of Top FET</t>
  </si>
  <si>
    <t>Junction to Ambient Resistance</t>
  </si>
  <si>
    <t>Drain To Source Resitance Temp Co</t>
  </si>
  <si>
    <t>Diode Forward Voltage of Bottom FET Body Diode</t>
  </si>
  <si>
    <t>Reverse Recovery Time of Body Diode</t>
  </si>
  <si>
    <t>Description</t>
  </si>
  <si>
    <t>Input Parameters</t>
  </si>
  <si>
    <t>Output Inductor Inductance Value</t>
  </si>
  <si>
    <t>Inductor Series Resistance at 25 Degrees C</t>
  </si>
  <si>
    <t>Drain To Source Resistance of Bottom FET Driver</t>
  </si>
  <si>
    <t>Drain to Source Resistance Temp Co</t>
  </si>
  <si>
    <t xml:space="preserve">Drain to Source Resistance of Top FET </t>
  </si>
  <si>
    <t>BUCK CONTROLLER POWER TOOL</t>
  </si>
  <si>
    <t>Reverse Recovery Charge of Body Diode</t>
  </si>
  <si>
    <t>IQ      Loss</t>
  </si>
  <si>
    <t>Enter the values of your design and FET datasheet specifications below. Note that thermal resistance ("Theta JA") will change when components are placed on the PCB</t>
  </si>
  <si>
    <t>Output Capacitor Capcitance</t>
  </si>
  <si>
    <t>Output Capacitor Series Resistance</t>
  </si>
  <si>
    <t>Input Value</t>
  </si>
  <si>
    <t>Top Driver</t>
  </si>
  <si>
    <t>Bottom Driver</t>
  </si>
  <si>
    <t>Drain to Source Resistance of pull up Top FET Driver</t>
  </si>
  <si>
    <t>Drain to Source Resistance of pull down Top FET Driver</t>
  </si>
  <si>
    <t>Part Power</t>
  </si>
  <si>
    <t>Power Dis</t>
  </si>
  <si>
    <t>W</t>
  </si>
  <si>
    <t>Controller</t>
  </si>
  <si>
    <t>Theta Ja</t>
  </si>
  <si>
    <t>Temp rise</t>
  </si>
  <si>
    <t>θJA=80</t>
  </si>
  <si>
    <t>θJA=100</t>
  </si>
  <si>
    <t>θJA=120</t>
  </si>
  <si>
    <t>θJA=140</t>
  </si>
  <si>
    <t>θJA=160</t>
  </si>
  <si>
    <t>θJA=180</t>
  </si>
  <si>
    <t>QgdTop</t>
  </si>
  <si>
    <t>Gate to Drain Charge</t>
  </si>
  <si>
    <t>Qg</t>
  </si>
  <si>
    <t>θJA=20</t>
  </si>
  <si>
    <t>θJA=30</t>
  </si>
  <si>
    <t>θJA=40</t>
  </si>
  <si>
    <t>θJA=50</t>
  </si>
  <si>
    <t>250kHz / 5-1.2V /25A</t>
  </si>
  <si>
    <t>250kHz / 12-5V / 30A</t>
  </si>
  <si>
    <t>500kHz / 5-1.2V / 15A</t>
  </si>
  <si>
    <t>1Mhz / 5-1.2V / 10A</t>
  </si>
  <si>
    <t>1Mhz / 12-1.2V/ 10A</t>
  </si>
  <si>
    <t>500kHz / 12-5V / 15A</t>
  </si>
  <si>
    <t>250kHz / 18-1.2V / 20A</t>
  </si>
  <si>
    <t>500kHz / 18-1.2V / 20A</t>
  </si>
  <si>
    <t>θJA=120°C/W - 160°C/W</t>
  </si>
  <si>
    <t>θJA=30°C/W - 50°C/W</t>
  </si>
  <si>
    <t>VspTop</t>
  </si>
  <si>
    <t>QgsTop</t>
  </si>
  <si>
    <t>Part Losses</t>
  </si>
  <si>
    <t>RdsonDRB2</t>
  </si>
  <si>
    <t>RdsonDRT2</t>
  </si>
  <si>
    <t>EFF_1 @ 25°C</t>
  </si>
  <si>
    <t>Efficiency</t>
  </si>
  <si>
    <t>Pdis</t>
  </si>
  <si>
    <t>Vin=10V</t>
  </si>
  <si>
    <t>Vout=5.1V</t>
  </si>
  <si>
    <t xml:space="preserve">L=3.3uH/30mOhm </t>
  </si>
  <si>
    <t>4394 Top and Bottom Fets</t>
  </si>
  <si>
    <t>Duty Cycle</t>
  </si>
  <si>
    <t>Current Ripple p-p</t>
  </si>
  <si>
    <t xml:space="preserve">IQ </t>
  </si>
  <si>
    <t>ThetaCa</t>
  </si>
  <si>
    <t>Core to Ambient Thermal Resistance</t>
  </si>
  <si>
    <t>IRMS</t>
  </si>
  <si>
    <t>Total Part Loss</t>
  </si>
  <si>
    <t>RESULSTS</t>
  </si>
  <si>
    <t xml:space="preserve">LOW SIDE FET Losses </t>
  </si>
  <si>
    <t xml:space="preserve">HIGH SIDE FET losses </t>
  </si>
  <si>
    <t>Top FET Temp Rise</t>
  </si>
  <si>
    <t>Bottom FET Temp Rise</t>
  </si>
  <si>
    <t>Quiescent Current Of Controller (Not Switching!)</t>
  </si>
  <si>
    <t>Top Feedback Resistor</t>
  </si>
  <si>
    <t>This along with Rcea1 will set a zero</t>
  </si>
  <si>
    <t>This pole is set at half the switching frequency</t>
  </si>
  <si>
    <t>This pole cancels the zero from the Output Cap ESR</t>
  </si>
  <si>
    <t>PI</t>
  </si>
  <si>
    <t>s</t>
  </si>
  <si>
    <t>Switch Point Voltage of Top FET</t>
  </si>
  <si>
    <t>ThetaJaCtrl</t>
  </si>
  <si>
    <t>Part Characteristics</t>
  </si>
  <si>
    <t>C</t>
  </si>
  <si>
    <t>Switching Current Loss</t>
  </si>
  <si>
    <t>Rfb2_u</t>
  </si>
  <si>
    <t>CoutEsr</t>
  </si>
  <si>
    <t>Ilimit</t>
  </si>
  <si>
    <t>Ω</t>
  </si>
  <si>
    <t>Step 3: Current Limit</t>
  </si>
  <si>
    <t>Step 4: Output Capacitor</t>
  </si>
  <si>
    <t>Step 5: Input Capacitor</t>
  </si>
  <si>
    <t>nF</t>
  </si>
  <si>
    <t>R1</t>
  </si>
  <si>
    <t>R2</t>
  </si>
  <si>
    <t>VIN</t>
  </si>
  <si>
    <t>Icinrms</t>
  </si>
  <si>
    <t>Icoutrms</t>
  </si>
  <si>
    <t>= Input Box</t>
  </si>
  <si>
    <t>Excel Variables Names/Calculations</t>
  </si>
  <si>
    <t>Input capacitance</t>
  </si>
  <si>
    <t>Step 1: Operational Specs</t>
  </si>
  <si>
    <t>Ilimit2</t>
  </si>
  <si>
    <t>Step 6: Soft Start</t>
  </si>
  <si>
    <t>ms</t>
  </si>
  <si>
    <t>Tss</t>
  </si>
  <si>
    <t>Soft Start Time</t>
  </si>
  <si>
    <t>Iss</t>
  </si>
  <si>
    <t>Css</t>
  </si>
  <si>
    <t>Rfadj</t>
  </si>
  <si>
    <t>C1</t>
  </si>
  <si>
    <t>C2</t>
  </si>
  <si>
    <t>Ripple I</t>
  </si>
  <si>
    <t>%</t>
  </si>
  <si>
    <t xml:space="preserve">I1 </t>
  </si>
  <si>
    <t xml:space="preserve">I2 </t>
  </si>
  <si>
    <t>Part Number</t>
  </si>
  <si>
    <t>Cby</t>
  </si>
  <si>
    <t>Csb</t>
  </si>
  <si>
    <t>Rh</t>
  </si>
  <si>
    <t>Capacitors</t>
  </si>
  <si>
    <t>(pF)</t>
  </si>
  <si>
    <t>Standard Result</t>
  </si>
  <si>
    <t>Inputs</t>
  </si>
  <si>
    <t>Css_u</t>
  </si>
  <si>
    <t>Resistors</t>
  </si>
  <si>
    <t>Radj</t>
  </si>
  <si>
    <t>inputs</t>
  </si>
  <si>
    <t>Cb</t>
  </si>
  <si>
    <t>Rs1</t>
  </si>
  <si>
    <t>Rs2</t>
  </si>
  <si>
    <t>Rs3</t>
  </si>
  <si>
    <t>Rs4</t>
  </si>
  <si>
    <t xml:space="preserve">                </t>
  </si>
  <si>
    <t>Cdd</t>
  </si>
  <si>
    <t>Cc1</t>
  </si>
  <si>
    <t>Cc2</t>
  </si>
  <si>
    <t>Cc3</t>
  </si>
  <si>
    <t>Csby</t>
  </si>
  <si>
    <t>Rc1</t>
  </si>
  <si>
    <t>Rc2</t>
  </si>
  <si>
    <t>Other Input Variables</t>
  </si>
  <si>
    <t>Step 7: Other Components</t>
  </si>
  <si>
    <t>Step 8: Compensation</t>
  </si>
  <si>
    <r>
      <t>R</t>
    </r>
    <r>
      <rPr>
        <vertAlign val="subscript"/>
        <sz val="10"/>
        <rFont val="Arial"/>
        <family val="2"/>
      </rPr>
      <t>PG</t>
    </r>
  </si>
  <si>
    <r>
      <t>R</t>
    </r>
    <r>
      <rPr>
        <vertAlign val="subscript"/>
        <sz val="10"/>
        <rFont val="Arial"/>
        <family val="2"/>
      </rPr>
      <t>SB</t>
    </r>
  </si>
  <si>
    <t>CSBY</t>
  </si>
  <si>
    <t>Actual Open Loop System Response</t>
  </si>
  <si>
    <t>Comp To Output</t>
  </si>
  <si>
    <t>Total Phase margin</t>
  </si>
  <si>
    <t>Rfets</t>
  </si>
  <si>
    <t>cap loss eq res</t>
  </si>
  <si>
    <t>Fet loss eq res</t>
  </si>
  <si>
    <t>Diode loss eq res</t>
  </si>
  <si>
    <t>Sw cap</t>
  </si>
  <si>
    <t>Output to Comp 5V In @ 500kHz 0A Iout 25DegC</t>
  </si>
  <si>
    <t xml:space="preserve"> </t>
  </si>
  <si>
    <t>Resulting Poles/Zero/Q Locations</t>
  </si>
  <si>
    <t>Rc1ea</t>
  </si>
  <si>
    <t>Rc2ea</t>
  </si>
  <si>
    <t>Frequency of Ringing</t>
  </si>
  <si>
    <t>MHz</t>
  </si>
  <si>
    <t>STD UNITS</t>
  </si>
  <si>
    <t>UNITS</t>
  </si>
  <si>
    <t>SW capacitance</t>
  </si>
  <si>
    <t>Csnub</t>
  </si>
  <si>
    <t>Lpar</t>
  </si>
  <si>
    <t>nH</t>
  </si>
  <si>
    <t>Rsnub</t>
  </si>
  <si>
    <t>TL</t>
  </si>
  <si>
    <t>L/R Time Constant</t>
  </si>
  <si>
    <t>Blank out</t>
  </si>
  <si>
    <t>Sugested Cs</t>
  </si>
  <si>
    <t>Input from user =</t>
  </si>
  <si>
    <t>Constant</t>
  </si>
  <si>
    <t>Step 8: Efficiency</t>
  </si>
  <si>
    <t>Vripple</t>
  </si>
  <si>
    <t>Bottom Shotkey</t>
  </si>
  <si>
    <t>VfdSky</t>
  </si>
  <si>
    <t>QrrSky</t>
  </si>
  <si>
    <t>Ireverse</t>
  </si>
  <si>
    <t>Diode Forward Voltage</t>
  </si>
  <si>
    <t>Diode Reverse Recovery Charge</t>
  </si>
  <si>
    <t>Reverse Leakage Current</t>
  </si>
  <si>
    <t>Diod/eFET</t>
  </si>
  <si>
    <t>External Diode</t>
  </si>
  <si>
    <t>Total Inductor Loss/Diss</t>
  </si>
  <si>
    <t>Total Cout Loss/Diss</t>
  </si>
  <si>
    <t>Total Cin Loss/Diss</t>
  </si>
  <si>
    <t>Total Top FET Loss/Diss</t>
  </si>
  <si>
    <t xml:space="preserve">Dead Time Loss </t>
  </si>
  <si>
    <t>VsdTop</t>
  </si>
  <si>
    <t>Switching Current Diss</t>
  </si>
  <si>
    <t>Diode Forward Voltage of Top FET Body diode</t>
  </si>
  <si>
    <t>°C/W</t>
  </si>
  <si>
    <t>SCHEMATIC LABELS</t>
  </si>
  <si>
    <r>
      <t xml:space="preserve">Choosen Compensation Components from the </t>
    </r>
    <r>
      <rPr>
        <b/>
        <u/>
        <sz val="10"/>
        <color indexed="10"/>
        <rFont val="Arial"/>
        <family val="2"/>
      </rPr>
      <t>standard value sheet</t>
    </r>
  </si>
  <si>
    <t>\</t>
  </si>
  <si>
    <t>OUTPUT CURRENT</t>
  </si>
  <si>
    <t>Dmax</t>
  </si>
  <si>
    <t>Ipp</t>
  </si>
  <si>
    <t>Current (switching)</t>
  </si>
  <si>
    <t>Qrr Current</t>
  </si>
  <si>
    <t>Diode Current</t>
  </si>
  <si>
    <t>Std Units</t>
  </si>
  <si>
    <t>Part Power Disipation</t>
  </si>
  <si>
    <t>Total Application Switching IQ</t>
  </si>
  <si>
    <t xml:space="preserve">VIN </t>
  </si>
  <si>
    <t>CBOOT</t>
  </si>
  <si>
    <t>VDD</t>
  </si>
  <si>
    <t>SYNC</t>
  </si>
  <si>
    <t>EN</t>
  </si>
  <si>
    <t>PGOOD</t>
  </si>
  <si>
    <t>SS/TRACK</t>
  </si>
  <si>
    <t>FADJ</t>
  </si>
  <si>
    <t>GND</t>
  </si>
  <si>
    <t>COMP</t>
  </si>
  <si>
    <t>FB</t>
  </si>
  <si>
    <t>CS-</t>
  </si>
  <si>
    <t>CS+</t>
  </si>
  <si>
    <t>LG</t>
  </si>
  <si>
    <t>SW</t>
  </si>
  <si>
    <t>HG</t>
  </si>
  <si>
    <t>CIN</t>
  </si>
  <si>
    <t>DCR at hot</t>
  </si>
  <si>
    <t>Temp</t>
  </si>
  <si>
    <t>µH</t>
  </si>
  <si>
    <t>µF</t>
  </si>
  <si>
    <t>Cinmin</t>
  </si>
  <si>
    <t>Vinripple1</t>
  </si>
  <si>
    <t>CinEsrMax</t>
  </si>
  <si>
    <t>Vinripple2</t>
  </si>
  <si>
    <t>DCR</t>
  </si>
  <si>
    <t>Output =</t>
  </si>
  <si>
    <t>Calculated Inductor value for 30% ripple</t>
  </si>
  <si>
    <t>Duty Cycle with DCR accounted for</t>
  </si>
  <si>
    <t>1-Duty Cycle with DCR accounted for</t>
  </si>
  <si>
    <t>OTP</t>
  </si>
  <si>
    <t>D+</t>
  </si>
  <si>
    <t>D-</t>
  </si>
  <si>
    <t>RS</t>
  </si>
  <si>
    <t>Bottom Schottky</t>
  </si>
  <si>
    <t>Rotp</t>
  </si>
  <si>
    <t>Step 2: Filter Inductor</t>
  </si>
  <si>
    <t>This component will first set the midband gain</t>
  </si>
  <si>
    <t>Error Amplifier Finite DC Gain (AOL)</t>
  </si>
  <si>
    <t>Error Amplifier Gain Bandwidth Product (GBW)</t>
  </si>
  <si>
    <t>Cout ESR Zero Location</t>
  </si>
  <si>
    <t>EA Gain (dB)</t>
  </si>
  <si>
    <t>EA Phase</t>
  </si>
  <si>
    <t>EA Gain</t>
  </si>
  <si>
    <t>EA Gain BW</t>
  </si>
  <si>
    <t>Midband Gain For the Error Amplifier</t>
  </si>
  <si>
    <t>Load Cap current during soft start</t>
  </si>
  <si>
    <t>Step 1: Operating Specifications</t>
  </si>
  <si>
    <t>°C</t>
  </si>
  <si>
    <t>Std Values</t>
  </si>
  <si>
    <t>Compensation Components</t>
  </si>
  <si>
    <t>Actual P/Z Frequencies</t>
  </si>
  <si>
    <r>
      <t>R</t>
    </r>
    <r>
      <rPr>
        <b/>
        <vertAlign val="subscript"/>
        <sz val="10"/>
        <rFont val="Arial"/>
        <family val="2"/>
      </rPr>
      <t>C1</t>
    </r>
  </si>
  <si>
    <r>
      <t>kHz (F</t>
    </r>
    <r>
      <rPr>
        <b/>
        <vertAlign val="subscript"/>
        <sz val="10"/>
        <rFont val="Arial"/>
        <family val="2"/>
      </rPr>
      <t>Z1</t>
    </r>
    <r>
      <rPr>
        <b/>
        <sz val="10"/>
        <rFont val="Arial"/>
        <family val="2"/>
      </rPr>
      <t>)</t>
    </r>
  </si>
  <si>
    <r>
      <t>C</t>
    </r>
    <r>
      <rPr>
        <b/>
        <vertAlign val="subscript"/>
        <sz val="10"/>
        <rFont val="Arial"/>
        <family val="2"/>
      </rPr>
      <t>C1</t>
    </r>
  </si>
  <si>
    <r>
      <t>kHz (F</t>
    </r>
    <r>
      <rPr>
        <b/>
        <vertAlign val="subscript"/>
        <sz val="10"/>
        <rFont val="Arial"/>
        <family val="2"/>
      </rPr>
      <t>Z2</t>
    </r>
    <r>
      <rPr>
        <b/>
        <sz val="10"/>
        <rFont val="Arial"/>
        <family val="2"/>
      </rPr>
      <t>)</t>
    </r>
  </si>
  <si>
    <r>
      <t>C</t>
    </r>
    <r>
      <rPr>
        <b/>
        <vertAlign val="subscript"/>
        <sz val="10"/>
        <rFont val="Arial"/>
        <family val="2"/>
      </rPr>
      <t>C2</t>
    </r>
  </si>
  <si>
    <r>
      <t>kHz (F</t>
    </r>
    <r>
      <rPr>
        <b/>
        <vertAlign val="subscript"/>
        <sz val="10"/>
        <rFont val="Arial"/>
        <family val="2"/>
      </rPr>
      <t>P1</t>
    </r>
    <r>
      <rPr>
        <b/>
        <sz val="10"/>
        <rFont val="Arial"/>
        <family val="2"/>
      </rPr>
      <t>)</t>
    </r>
  </si>
  <si>
    <r>
      <t>R</t>
    </r>
    <r>
      <rPr>
        <b/>
        <vertAlign val="subscript"/>
        <sz val="10"/>
        <rFont val="Arial"/>
        <family val="2"/>
      </rPr>
      <t>C2</t>
    </r>
  </si>
  <si>
    <r>
      <t>kHz (F</t>
    </r>
    <r>
      <rPr>
        <b/>
        <vertAlign val="subscript"/>
        <sz val="10"/>
        <rFont val="Arial"/>
        <family val="2"/>
      </rPr>
      <t>P2</t>
    </r>
    <r>
      <rPr>
        <b/>
        <sz val="10"/>
        <rFont val="Arial"/>
        <family val="2"/>
      </rPr>
      <t>)</t>
    </r>
  </si>
  <si>
    <r>
      <t>C</t>
    </r>
    <r>
      <rPr>
        <b/>
        <vertAlign val="subscript"/>
        <sz val="10"/>
        <rFont val="Arial"/>
        <family val="2"/>
      </rPr>
      <t>C3</t>
    </r>
  </si>
  <si>
    <t>Efficiency / Power Loss Analyzer</t>
  </si>
  <si>
    <t>Step 7: Compensation Design</t>
  </si>
  <si>
    <t>Calculated /</t>
  </si>
  <si>
    <t xml:space="preserve">Recommended Filter Inductance </t>
  </si>
  <si>
    <t xml:space="preserve">Inductor DCR </t>
  </si>
  <si>
    <t xml:space="preserve">Required Current Limit Setpoint </t>
  </si>
  <si>
    <t xml:space="preserve">Output Voltage Ripple Specification </t>
  </si>
  <si>
    <t xml:space="preserve">Minimum Ideal Output Capacitance </t>
  </si>
  <si>
    <t xml:space="preserve">Maximum Permitted ESR </t>
  </si>
  <si>
    <t xml:space="preserve">Output Capacitor ESR </t>
  </si>
  <si>
    <t xml:space="preserve">Resulting Output Voltage Ripple </t>
  </si>
  <si>
    <t xml:space="preserve">Output Capacitor Ripple Current </t>
  </si>
  <si>
    <t xml:space="preserve">Input Voltage Ripple Specification </t>
  </si>
  <si>
    <t xml:space="preserve">Minimum Ideal Input Capacitance </t>
  </si>
  <si>
    <t xml:space="preserve">Input Capacitor ESR </t>
  </si>
  <si>
    <t xml:space="preserve">Resulting Input Voltage Ripple </t>
  </si>
  <si>
    <t xml:space="preserve">Input Capacitor Ripple Current </t>
  </si>
  <si>
    <t xml:space="preserve">LC Complex Pole Frequency </t>
  </si>
  <si>
    <t xml:space="preserve">ESR Zero Frequency </t>
  </si>
  <si>
    <t xml:space="preserve">Appropriate Midband Gain </t>
  </si>
  <si>
    <t>About</t>
  </si>
  <si>
    <t>xx</t>
  </si>
  <si>
    <t>Current limit setpoint after standard components are selected</t>
  </si>
  <si>
    <t>Output Cap rms current</t>
  </si>
  <si>
    <t>Max ESR before ripple exceeds Vripple1</t>
  </si>
  <si>
    <t>Chosen ESR</t>
  </si>
  <si>
    <t>Input capacitance series resistance (ESR)</t>
  </si>
  <si>
    <t xml:space="preserve">Desired Crossover Frequency </t>
  </si>
  <si>
    <r>
      <t>VIN</t>
    </r>
    <r>
      <rPr>
        <vertAlign val="subscript"/>
        <sz val="10"/>
        <rFont val="Arial"/>
        <family val="2"/>
      </rPr>
      <t>UVLO_ON</t>
    </r>
  </si>
  <si>
    <r>
      <t>VIN</t>
    </r>
    <r>
      <rPr>
        <vertAlign val="subscript"/>
        <sz val="10"/>
        <rFont val="Arial"/>
        <family val="2"/>
      </rPr>
      <t>UVLO_OFF</t>
    </r>
  </si>
  <si>
    <t>Rising UVLO/EN Threshold</t>
  </si>
  <si>
    <t>Falling UVLO/EN Threshold</t>
  </si>
  <si>
    <t>Falling UVLO/EN Falling</t>
  </si>
  <si>
    <t xml:space="preserve">Rising UVLO/EN Hysteresis </t>
  </si>
  <si>
    <t>UVLO/EN Current Hysteresis</t>
  </si>
  <si>
    <t>kΩ</t>
  </si>
  <si>
    <r>
      <t>VIN</t>
    </r>
    <r>
      <rPr>
        <vertAlign val="subscript"/>
        <sz val="10"/>
        <rFont val="Arial"/>
        <family val="2"/>
      </rPr>
      <t>UVLO_ON_ACTUAL</t>
    </r>
  </si>
  <si>
    <r>
      <t>VIN</t>
    </r>
    <r>
      <rPr>
        <vertAlign val="subscript"/>
        <sz val="10"/>
        <rFont val="Arial"/>
        <family val="2"/>
      </rPr>
      <t>UVLO_OFF_ACTUAL</t>
    </r>
  </si>
  <si>
    <t>Size</t>
  </si>
  <si>
    <t>MFR</t>
  </si>
  <si>
    <t>Std</t>
  </si>
  <si>
    <t>See description</t>
  </si>
  <si>
    <t>TI</t>
  </si>
  <si>
    <t>0603</t>
  </si>
  <si>
    <r>
      <t>C</t>
    </r>
    <r>
      <rPr>
        <vertAlign val="subscript"/>
        <sz val="10"/>
        <rFont val="Arial"/>
        <family val="2"/>
      </rPr>
      <t>C1</t>
    </r>
  </si>
  <si>
    <r>
      <t>C</t>
    </r>
    <r>
      <rPr>
        <vertAlign val="subscript"/>
        <sz val="10"/>
        <rFont val="Arial"/>
        <family val="2"/>
      </rPr>
      <t>C2</t>
    </r>
  </si>
  <si>
    <r>
      <t>C</t>
    </r>
    <r>
      <rPr>
        <vertAlign val="subscript"/>
        <sz val="10"/>
        <rFont val="Arial"/>
        <family val="2"/>
      </rPr>
      <t>C3</t>
    </r>
  </si>
  <si>
    <r>
      <t>C</t>
    </r>
    <r>
      <rPr>
        <vertAlign val="subscript"/>
        <sz val="10"/>
        <rFont val="Arial"/>
        <family val="2"/>
      </rPr>
      <t>IN</t>
    </r>
  </si>
  <si>
    <r>
      <t>C</t>
    </r>
    <r>
      <rPr>
        <vertAlign val="subscript"/>
        <sz val="10"/>
        <rFont val="Arial"/>
        <family val="2"/>
      </rPr>
      <t>OUT</t>
    </r>
  </si>
  <si>
    <r>
      <t>C</t>
    </r>
    <r>
      <rPr>
        <vertAlign val="subscript"/>
        <sz val="10"/>
        <rFont val="Arial"/>
        <family val="2"/>
      </rPr>
      <t>SS</t>
    </r>
  </si>
  <si>
    <r>
      <t>C</t>
    </r>
    <r>
      <rPr>
        <vertAlign val="subscript"/>
        <sz val="10"/>
        <rFont val="Arial"/>
        <family val="2"/>
      </rPr>
      <t>VIN</t>
    </r>
  </si>
  <si>
    <t>Ref Des</t>
  </si>
  <si>
    <t>Count</t>
  </si>
  <si>
    <t>Various</t>
  </si>
  <si>
    <r>
      <t>Q</t>
    </r>
    <r>
      <rPr>
        <vertAlign val="subscript"/>
        <sz val="10"/>
        <rFont val="Arial"/>
        <family val="2"/>
      </rPr>
      <t>1</t>
    </r>
  </si>
  <si>
    <r>
      <t>Q</t>
    </r>
    <r>
      <rPr>
        <vertAlign val="subscript"/>
        <sz val="10"/>
        <rFont val="Arial"/>
        <family val="2"/>
      </rPr>
      <t>2</t>
    </r>
  </si>
  <si>
    <r>
      <t>R</t>
    </r>
    <r>
      <rPr>
        <vertAlign val="subscript"/>
        <sz val="10"/>
        <rFont val="Arial"/>
        <family val="2"/>
      </rPr>
      <t>C1</t>
    </r>
  </si>
  <si>
    <r>
      <t>R</t>
    </r>
    <r>
      <rPr>
        <vertAlign val="subscript"/>
        <sz val="10"/>
        <rFont val="Arial"/>
        <family val="2"/>
      </rPr>
      <t>C2</t>
    </r>
  </si>
  <si>
    <r>
      <t>R</t>
    </r>
    <r>
      <rPr>
        <vertAlign val="subscript"/>
        <sz val="10"/>
        <rFont val="Arial"/>
        <family val="2"/>
      </rPr>
      <t>UV1</t>
    </r>
  </si>
  <si>
    <r>
      <t>R</t>
    </r>
    <r>
      <rPr>
        <vertAlign val="subscript"/>
        <sz val="10"/>
        <rFont val="Arial"/>
        <family val="2"/>
      </rPr>
      <t>UV2</t>
    </r>
  </si>
  <si>
    <r>
      <t>R</t>
    </r>
    <r>
      <rPr>
        <vertAlign val="subscript"/>
        <sz val="10"/>
        <rFont val="Arial"/>
        <family val="2"/>
      </rPr>
      <t>VIN</t>
    </r>
  </si>
  <si>
    <r>
      <t>R</t>
    </r>
    <r>
      <rPr>
        <vertAlign val="subscript"/>
        <sz val="10"/>
        <rFont val="Arial"/>
        <family val="2"/>
      </rPr>
      <t>S</t>
    </r>
  </si>
  <si>
    <r>
      <t>R</t>
    </r>
    <r>
      <rPr>
        <vertAlign val="subscript"/>
        <sz val="10"/>
        <rFont val="Arial"/>
        <family val="2"/>
      </rPr>
      <t>PGOOD</t>
    </r>
  </si>
  <si>
    <r>
      <t>R</t>
    </r>
    <r>
      <rPr>
        <vertAlign val="subscript"/>
        <sz val="10"/>
        <rFont val="Arial"/>
        <family val="2"/>
      </rPr>
      <t>FB1</t>
    </r>
  </si>
  <si>
    <r>
      <t>R</t>
    </r>
    <r>
      <rPr>
        <vertAlign val="subscript"/>
        <sz val="10"/>
        <rFont val="Arial"/>
        <family val="2"/>
      </rPr>
      <t>FB2</t>
    </r>
  </si>
  <si>
    <r>
      <t>U</t>
    </r>
    <r>
      <rPr>
        <b/>
        <vertAlign val="subscript"/>
        <sz val="10"/>
        <rFont val="Arial"/>
        <family val="2"/>
      </rPr>
      <t>1</t>
    </r>
  </si>
  <si>
    <t>Rpgood</t>
  </si>
  <si>
    <t>20kΩ</t>
  </si>
  <si>
    <t>Cd</t>
  </si>
  <si>
    <t>Ruv1</t>
  </si>
  <si>
    <t>Ruv2</t>
  </si>
  <si>
    <t># of input caps</t>
  </si>
  <si>
    <t>Capacitance per component (Cin)</t>
  </si>
  <si>
    <t>Capacitance per component (Cout)</t>
  </si>
  <si>
    <t># of output caps</t>
  </si>
  <si>
    <r>
      <t>High-Side MOSFET (Q</t>
    </r>
    <r>
      <rPr>
        <b/>
        <vertAlign val="subscript"/>
        <sz val="10"/>
        <color rgb="FF0000FF"/>
        <rFont val="Arial"/>
        <family val="2"/>
      </rPr>
      <t>1</t>
    </r>
    <r>
      <rPr>
        <b/>
        <sz val="10"/>
        <color rgb="FF0000FF"/>
        <rFont val="Arial"/>
        <family val="2"/>
      </rPr>
      <t>) Specifications</t>
    </r>
  </si>
  <si>
    <r>
      <t>Low-Side MOSFET (Q</t>
    </r>
    <r>
      <rPr>
        <b/>
        <vertAlign val="subscript"/>
        <sz val="10"/>
        <color rgb="FF0000FF"/>
        <rFont val="Arial"/>
        <family val="2"/>
      </rPr>
      <t>2</t>
    </r>
    <r>
      <rPr>
        <b/>
        <sz val="10"/>
        <color rgb="FF0000FF"/>
        <rFont val="Arial"/>
        <family val="2"/>
      </rPr>
      <t>) Specifications</t>
    </r>
  </si>
  <si>
    <r>
      <t>F</t>
    </r>
    <r>
      <rPr>
        <b/>
        <vertAlign val="subscript"/>
        <sz val="10"/>
        <rFont val="Arial"/>
        <family val="2"/>
      </rPr>
      <t>P1</t>
    </r>
    <r>
      <rPr>
        <b/>
        <sz val="10"/>
        <rFont val="Arial"/>
        <family val="2"/>
      </rPr>
      <t xml:space="preserve">  </t>
    </r>
  </si>
  <si>
    <r>
      <t>F</t>
    </r>
    <r>
      <rPr>
        <b/>
        <vertAlign val="subscript"/>
        <sz val="10"/>
        <rFont val="Arial"/>
        <family val="2"/>
      </rPr>
      <t>P2</t>
    </r>
    <r>
      <rPr>
        <b/>
        <sz val="10"/>
        <rFont val="Arial"/>
        <family val="2"/>
      </rPr>
      <t xml:space="preserve">  </t>
    </r>
  </si>
  <si>
    <r>
      <t>F</t>
    </r>
    <r>
      <rPr>
        <b/>
        <vertAlign val="subscript"/>
        <sz val="10"/>
        <rFont val="Arial"/>
        <family val="2"/>
      </rPr>
      <t xml:space="preserve">Z1  </t>
    </r>
  </si>
  <si>
    <r>
      <t>F</t>
    </r>
    <r>
      <rPr>
        <b/>
        <vertAlign val="subscript"/>
        <sz val="10"/>
        <rFont val="Arial"/>
        <family val="2"/>
      </rPr>
      <t xml:space="preserve">Z2  </t>
    </r>
  </si>
  <si>
    <t>Ω</t>
  </si>
  <si>
    <t>** Inductor saturation current should be higher than the current limit setpoint at all operating temperatures **</t>
  </si>
  <si>
    <r>
      <rPr>
        <b/>
        <u/>
        <sz val="10"/>
        <rFont val="Arial"/>
        <family val="2"/>
      </rPr>
      <t>NOTES</t>
    </r>
    <r>
      <rPr>
        <b/>
        <sz val="10"/>
        <rFont val="Arial"/>
        <family val="2"/>
      </rPr>
      <t>:</t>
    </r>
  </si>
  <si>
    <t>Series resistance due to FETs</t>
  </si>
  <si>
    <t>Chosen Inductor Value</t>
  </si>
  <si>
    <t>Ripple Current after Chosen inductor (p-p)</t>
  </si>
  <si>
    <t>Chosen Crossover</t>
  </si>
  <si>
    <t>Output Resistance</t>
  </si>
  <si>
    <t>This zero is set at or below the double pole location</t>
  </si>
  <si>
    <r>
      <t>Inductor Ripple Current as a % of Max I</t>
    </r>
    <r>
      <rPr>
        <vertAlign val="subscript"/>
        <sz val="10"/>
        <rFont val="Arial"/>
        <family val="2"/>
      </rPr>
      <t>OUT</t>
    </r>
    <r>
      <rPr>
        <sz val="10"/>
        <rFont val="Arial"/>
        <family val="2"/>
      </rPr>
      <t xml:space="preserve"> </t>
    </r>
  </si>
  <si>
    <r>
      <t>On-State Resistance, R</t>
    </r>
    <r>
      <rPr>
        <b/>
        <vertAlign val="subscript"/>
        <sz val="10"/>
        <rFont val="Arial"/>
        <family val="2"/>
      </rPr>
      <t>DS(on)</t>
    </r>
    <r>
      <rPr>
        <b/>
        <sz val="10"/>
        <rFont val="Arial"/>
        <family val="2"/>
      </rPr>
      <t xml:space="preserve"> </t>
    </r>
  </si>
  <si>
    <r>
      <t>Total Gate Charge, Q</t>
    </r>
    <r>
      <rPr>
        <b/>
        <vertAlign val="subscript"/>
        <sz val="10"/>
        <rFont val="Arial"/>
        <family val="2"/>
      </rPr>
      <t>G</t>
    </r>
    <r>
      <rPr>
        <b/>
        <sz val="10"/>
        <rFont val="Arial"/>
        <family val="2"/>
      </rPr>
      <t xml:space="preserve"> </t>
    </r>
  </si>
  <si>
    <r>
      <t>Gate-Drain Charge, Q</t>
    </r>
    <r>
      <rPr>
        <b/>
        <vertAlign val="subscript"/>
        <sz val="10"/>
        <rFont val="Arial"/>
        <family val="2"/>
      </rPr>
      <t>GD</t>
    </r>
    <r>
      <rPr>
        <b/>
        <sz val="10"/>
        <rFont val="Arial"/>
        <family val="2"/>
      </rPr>
      <t xml:space="preserve"> </t>
    </r>
  </si>
  <si>
    <r>
      <t>Gate-Source Charge, Q</t>
    </r>
    <r>
      <rPr>
        <b/>
        <vertAlign val="subscript"/>
        <sz val="10"/>
        <rFont val="Arial"/>
        <family val="2"/>
      </rPr>
      <t>GS</t>
    </r>
    <r>
      <rPr>
        <b/>
        <sz val="10"/>
        <rFont val="Arial"/>
        <family val="2"/>
      </rPr>
      <t xml:space="preserve"> </t>
    </r>
  </si>
  <si>
    <r>
      <t>Gate Resistance, R</t>
    </r>
    <r>
      <rPr>
        <b/>
        <vertAlign val="subscript"/>
        <sz val="10"/>
        <rFont val="Arial"/>
        <family val="2"/>
      </rPr>
      <t>G</t>
    </r>
    <r>
      <rPr>
        <b/>
        <sz val="10"/>
        <rFont val="Arial"/>
        <family val="2"/>
      </rPr>
      <t xml:space="preserve"> </t>
    </r>
  </si>
  <si>
    <r>
      <t>Transconductance, g</t>
    </r>
    <r>
      <rPr>
        <b/>
        <vertAlign val="subscript"/>
        <sz val="10"/>
        <rFont val="Arial"/>
        <family val="2"/>
      </rPr>
      <t>FS</t>
    </r>
    <r>
      <rPr>
        <b/>
        <sz val="10"/>
        <rFont val="Arial"/>
        <family val="2"/>
      </rPr>
      <t xml:space="preserve"> </t>
    </r>
  </si>
  <si>
    <r>
      <t>Thermal Resistance, θ</t>
    </r>
    <r>
      <rPr>
        <b/>
        <vertAlign val="subscript"/>
        <sz val="10"/>
        <rFont val="Arial"/>
        <family val="2"/>
      </rPr>
      <t>JA</t>
    </r>
    <r>
      <rPr>
        <b/>
        <sz val="10"/>
        <rFont val="Arial"/>
        <family val="2"/>
      </rPr>
      <t xml:space="preserve"> </t>
    </r>
  </si>
  <si>
    <r>
      <t>Body Diode Recovery Charge, Q</t>
    </r>
    <r>
      <rPr>
        <b/>
        <vertAlign val="subscript"/>
        <sz val="10"/>
        <rFont val="Arial"/>
        <family val="2"/>
      </rPr>
      <t>RR</t>
    </r>
    <r>
      <rPr>
        <b/>
        <sz val="10"/>
        <rFont val="Arial"/>
        <family val="2"/>
      </rPr>
      <t xml:space="preserve"> </t>
    </r>
  </si>
  <si>
    <r>
      <t>Body Diode Forward Voltage, V</t>
    </r>
    <r>
      <rPr>
        <b/>
        <vertAlign val="subscript"/>
        <sz val="10"/>
        <rFont val="Arial"/>
        <family val="2"/>
      </rPr>
      <t>BD2</t>
    </r>
    <r>
      <rPr>
        <b/>
        <sz val="10"/>
        <rFont val="Arial"/>
        <family val="2"/>
      </rPr>
      <t xml:space="preserve"> </t>
    </r>
  </si>
  <si>
    <r>
      <t>Body Diode Forward Voltage, V</t>
    </r>
    <r>
      <rPr>
        <b/>
        <vertAlign val="subscript"/>
        <sz val="10"/>
        <rFont val="Arial"/>
        <family val="2"/>
      </rPr>
      <t>BD1</t>
    </r>
    <r>
      <rPr>
        <b/>
        <sz val="10"/>
        <rFont val="Arial"/>
        <family val="2"/>
      </rPr>
      <t xml:space="preserve"> </t>
    </r>
  </si>
  <si>
    <t>Peak-to-Peak Ramp Voltage of PWM</t>
  </si>
  <si>
    <t>%/°C</t>
  </si>
  <si>
    <t>1nF</t>
  </si>
  <si>
    <r>
      <t>Step 3: R</t>
    </r>
    <r>
      <rPr>
        <b/>
        <vertAlign val="subscript"/>
        <sz val="12"/>
        <color indexed="12"/>
        <rFont val="Arial"/>
        <family val="2"/>
      </rPr>
      <t>DS(on)</t>
    </r>
    <r>
      <rPr>
        <b/>
        <sz val="12"/>
        <color indexed="12"/>
        <rFont val="Arial"/>
        <family val="2"/>
      </rPr>
      <t xml:space="preserve"> or Shunt-Based Current Limit</t>
    </r>
  </si>
  <si>
    <r>
      <t>Maximum Output Current, I</t>
    </r>
    <r>
      <rPr>
        <b/>
        <vertAlign val="subscript"/>
        <sz val="10"/>
        <color theme="1"/>
        <rFont val="Arial"/>
        <family val="2"/>
      </rPr>
      <t>OUT</t>
    </r>
    <r>
      <rPr>
        <b/>
        <sz val="10"/>
        <color theme="1"/>
        <rFont val="Arial"/>
        <family val="2"/>
      </rPr>
      <t xml:space="preserve"> </t>
    </r>
  </si>
  <si>
    <r>
      <t>Output Voltage, V</t>
    </r>
    <r>
      <rPr>
        <b/>
        <vertAlign val="subscript"/>
        <sz val="10"/>
        <color theme="1"/>
        <rFont val="Arial"/>
        <family val="2"/>
      </rPr>
      <t>OUT</t>
    </r>
    <r>
      <rPr>
        <b/>
        <sz val="10"/>
        <color theme="1"/>
        <rFont val="Arial"/>
        <family val="2"/>
      </rPr>
      <t xml:space="preserve"> </t>
    </r>
  </si>
  <si>
    <r>
      <t>Frequency Set Resistor, R</t>
    </r>
    <r>
      <rPr>
        <vertAlign val="subscript"/>
        <sz val="10"/>
        <rFont val="Arial"/>
        <family val="2"/>
      </rPr>
      <t>RT</t>
    </r>
    <r>
      <rPr>
        <sz val="10"/>
        <rFont val="Arial"/>
        <family val="2"/>
      </rPr>
      <t xml:space="preserve"> </t>
    </r>
  </si>
  <si>
    <r>
      <t>Min Inductor Sat Current, I</t>
    </r>
    <r>
      <rPr>
        <vertAlign val="subscript"/>
        <sz val="10"/>
        <rFont val="Arial"/>
        <family val="2"/>
      </rPr>
      <t>L(SAT)</t>
    </r>
  </si>
  <si>
    <r>
      <t>Pk-to-Pk Ripple Current at V</t>
    </r>
    <r>
      <rPr>
        <vertAlign val="subscript"/>
        <sz val="10"/>
        <rFont val="Arial"/>
        <family val="2"/>
      </rPr>
      <t>IN(nom)</t>
    </r>
    <r>
      <rPr>
        <sz val="10"/>
        <rFont val="Arial"/>
        <family val="2"/>
      </rPr>
      <t xml:space="preserve">, </t>
    </r>
    <r>
      <rPr>
        <sz val="10"/>
        <rFont val="Symbol"/>
        <family val="1"/>
        <charset val="2"/>
      </rPr>
      <t>D</t>
    </r>
    <r>
      <rPr>
        <sz val="10"/>
        <rFont val="Arial"/>
        <family val="2"/>
      </rPr>
      <t>I</t>
    </r>
    <r>
      <rPr>
        <vertAlign val="subscript"/>
        <sz val="10"/>
        <rFont val="Arial"/>
        <family val="2"/>
      </rPr>
      <t>L</t>
    </r>
  </si>
  <si>
    <r>
      <t>Input Voltage ‒ Min, V</t>
    </r>
    <r>
      <rPr>
        <b/>
        <vertAlign val="subscript"/>
        <sz val="10"/>
        <color theme="1"/>
        <rFont val="Arial"/>
        <family val="2"/>
      </rPr>
      <t>IN(min)</t>
    </r>
    <r>
      <rPr>
        <b/>
        <sz val="10"/>
        <color theme="1"/>
        <rFont val="Arial"/>
        <family val="2"/>
      </rPr>
      <t xml:space="preserve"> </t>
    </r>
  </si>
  <si>
    <r>
      <t>Input Voltage ‒ Nom, V</t>
    </r>
    <r>
      <rPr>
        <b/>
        <vertAlign val="subscript"/>
        <sz val="10"/>
        <color theme="1"/>
        <rFont val="Arial"/>
        <family val="2"/>
      </rPr>
      <t>IN(nom)</t>
    </r>
    <r>
      <rPr>
        <b/>
        <sz val="10"/>
        <color theme="1"/>
        <rFont val="Arial"/>
        <family val="2"/>
      </rPr>
      <t xml:space="preserve"> </t>
    </r>
  </si>
  <si>
    <r>
      <t>Input Voltage ‒ Max, V</t>
    </r>
    <r>
      <rPr>
        <b/>
        <vertAlign val="subscript"/>
        <sz val="10"/>
        <color theme="1"/>
        <rFont val="Arial"/>
        <family val="2"/>
      </rPr>
      <t>IN(max)</t>
    </r>
    <r>
      <rPr>
        <b/>
        <sz val="10"/>
        <color theme="1"/>
        <rFont val="Arial"/>
        <family val="2"/>
      </rPr>
      <t xml:space="preserve"> </t>
    </r>
  </si>
  <si>
    <t>1 = Yes, 2 = No</t>
  </si>
  <si>
    <t>R_RT</t>
  </si>
  <si>
    <t>Vinmax</t>
  </si>
  <si>
    <t>Vinmin</t>
  </si>
  <si>
    <t>Doff_Vinmax</t>
  </si>
  <si>
    <t>Don_Vinmax</t>
  </si>
  <si>
    <t>Min input voltage</t>
  </si>
  <si>
    <t>Max input voltage</t>
  </si>
  <si>
    <t>Chosen current limit level - valley current</t>
  </si>
  <si>
    <t>Current Limit Current Source - Rdson sensing</t>
  </si>
  <si>
    <t>Current Limit Current Source - shunt sensing</t>
  </si>
  <si>
    <t>Rshunt</t>
  </si>
  <si>
    <t>Standard value current limit set resistor</t>
  </si>
  <si>
    <t>Ideal Rset for the chosen current limit</t>
  </si>
  <si>
    <r>
      <t>Current Limit Set Resistor, R</t>
    </r>
    <r>
      <rPr>
        <vertAlign val="subscript"/>
        <sz val="10"/>
        <rFont val="Arial"/>
        <family val="2"/>
      </rPr>
      <t>ILIM</t>
    </r>
    <r>
      <rPr>
        <sz val="10"/>
        <rFont val="Arial"/>
        <family val="2"/>
      </rPr>
      <t xml:space="preserve"> </t>
    </r>
  </si>
  <si>
    <t>Power dissipation in the shunt</t>
  </si>
  <si>
    <t>Rilim_shunt_ideal</t>
  </si>
  <si>
    <t>Ilim1</t>
  </si>
  <si>
    <t>Ilim2</t>
  </si>
  <si>
    <t>Rilim_Rdson_ideal</t>
  </si>
  <si>
    <t>Rilim_Rdson</t>
  </si>
  <si>
    <t>Rilim_shunt</t>
  </si>
  <si>
    <r>
      <t>Power Loss in R</t>
    </r>
    <r>
      <rPr>
        <vertAlign val="subscript"/>
        <sz val="10"/>
        <color theme="1"/>
        <rFont val="Arial"/>
        <family val="2"/>
      </rPr>
      <t>S</t>
    </r>
    <r>
      <rPr>
        <sz val="10"/>
        <color theme="1"/>
        <rFont val="Arial"/>
        <family val="2"/>
      </rPr>
      <t xml:space="preserve"> at Full Load, Max V</t>
    </r>
    <r>
      <rPr>
        <vertAlign val="subscript"/>
        <sz val="10"/>
        <color theme="1"/>
        <rFont val="Arial"/>
        <family val="2"/>
      </rPr>
      <t>IN</t>
    </r>
  </si>
  <si>
    <r>
      <t>UVLO Upper Resistor, R</t>
    </r>
    <r>
      <rPr>
        <vertAlign val="subscript"/>
        <sz val="10"/>
        <rFont val="Arial"/>
        <family val="2"/>
      </rPr>
      <t>UV1</t>
    </r>
  </si>
  <si>
    <r>
      <t>UVLO Lower Resistor, R</t>
    </r>
    <r>
      <rPr>
        <vertAlign val="subscript"/>
        <sz val="10"/>
        <rFont val="Arial"/>
        <family val="2"/>
      </rPr>
      <t>UV2</t>
    </r>
  </si>
  <si>
    <r>
      <t>Upper Feedback Resistor, R</t>
    </r>
    <r>
      <rPr>
        <b/>
        <vertAlign val="subscript"/>
        <sz val="10"/>
        <rFont val="Arial"/>
        <family val="2"/>
      </rPr>
      <t xml:space="preserve">FB1 </t>
    </r>
  </si>
  <si>
    <r>
      <t>Lower Feedback Resistor, R</t>
    </r>
    <r>
      <rPr>
        <vertAlign val="subscript"/>
        <sz val="10"/>
        <rFont val="Arial"/>
        <family val="2"/>
      </rPr>
      <t>FB2</t>
    </r>
    <r>
      <rPr>
        <sz val="10"/>
        <rFont val="Arial"/>
        <family val="2"/>
      </rPr>
      <t xml:space="preserve"> </t>
    </r>
  </si>
  <si>
    <t>Rilim</t>
  </si>
  <si>
    <r>
      <t>R</t>
    </r>
    <r>
      <rPr>
        <vertAlign val="subscript"/>
        <sz val="10"/>
        <rFont val="Arial"/>
        <family val="2"/>
      </rPr>
      <t>DS(on)</t>
    </r>
    <r>
      <rPr>
        <sz val="10"/>
        <rFont val="Arial"/>
        <family val="2"/>
      </rPr>
      <t xml:space="preserve"> sensing</t>
    </r>
  </si>
  <si>
    <t>Shunt sensing</t>
  </si>
  <si>
    <r>
      <t>Shunt, R</t>
    </r>
    <r>
      <rPr>
        <b/>
        <vertAlign val="subscript"/>
        <sz val="10"/>
        <color theme="1"/>
        <rFont val="Arial"/>
        <family val="2"/>
      </rPr>
      <t>S</t>
    </r>
  </si>
  <si>
    <t>Ilsat</t>
  </si>
  <si>
    <r>
      <t>C</t>
    </r>
    <r>
      <rPr>
        <vertAlign val="subscript"/>
        <sz val="10"/>
        <rFont val="Arial"/>
        <family val="2"/>
      </rPr>
      <t>VCC</t>
    </r>
  </si>
  <si>
    <r>
      <t>C</t>
    </r>
    <r>
      <rPr>
        <vertAlign val="subscript"/>
        <sz val="10"/>
        <rFont val="Arial"/>
        <family val="2"/>
      </rPr>
      <t>BOOT</t>
    </r>
  </si>
  <si>
    <r>
      <t>R</t>
    </r>
    <r>
      <rPr>
        <vertAlign val="subscript"/>
        <sz val="10"/>
        <rFont val="Arial"/>
        <family val="2"/>
      </rPr>
      <t>ILIM</t>
    </r>
  </si>
  <si>
    <r>
      <t>R</t>
    </r>
    <r>
      <rPr>
        <vertAlign val="subscript"/>
        <sz val="10"/>
        <rFont val="Arial"/>
        <family val="2"/>
      </rPr>
      <t>RT</t>
    </r>
  </si>
  <si>
    <t>DC Current Limit Setpoint</t>
  </si>
  <si>
    <t xml:space="preserve">     kHz</t>
  </si>
  <si>
    <t>Step 6: Soft-start, UVLO</t>
  </si>
  <si>
    <t>Input Voltage UVLO Turn-On</t>
  </si>
  <si>
    <t>Input Voltage UVLO Turn-Off</t>
  </si>
  <si>
    <r>
      <t>Soft-Start Time, t</t>
    </r>
    <r>
      <rPr>
        <b/>
        <vertAlign val="subscript"/>
        <sz val="10"/>
        <color theme="1"/>
        <rFont val="Arial"/>
        <family val="2"/>
      </rPr>
      <t>SS</t>
    </r>
    <r>
      <rPr>
        <b/>
        <sz val="10"/>
        <color theme="1"/>
        <rFont val="Arial"/>
        <family val="2"/>
      </rPr>
      <t xml:space="preserve"> </t>
    </r>
  </si>
  <si>
    <r>
      <t>Soft-Start Capacitance, C</t>
    </r>
    <r>
      <rPr>
        <vertAlign val="subscript"/>
        <sz val="10"/>
        <rFont val="Arial"/>
        <family val="2"/>
      </rPr>
      <t>SS</t>
    </r>
    <r>
      <rPr>
        <sz val="10"/>
        <rFont val="Arial"/>
        <family val="2"/>
      </rPr>
      <t xml:space="preserve"> </t>
    </r>
  </si>
  <si>
    <t>Vcc</t>
  </si>
  <si>
    <t>Shunt</t>
  </si>
  <si>
    <t>Shunt Loss (if applicable)</t>
  </si>
  <si>
    <r>
      <t>m</t>
    </r>
    <r>
      <rPr>
        <sz val="10"/>
        <rFont val="Symbol"/>
        <family val="1"/>
        <charset val="2"/>
      </rPr>
      <t>W</t>
    </r>
  </si>
  <si>
    <t>ppm/°C</t>
  </si>
  <si>
    <t>Subregulated VCC rail</t>
  </si>
  <si>
    <r>
      <t>Free-running Switching Frequency, F</t>
    </r>
    <r>
      <rPr>
        <b/>
        <vertAlign val="subscript"/>
        <sz val="10"/>
        <color theme="1"/>
        <rFont val="Arial"/>
        <family val="2"/>
      </rPr>
      <t>SW</t>
    </r>
  </si>
  <si>
    <r>
      <t>SYNC Frequency (if used), F</t>
    </r>
    <r>
      <rPr>
        <b/>
        <vertAlign val="subscript"/>
        <sz val="10"/>
        <color theme="1"/>
        <rFont val="Arial"/>
        <family val="2"/>
      </rPr>
      <t>SW-SYNC</t>
    </r>
  </si>
  <si>
    <t>VQFN-20</t>
  </si>
  <si>
    <t>6.3V</t>
  </si>
  <si>
    <t>Vout&lt;=8V</t>
  </si>
  <si>
    <t>10V</t>
  </si>
  <si>
    <t>Vout&lt;=12V</t>
  </si>
  <si>
    <t>16V</t>
  </si>
  <si>
    <t>Vout&lt;=20V</t>
  </si>
  <si>
    <t>25V</t>
  </si>
  <si>
    <t>50V</t>
  </si>
  <si>
    <t>Cout Voltage Rating</t>
  </si>
  <si>
    <t>0402</t>
  </si>
  <si>
    <t>1.0 x 0.5</t>
  </si>
  <si>
    <t>1.6 x 0.8</t>
  </si>
  <si>
    <t>0805</t>
  </si>
  <si>
    <t>2.0 x 1.25</t>
  </si>
  <si>
    <t>1206</t>
  </si>
  <si>
    <t>3.2 x 1.6</t>
  </si>
  <si>
    <t>1210</t>
  </si>
  <si>
    <t>3.2 x 2.5</t>
  </si>
  <si>
    <t>Component Size</t>
  </si>
  <si>
    <t>3mm x 3mm</t>
  </si>
  <si>
    <t>3.0 x 3.0</t>
  </si>
  <si>
    <t>4mm x 4mm</t>
  </si>
  <si>
    <t>4.0 x 4.0</t>
  </si>
  <si>
    <t>5mm x 5mm</t>
  </si>
  <si>
    <t>5.0 x 5.0</t>
  </si>
  <si>
    <t>6mm x 6mm</t>
  </si>
  <si>
    <t>6.0 x 6.0</t>
  </si>
  <si>
    <t>7mm x 7mm</t>
  </si>
  <si>
    <t>7.0 x 7.0</t>
  </si>
  <si>
    <t>Inductor Size</t>
  </si>
  <si>
    <t>Vout&lt;=42V</t>
  </si>
  <si>
    <t>Vout&lt;60V</t>
  </si>
  <si>
    <t>100V</t>
  </si>
  <si>
    <t>Current Sensing</t>
  </si>
  <si>
    <t>MOSFET package</t>
  </si>
  <si>
    <t>8mm x 8mm</t>
  </si>
  <si>
    <t>8.0 x 8.0</t>
  </si>
  <si>
    <t>10mm x 10mm</t>
  </si>
  <si>
    <t>10.0 x 10.0</t>
  </si>
  <si>
    <t>12mm x 12mm</t>
  </si>
  <si>
    <t>12.0 x 12.0</t>
  </si>
  <si>
    <t>Cin Voltage Rating</t>
  </si>
  <si>
    <t>Vin(max)&lt;=8V</t>
  </si>
  <si>
    <t>Vin(max)&lt;=12V</t>
  </si>
  <si>
    <t>Vin(max)&lt;=20V</t>
  </si>
  <si>
    <t>Vin(max)&lt;=42V</t>
  </si>
  <si>
    <t>Vin(max)&lt;100V</t>
  </si>
  <si>
    <t>Footprint (mm)</t>
  </si>
  <si>
    <r>
      <t>Area (mm</t>
    </r>
    <r>
      <rPr>
        <b/>
        <vertAlign val="superscript"/>
        <sz val="10"/>
        <color theme="0"/>
        <rFont val="Arial"/>
        <family val="2"/>
      </rPr>
      <t>2</t>
    </r>
    <r>
      <rPr>
        <b/>
        <sz val="10"/>
        <color theme="0"/>
        <rFont val="Arial"/>
        <family val="2"/>
      </rPr>
      <t>)</t>
    </r>
  </si>
  <si>
    <t>Total Solution Size (buffered by 25%)</t>
  </si>
  <si>
    <r>
      <t>mm</t>
    </r>
    <r>
      <rPr>
        <b/>
        <vertAlign val="superscript"/>
        <sz val="12"/>
        <color rgb="FFFF0000"/>
        <rFont val="Arial"/>
        <family val="2"/>
      </rPr>
      <t>2</t>
    </r>
    <r>
      <rPr>
        <b/>
        <sz val="12"/>
        <color rgb="FFFF0000"/>
        <rFont val="Arial"/>
        <family val="2"/>
      </rPr>
      <t xml:space="preserve">  =</t>
    </r>
  </si>
  <si>
    <r>
      <t>in</t>
    </r>
    <r>
      <rPr>
        <b/>
        <vertAlign val="superscript"/>
        <sz val="12"/>
        <color rgb="FFFF0000"/>
        <rFont val="Arial"/>
        <family val="2"/>
      </rPr>
      <t>2</t>
    </r>
  </si>
  <si>
    <t>5.0 x 6.0</t>
  </si>
  <si>
    <t>3.3 x 3.3</t>
  </si>
  <si>
    <t>15.0 x 10.0</t>
  </si>
  <si>
    <t>SON 5 x 6</t>
  </si>
  <si>
    <t>SON 3 x 3</t>
  </si>
  <si>
    <t>DPAK, TO-252</t>
  </si>
  <si>
    <t>D2PAK, TO-263</t>
  </si>
  <si>
    <t>10.0 x 6.6</t>
  </si>
  <si>
    <t>Don_Vinmin</t>
  </si>
  <si>
    <t>Doff_Vinmin</t>
  </si>
  <si>
    <t>Don2_Vinmin</t>
  </si>
  <si>
    <t>Doff2_Vinmin</t>
  </si>
  <si>
    <t>Don2_Vinmax</t>
  </si>
  <si>
    <t>Doff2_Vinmax</t>
  </si>
  <si>
    <t>Toff at Vin-min</t>
  </si>
  <si>
    <t>Ton at Vin-max</t>
  </si>
  <si>
    <t>Full-load/high line efficiency</t>
  </si>
  <si>
    <t>Half-load/mid-line efficiency</t>
  </si>
  <si>
    <t>Vout_actual</t>
  </si>
  <si>
    <t>Actual VOUT</t>
  </si>
  <si>
    <t>** Tie SYNCIN to VCC and GND for CCM and DCM operation, respectively **</t>
  </si>
  <si>
    <t>Cilim</t>
  </si>
  <si>
    <t>Cilim_ideal</t>
  </si>
  <si>
    <t>&gt; specify shunt on schematic</t>
  </si>
  <si>
    <t>&gt; specify ILIM cap</t>
  </si>
  <si>
    <t>Choose cap for 6ns time constant</t>
  </si>
  <si>
    <t>Calculated Lower Feedback Resistor</t>
  </si>
  <si>
    <t>Lower Feedback Resistor</t>
  </si>
  <si>
    <r>
      <t>Actual Output Voltage, V</t>
    </r>
    <r>
      <rPr>
        <vertAlign val="subscript"/>
        <sz val="10"/>
        <color theme="1"/>
        <rFont val="Arial"/>
        <family val="2"/>
      </rPr>
      <t>OUT</t>
    </r>
    <r>
      <rPr>
        <sz val="10"/>
        <color theme="1"/>
        <rFont val="Arial"/>
        <family val="2"/>
      </rPr>
      <t xml:space="preserve"> </t>
    </r>
  </si>
  <si>
    <t>VIN_range</t>
  </si>
  <si>
    <r>
      <t>Wide V</t>
    </r>
    <r>
      <rPr>
        <b/>
        <vertAlign val="subscript"/>
        <sz val="16"/>
        <rFont val="Arial"/>
        <family val="2"/>
      </rPr>
      <t>IN</t>
    </r>
    <r>
      <rPr>
        <b/>
        <sz val="16"/>
        <rFont val="Arial"/>
        <family val="2"/>
      </rPr>
      <t>, High Efficiency Synchronous Buck Regulator BOM</t>
    </r>
  </si>
  <si>
    <t>Fsw_freerunning</t>
  </si>
  <si>
    <t>Free-running switching frequency</t>
  </si>
  <si>
    <r>
      <t xml:space="preserve">** Effective output capacitance should be appropriately </t>
    </r>
    <r>
      <rPr>
        <b/>
        <sz val="10"/>
        <rFont val="Arial"/>
        <family val="2"/>
      </rPr>
      <t>derated</t>
    </r>
    <r>
      <rPr>
        <sz val="10"/>
        <rFont val="Arial"/>
        <family val="2"/>
      </rPr>
      <t xml:space="preserve"> for applied voltage and temperature, particularly with </t>
    </r>
    <r>
      <rPr>
        <b/>
        <sz val="10"/>
        <rFont val="Arial"/>
        <family val="2"/>
      </rPr>
      <t>ceramics</t>
    </r>
    <r>
      <rPr>
        <sz val="10"/>
        <rFont val="Arial"/>
        <family val="2"/>
      </rPr>
      <t xml:space="preserve"> **</t>
    </r>
  </si>
  <si>
    <t>3.5 x 4.5 x 1.0</t>
  </si>
  <si>
    <t>Cout Capacitance</t>
  </si>
  <si>
    <t>Quantity: 1</t>
  </si>
  <si>
    <t>Quantity: 2</t>
  </si>
  <si>
    <r>
      <t>C</t>
    </r>
    <r>
      <rPr>
        <vertAlign val="subscript"/>
        <sz val="10"/>
        <rFont val="Arial"/>
        <family val="2"/>
      </rPr>
      <t>S</t>
    </r>
  </si>
  <si>
    <r>
      <t>Output Charge, Q</t>
    </r>
    <r>
      <rPr>
        <b/>
        <vertAlign val="subscript"/>
        <sz val="10"/>
        <rFont val="Arial"/>
        <family val="2"/>
      </rPr>
      <t>OSS</t>
    </r>
    <r>
      <rPr>
        <b/>
        <sz val="10"/>
        <rFont val="Arial"/>
        <family val="2"/>
      </rPr>
      <t xml:space="preserve"> </t>
    </r>
  </si>
  <si>
    <r>
      <rPr>
        <sz val="10"/>
        <rFont val="Symbol"/>
        <family val="1"/>
        <charset val="2"/>
      </rPr>
      <t>°</t>
    </r>
    <r>
      <rPr>
        <sz val="10"/>
        <rFont val="Arial"/>
        <family val="2"/>
      </rPr>
      <t>C</t>
    </r>
  </si>
  <si>
    <r>
      <rPr>
        <sz val="10"/>
        <rFont val="Symbol"/>
        <family val="1"/>
        <charset val="2"/>
      </rPr>
      <t>°</t>
    </r>
    <r>
      <rPr>
        <sz val="10"/>
        <rFont val="Arial"/>
        <family val="2"/>
      </rPr>
      <t>C/W</t>
    </r>
  </si>
  <si>
    <t>Gate to Source Charge</t>
  </si>
  <si>
    <t>QossBot</t>
  </si>
  <si>
    <t>Output Charge Of Bottom FET</t>
  </si>
  <si>
    <t>Gate Charge Of Bottom FET</t>
  </si>
  <si>
    <r>
      <t>Output Capacitance, C</t>
    </r>
    <r>
      <rPr>
        <b/>
        <vertAlign val="subscript"/>
        <sz val="10"/>
        <rFont val="Arial"/>
        <family val="2"/>
      </rPr>
      <t>OSS</t>
    </r>
    <r>
      <rPr>
        <b/>
        <sz val="10"/>
        <rFont val="Arial"/>
        <family val="2"/>
      </rPr>
      <t xml:space="preserve"> </t>
    </r>
  </si>
  <si>
    <t>Output Capacitance Of Bottom FET</t>
  </si>
  <si>
    <t>CossBot</t>
  </si>
  <si>
    <t>CossTop</t>
  </si>
  <si>
    <t>Output Capacitance of High-side FET</t>
  </si>
  <si>
    <t>Gate Resistance of High-side FET</t>
  </si>
  <si>
    <t>MOSFET Output Capacitance Loss</t>
  </si>
  <si>
    <t>Step 4: Output Capacitance</t>
  </si>
  <si>
    <t>Step 5: Input Capacitance</t>
  </si>
  <si>
    <t xml:space="preserve"> If the SYNC feature is not required, connect SYNCIN to GND</t>
  </si>
  <si>
    <t xml:space="preserve"> Pole &amp; Zero Placement</t>
  </si>
  <si>
    <r>
      <t>Total Output Capacitance (Derated), C</t>
    </r>
    <r>
      <rPr>
        <b/>
        <vertAlign val="subscript"/>
        <sz val="10"/>
        <rFont val="Arial"/>
        <family val="2"/>
      </rPr>
      <t>OUT</t>
    </r>
    <r>
      <rPr>
        <b/>
        <sz val="10"/>
        <rFont val="Arial"/>
        <family val="2"/>
      </rPr>
      <t xml:space="preserve"> </t>
    </r>
  </si>
  <si>
    <r>
      <t>Total Input Capacitance (Derated), C</t>
    </r>
    <r>
      <rPr>
        <b/>
        <vertAlign val="subscript"/>
        <sz val="10"/>
        <color theme="1"/>
        <rFont val="Arial"/>
        <family val="2"/>
      </rPr>
      <t>IN</t>
    </r>
    <r>
      <rPr>
        <b/>
        <sz val="10"/>
        <color theme="1"/>
        <rFont val="Arial"/>
        <family val="2"/>
      </rPr>
      <t xml:space="preserve"> </t>
    </r>
  </si>
  <si>
    <t>Vout&lt;5V</t>
  </si>
  <si>
    <t>SW node voltage at Q1 turn-on</t>
  </si>
  <si>
    <t>Peak Inductor Current</t>
  </si>
  <si>
    <t>Valley Inductor Current</t>
  </si>
  <si>
    <t>Transitional Loss (not including capacitive loss)</t>
  </si>
  <si>
    <t>Total Bottom FET Diss/Loss</t>
  </si>
  <si>
    <t>LM5146-Q1</t>
  </si>
  <si>
    <t>LM5146-Q1-EVM12V</t>
  </si>
  <si>
    <t>x</t>
  </si>
  <si>
    <t xml:space="preserve">                          LM(2)5145/46-Q1 DC-DC Controller Design Tool</t>
  </si>
  <si>
    <t xml:space="preserve"> LM(2)5145/6/-Q1 Quickstart Calculator</t>
  </si>
  <si>
    <t>VARIANT</t>
  </si>
  <si>
    <t>VIN-MAX</t>
  </si>
  <si>
    <t>VOUT-MAX</t>
  </si>
  <si>
    <t>LM5145</t>
  </si>
  <si>
    <t>LM5145-Q1</t>
  </si>
  <si>
    <t>LM25145</t>
  </si>
  <si>
    <t>LM5146</t>
  </si>
  <si>
    <t>VIN-MIN</t>
  </si>
  <si>
    <t>LM5145EVM-HD-20A PCB Layout</t>
  </si>
  <si>
    <t>Top</t>
  </si>
  <si>
    <t>Layer</t>
  </si>
  <si>
    <t>Layer 2</t>
  </si>
  <si>
    <t>Layer 3</t>
  </si>
  <si>
    <t>Bottom</t>
  </si>
  <si>
    <t>No External VCC</t>
  </si>
  <si>
    <t>Ext_VCC</t>
  </si>
  <si>
    <t>Step 9: IC Power Loss</t>
  </si>
  <si>
    <t>IC Power Dissipation</t>
  </si>
  <si>
    <t>IC Junction Temperature Rise (est)</t>
  </si>
  <si>
    <t>External VCC Applied</t>
  </si>
  <si>
    <r>
      <t>Gate-Source Plateau Voltage, V</t>
    </r>
    <r>
      <rPr>
        <b/>
        <vertAlign val="subscript"/>
        <sz val="10"/>
        <rFont val="Arial"/>
        <family val="2"/>
      </rPr>
      <t>GS(MP)</t>
    </r>
    <r>
      <rPr>
        <b/>
        <sz val="10"/>
        <rFont val="Arial"/>
        <family val="2"/>
      </rPr>
      <t xml:space="preserve"> </t>
    </r>
  </si>
  <si>
    <r>
      <t>Estimate Core Loss at V</t>
    </r>
    <r>
      <rPr>
        <b/>
        <vertAlign val="subscript"/>
        <sz val="10"/>
        <rFont val="Arial"/>
        <family val="2"/>
      </rPr>
      <t>IN(nom)</t>
    </r>
  </si>
  <si>
    <t>CSD19538Q3A</t>
  </si>
  <si>
    <t>NVMFS6B14NL</t>
  </si>
  <si>
    <r>
      <t>Inductance, L</t>
    </r>
    <r>
      <rPr>
        <b/>
        <vertAlign val="subscript"/>
        <sz val="10"/>
        <color theme="1"/>
        <rFont val="Arial"/>
        <family val="2"/>
      </rPr>
      <t>O</t>
    </r>
    <r>
      <rPr>
        <b/>
        <sz val="10"/>
        <color theme="1"/>
        <rFont val="Arial"/>
        <family val="2"/>
      </rPr>
      <t xml:space="preserve"> </t>
    </r>
  </si>
  <si>
    <r>
      <t>L</t>
    </r>
    <r>
      <rPr>
        <vertAlign val="subscript"/>
        <sz val="10"/>
        <rFont val="Arial"/>
        <family val="2"/>
      </rPr>
      <t>O</t>
    </r>
  </si>
  <si>
    <r>
      <t>mV</t>
    </r>
    <r>
      <rPr>
        <vertAlign val="subscript"/>
        <sz val="10"/>
        <rFont val="Arial"/>
        <family val="2"/>
      </rPr>
      <t>PK-PK</t>
    </r>
  </si>
  <si>
    <r>
      <t>A</t>
    </r>
    <r>
      <rPr>
        <vertAlign val="subscript"/>
        <sz val="10"/>
        <rFont val="Arial"/>
        <family val="2"/>
      </rPr>
      <t>RMS</t>
    </r>
  </si>
  <si>
    <r>
      <t>A</t>
    </r>
    <r>
      <rPr>
        <vertAlign val="subscript"/>
        <sz val="10"/>
        <rFont val="Arial"/>
        <family val="2"/>
      </rPr>
      <t>PK-PK</t>
    </r>
  </si>
  <si>
    <r>
      <t>mV</t>
    </r>
    <r>
      <rPr>
        <b/>
        <vertAlign val="subscript"/>
        <sz val="10"/>
        <rFont val="Arial"/>
        <family val="2"/>
      </rPr>
      <t>PK-PK</t>
    </r>
  </si>
  <si>
    <t xml:space="preserve"> or VCC for diode emulation or FPWM modes, respectively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</si>
</sst>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164" formatCode="_(* #,##0.00_);_(* \(#,##0.00\);_(* &quot;-&quot;??_);_(@_)"/>
    <numFmt numFmtId="165" formatCode="0.00000"/>
    <numFmt numFmtId="166" formatCode="0.0000"/>
    <numFmt numFmtId="167" formatCode="0.000"/>
    <numFmt numFmtId="168" formatCode="0.0"/>
    <numFmt numFmtId="169" formatCode="0.000E+00"/>
    <numFmt numFmtId="170" formatCode="0.00000000"/>
    <numFmt numFmtId="171" formatCode="0.000000000"/>
    <numFmt numFmtId="172" formatCode="#0.0#"/>
    <numFmt numFmtId="173" formatCode="General&quot;nF&quot;"/>
    <numFmt numFmtId="174" formatCode="General&quot;k&quot;"/>
    <numFmt numFmtId="175" formatCode="General&quot;pF&quot;"/>
    <numFmt numFmtId="176" formatCode="General&quot;µF&quot;"/>
    <numFmt numFmtId="177" formatCode="General&quot;µH&quot;"/>
    <numFmt numFmtId="178" formatCode="&quot;MOSFET, N-CH, 100V, &quot;General&quot;mΩ&quot;"/>
    <numFmt numFmtId="179" formatCode="General&quot;mΩ&quot;"/>
    <numFmt numFmtId="180" formatCode="&quot;Capacitor, Ceramic, &quot;General&quot;pF, 50V, NP0, 5%&quot;"/>
    <numFmt numFmtId="181" formatCode="&quot;Capacitor, Ceramic, &quot;General&quot;pF, 16V, X7R, 10%&quot;"/>
    <numFmt numFmtId="182" formatCode="&quot;Capacitor, Ceramic, &quot;General&quot;µF, 25V, X7R, 20%&quot;"/>
    <numFmt numFmtId="183" formatCode="&quot;Capacitor, Ceramic, &quot;General&quot;nF, 16V, X7R, 10%&quot;"/>
    <numFmt numFmtId="184" formatCode="&quot;Capacitor, Ceramic, &quot;General&quot;µF, 50V, X7R, 20%&quot;"/>
    <numFmt numFmtId="185" formatCode="&quot;Resistor, Chip, &quot;General&quot;kΩ, 1/16W, 1%&quot;"/>
    <numFmt numFmtId="186" formatCode="&quot;Resistor, Chip, &quot;General&quot;Ω, 1/16W, 1%&quot;"/>
    <numFmt numFmtId="187" formatCode="&quot;Resistor, &quot;General&quot;mΩ, 1/4W, 1%&quot;"/>
    <numFmt numFmtId="188" formatCode="&quot;MOSFET, N-CH, 80V/100V, &quot;General&quot;mΩ&quot;"/>
  </numFmts>
  <fonts count="106" x14ac:knownFonts="1">
    <font>
      <sz val="10"/>
      <name val="Arial"/>
    </font>
    <font>
      <sz val="11"/>
      <color theme="1"/>
      <name val="Calibri"/>
      <family val="2"/>
      <scheme val="minor"/>
    </font>
    <font>
      <sz val="10"/>
      <name val="Arial"/>
      <family val="2"/>
    </font>
    <font>
      <b/>
      <sz val="10"/>
      <name val="Arial"/>
      <family val="2"/>
    </font>
    <font>
      <b/>
      <sz val="22"/>
      <color indexed="44"/>
      <name val="Arial"/>
      <family val="2"/>
    </font>
    <font>
      <sz val="8"/>
      <name val="Arial"/>
      <family val="2"/>
    </font>
    <font>
      <i/>
      <sz val="10"/>
      <name val="Arial"/>
      <family val="2"/>
    </font>
    <font>
      <b/>
      <i/>
      <sz val="10"/>
      <name val="Arial"/>
      <family val="2"/>
    </font>
    <font>
      <sz val="10"/>
      <name val="Arial"/>
      <family val="2"/>
    </font>
    <font>
      <b/>
      <sz val="20"/>
      <color indexed="44"/>
      <name val="Arial"/>
      <family val="2"/>
    </font>
    <font>
      <vertAlign val="subscript"/>
      <sz val="10"/>
      <name val="Arial"/>
      <family val="2"/>
    </font>
    <font>
      <u/>
      <sz val="10"/>
      <color indexed="12"/>
      <name val="Arial"/>
      <family val="2"/>
    </font>
    <font>
      <b/>
      <sz val="16"/>
      <name val="Arial"/>
      <family val="2"/>
    </font>
    <font>
      <sz val="10"/>
      <color indexed="44"/>
      <name val="Arial"/>
      <family val="2"/>
    </font>
    <font>
      <b/>
      <sz val="28"/>
      <color indexed="44"/>
      <name val="Arial"/>
      <family val="2"/>
    </font>
    <font>
      <b/>
      <sz val="10"/>
      <color indexed="44"/>
      <name val="Arial"/>
      <family val="2"/>
    </font>
    <font>
      <sz val="10"/>
      <color indexed="8"/>
      <name val="Arial"/>
      <family val="2"/>
    </font>
    <font>
      <b/>
      <sz val="24"/>
      <color indexed="44"/>
      <name val="Arial"/>
      <family val="2"/>
    </font>
    <font>
      <sz val="10"/>
      <name val="Calibri"/>
      <family val="2"/>
    </font>
    <font>
      <b/>
      <sz val="10"/>
      <name val="Calibri"/>
      <family val="2"/>
    </font>
    <font>
      <sz val="10"/>
      <color indexed="55"/>
      <name val="Calibri"/>
      <family val="2"/>
    </font>
    <font>
      <sz val="10"/>
      <color indexed="8"/>
      <name val="Arial"/>
      <family val="2"/>
    </font>
    <font>
      <b/>
      <sz val="10"/>
      <color indexed="9"/>
      <name val="Calibri"/>
      <family val="2"/>
    </font>
    <font>
      <b/>
      <sz val="12"/>
      <color indexed="48"/>
      <name val="Arial"/>
      <family val="2"/>
    </font>
    <font>
      <b/>
      <sz val="12"/>
      <color indexed="12"/>
      <name val="Arial"/>
      <family val="2"/>
    </font>
    <font>
      <sz val="10"/>
      <color indexed="23"/>
      <name val="Calibri"/>
      <family val="2"/>
    </font>
    <font>
      <b/>
      <sz val="12"/>
      <color indexed="9"/>
      <name val="Calibri"/>
      <family val="2"/>
    </font>
    <font>
      <sz val="12"/>
      <name val="Calibri"/>
      <family val="2"/>
    </font>
    <font>
      <b/>
      <sz val="22"/>
      <color indexed="9"/>
      <name val="Calibri"/>
      <family val="2"/>
    </font>
    <font>
      <b/>
      <u/>
      <sz val="10"/>
      <color indexed="10"/>
      <name val="Arial"/>
      <family val="2"/>
    </font>
    <font>
      <sz val="10"/>
      <color indexed="56"/>
      <name val="Calibri"/>
      <family val="2"/>
    </font>
    <font>
      <sz val="10"/>
      <color indexed="8"/>
      <name val="Arial"/>
      <family val="2"/>
    </font>
    <font>
      <b/>
      <sz val="14"/>
      <color indexed="9"/>
      <name val="Calibri"/>
      <family val="2"/>
    </font>
    <font>
      <sz val="11"/>
      <color indexed="81"/>
      <name val="Tahoma"/>
      <family val="2"/>
    </font>
    <font>
      <b/>
      <i/>
      <sz val="14"/>
      <color indexed="12"/>
      <name val="Calibri"/>
      <family val="2"/>
    </font>
    <font>
      <b/>
      <sz val="8"/>
      <color indexed="81"/>
      <name val="Tahoma"/>
      <family val="2"/>
    </font>
    <font>
      <b/>
      <sz val="9"/>
      <color indexed="81"/>
      <name val="Tahoma"/>
      <family val="2"/>
    </font>
    <font>
      <sz val="8"/>
      <color indexed="81"/>
      <name val="Tahoma"/>
      <family val="2"/>
    </font>
    <font>
      <b/>
      <sz val="10"/>
      <color indexed="81"/>
      <name val="Tahoma"/>
      <family val="2"/>
    </font>
    <font>
      <sz val="9"/>
      <color indexed="81"/>
      <name val="Tahoma"/>
      <family val="2"/>
    </font>
    <font>
      <b/>
      <u/>
      <sz val="8"/>
      <color indexed="81"/>
      <name val="Tahoma"/>
      <family val="2"/>
    </font>
    <font>
      <b/>
      <u/>
      <sz val="9"/>
      <color indexed="81"/>
      <name val="Tahoma"/>
      <family val="2"/>
    </font>
    <font>
      <sz val="11"/>
      <color indexed="10"/>
      <name val="Tahoma"/>
      <family val="2"/>
    </font>
    <font>
      <b/>
      <sz val="11"/>
      <color indexed="10"/>
      <name val="Tahoma"/>
      <family val="2"/>
    </font>
    <font>
      <b/>
      <sz val="9"/>
      <color indexed="10"/>
      <name val="Tahoma"/>
      <family val="2"/>
    </font>
    <font>
      <sz val="10"/>
      <color indexed="81"/>
      <name val="Tahoma"/>
      <family val="2"/>
    </font>
    <font>
      <sz val="9"/>
      <color indexed="39"/>
      <name val="Tahoma"/>
      <family val="2"/>
    </font>
    <font>
      <b/>
      <sz val="9"/>
      <color indexed="39"/>
      <name val="Tahoma"/>
      <family val="2"/>
    </font>
    <font>
      <b/>
      <vertAlign val="subscript"/>
      <sz val="9"/>
      <color indexed="81"/>
      <name val="Tahoma"/>
      <family val="2"/>
    </font>
    <font>
      <vertAlign val="subscript"/>
      <sz val="9"/>
      <color indexed="81"/>
      <name val="Tahoma"/>
      <family val="2"/>
    </font>
    <font>
      <b/>
      <vertAlign val="subscript"/>
      <sz val="10"/>
      <color indexed="81"/>
      <name val="Tahoma"/>
      <family val="2"/>
    </font>
    <font>
      <vertAlign val="subscript"/>
      <sz val="10"/>
      <color indexed="81"/>
      <name val="Tahoma"/>
      <family val="2"/>
    </font>
    <font>
      <sz val="10"/>
      <color indexed="81"/>
      <name val="Calibri"/>
      <family val="2"/>
    </font>
    <font>
      <b/>
      <vertAlign val="subscript"/>
      <sz val="9"/>
      <color indexed="39"/>
      <name val="Tahoma"/>
      <family val="2"/>
    </font>
    <font>
      <b/>
      <vertAlign val="subscript"/>
      <sz val="9"/>
      <color indexed="10"/>
      <name val="Tahoma"/>
      <family val="2"/>
    </font>
    <font>
      <b/>
      <u/>
      <sz val="11"/>
      <color indexed="10"/>
      <name val="Tahoma"/>
      <family val="2"/>
    </font>
    <font>
      <b/>
      <vertAlign val="subscript"/>
      <sz val="10"/>
      <name val="Arial"/>
      <family val="2"/>
    </font>
    <font>
      <sz val="10"/>
      <color indexed="23"/>
      <name val="Arial"/>
      <family val="2"/>
    </font>
    <font>
      <sz val="10"/>
      <color indexed="55"/>
      <name val="Arial"/>
      <family val="2"/>
    </font>
    <font>
      <b/>
      <i/>
      <sz val="10"/>
      <color indexed="55"/>
      <name val="Arial"/>
      <family val="2"/>
    </font>
    <font>
      <b/>
      <i/>
      <sz val="14"/>
      <color indexed="12"/>
      <name val="Arial"/>
      <family val="2"/>
    </font>
    <font>
      <b/>
      <sz val="10"/>
      <color indexed="8"/>
      <name val="Arial"/>
      <family val="2"/>
    </font>
    <font>
      <b/>
      <sz val="14"/>
      <color indexed="9"/>
      <name val="Arial"/>
      <family val="2"/>
    </font>
    <font>
      <b/>
      <sz val="10"/>
      <color rgb="FFFF0000"/>
      <name val="Arial"/>
      <family val="2"/>
    </font>
    <font>
      <b/>
      <i/>
      <sz val="10"/>
      <color indexed="23"/>
      <name val="Arial"/>
      <family val="2"/>
    </font>
    <font>
      <sz val="12"/>
      <name val="Arial"/>
      <family val="2"/>
    </font>
    <font>
      <sz val="10"/>
      <color theme="1"/>
      <name val="Arial"/>
      <family val="2"/>
    </font>
    <font>
      <b/>
      <sz val="10"/>
      <color theme="1"/>
      <name val="Arial"/>
      <family val="2"/>
    </font>
    <font>
      <b/>
      <vertAlign val="subscript"/>
      <sz val="10"/>
      <color theme="1"/>
      <name val="Arial"/>
      <family val="2"/>
    </font>
    <font>
      <b/>
      <sz val="10"/>
      <color rgb="FF0000FF"/>
      <name val="Arial"/>
      <family val="2"/>
    </font>
    <font>
      <sz val="10"/>
      <color rgb="FF0000FF"/>
      <name val="Arial"/>
      <family val="2"/>
    </font>
    <font>
      <sz val="10"/>
      <color rgb="FF0000FF"/>
      <name val="Calibri"/>
      <family val="2"/>
    </font>
    <font>
      <b/>
      <vertAlign val="subscript"/>
      <sz val="10"/>
      <color rgb="FF0000FF"/>
      <name val="Arial"/>
      <family val="2"/>
    </font>
    <font>
      <b/>
      <sz val="12"/>
      <color rgb="FF003366"/>
      <name val="Calibri"/>
      <family val="2"/>
    </font>
    <font>
      <sz val="10"/>
      <name val="Symbol"/>
      <family val="1"/>
      <charset val="2"/>
    </font>
    <font>
      <b/>
      <sz val="10"/>
      <color indexed="9"/>
      <name val="Arial"/>
      <family val="2"/>
    </font>
    <font>
      <b/>
      <sz val="12"/>
      <color rgb="FF0000FF"/>
      <name val="Arial"/>
      <family val="2"/>
    </font>
    <font>
      <b/>
      <u/>
      <sz val="10"/>
      <name val="Arial"/>
      <family val="2"/>
    </font>
    <font>
      <u/>
      <sz val="9"/>
      <color indexed="12"/>
      <name val="Tahoma"/>
      <family val="2"/>
    </font>
    <font>
      <u/>
      <sz val="10"/>
      <color theme="0" tint="-0.499984740745262"/>
      <name val="Arial"/>
      <family val="2"/>
    </font>
    <font>
      <b/>
      <vertAlign val="subscript"/>
      <sz val="12"/>
      <color indexed="12"/>
      <name val="Arial"/>
      <family val="2"/>
    </font>
    <font>
      <vertAlign val="subscript"/>
      <sz val="10"/>
      <color theme="1"/>
      <name val="Arial"/>
      <family val="2"/>
    </font>
    <font>
      <b/>
      <sz val="10"/>
      <color rgb="FFC00000"/>
      <name val="Arial"/>
      <family val="2"/>
    </font>
    <font>
      <b/>
      <vertAlign val="subscript"/>
      <sz val="16"/>
      <name val="Arial"/>
      <family val="2"/>
    </font>
    <font>
      <b/>
      <sz val="10"/>
      <color theme="0"/>
      <name val="Arial"/>
      <family val="2"/>
    </font>
    <font>
      <sz val="10"/>
      <color theme="0"/>
      <name val="Arial"/>
      <family val="2"/>
    </font>
    <font>
      <b/>
      <sz val="10"/>
      <color rgb="FF33CC33"/>
      <name val="Arial"/>
      <family val="2"/>
    </font>
    <font>
      <b/>
      <vertAlign val="superscript"/>
      <sz val="10"/>
      <color theme="0"/>
      <name val="Arial"/>
      <family val="2"/>
    </font>
    <font>
      <b/>
      <sz val="12"/>
      <color rgb="FFFF0000"/>
      <name val="Arial"/>
      <family val="2"/>
    </font>
    <font>
      <b/>
      <vertAlign val="superscript"/>
      <sz val="12"/>
      <color rgb="FFFF0000"/>
      <name val="Arial"/>
      <family val="2"/>
    </font>
    <font>
      <sz val="10"/>
      <color rgb="FFFF0000"/>
      <name val="Arial"/>
      <family val="2"/>
    </font>
    <font>
      <sz val="9"/>
      <name val="Arial"/>
      <family val="2"/>
    </font>
    <font>
      <b/>
      <sz val="12"/>
      <name val="Arial"/>
      <family val="2"/>
    </font>
    <font>
      <b/>
      <sz val="22"/>
      <color rgb="FFFF0000"/>
      <name val="Calibri"/>
      <family val="2"/>
    </font>
    <font>
      <sz val="10"/>
      <color rgb="FFFF0000"/>
      <name val="Calibri"/>
      <family val="2"/>
    </font>
    <font>
      <b/>
      <sz val="10"/>
      <color rgb="FFFF0000"/>
      <name val="Calibri"/>
      <family val="2"/>
    </font>
    <font>
      <b/>
      <sz val="22"/>
      <name val="Calibri"/>
      <family val="2"/>
    </font>
    <font>
      <u/>
      <sz val="10"/>
      <name val="Arial"/>
      <family val="2"/>
    </font>
    <font>
      <sz val="10"/>
      <color theme="0"/>
      <name val="Calibri"/>
      <family val="2"/>
    </font>
    <font>
      <b/>
      <sz val="12"/>
      <color theme="0"/>
      <name val="Calibri"/>
      <family val="2"/>
    </font>
    <font>
      <b/>
      <sz val="11"/>
      <color indexed="81"/>
      <name val="Tahoma"/>
      <family val="2"/>
    </font>
    <font>
      <b/>
      <sz val="9"/>
      <color rgb="FF000000"/>
      <name val="Arial"/>
      <family val="2"/>
    </font>
    <font>
      <sz val="36"/>
      <color rgb="FFFF0000"/>
      <name val="Arial"/>
      <family val="2"/>
    </font>
    <font>
      <sz val="16"/>
      <color theme="0"/>
      <name val="Arial"/>
      <family val="2"/>
    </font>
    <font>
      <sz val="28"/>
      <color theme="0"/>
      <name val="Arial"/>
      <family val="2"/>
    </font>
    <font>
      <sz val="10"/>
      <name val="Arial"/>
      <family val="2"/>
    </font>
  </fonts>
  <fills count="26">
    <fill>
      <patternFill patternType="none"/>
    </fill>
    <fill>
      <patternFill patternType="gray125"/>
    </fill>
    <fill>
      <patternFill patternType="solid">
        <fgColor indexed="44"/>
        <bgColor indexed="64"/>
      </patternFill>
    </fill>
    <fill>
      <patternFill patternType="solid">
        <fgColor indexed="8"/>
        <bgColor indexed="64"/>
      </patternFill>
    </fill>
    <fill>
      <patternFill patternType="solid">
        <fgColor indexed="22"/>
        <bgColor indexed="64"/>
      </patternFill>
    </fill>
    <fill>
      <patternFill patternType="solid">
        <fgColor indexed="55"/>
        <bgColor indexed="64"/>
      </patternFill>
    </fill>
    <fill>
      <patternFill patternType="solid">
        <fgColor indexed="45"/>
        <bgColor indexed="64"/>
      </patternFill>
    </fill>
    <fill>
      <patternFill patternType="solid">
        <fgColor indexed="46"/>
        <bgColor indexed="64"/>
      </patternFill>
    </fill>
    <fill>
      <patternFill patternType="solid">
        <fgColor indexed="11"/>
        <bgColor indexed="64"/>
      </patternFill>
    </fill>
    <fill>
      <patternFill patternType="solid">
        <fgColor indexed="42"/>
        <bgColor indexed="64"/>
      </patternFill>
    </fill>
    <fill>
      <patternFill patternType="solid">
        <fgColor indexed="9"/>
        <bgColor indexed="64"/>
      </patternFill>
    </fill>
    <fill>
      <patternFill patternType="solid">
        <fgColor indexed="13"/>
        <bgColor indexed="64"/>
      </patternFill>
    </fill>
    <fill>
      <patternFill patternType="solid">
        <fgColor indexed="41"/>
        <bgColor indexed="64"/>
      </patternFill>
    </fill>
    <fill>
      <patternFill patternType="solid">
        <fgColor indexed="52"/>
        <bgColor indexed="64"/>
      </patternFill>
    </fill>
    <fill>
      <patternFill patternType="solid">
        <fgColor indexed="50"/>
        <bgColor indexed="64"/>
      </patternFill>
    </fill>
    <fill>
      <patternFill patternType="solid">
        <fgColor indexed="47"/>
        <bgColor indexed="64"/>
      </patternFill>
    </fill>
    <fill>
      <patternFill patternType="solid">
        <fgColor indexed="56"/>
        <bgColor indexed="64"/>
      </patternFill>
    </fill>
    <fill>
      <patternFill patternType="solid">
        <fgColor indexed="23"/>
        <bgColor indexed="64"/>
      </patternFill>
    </fill>
    <fill>
      <patternFill patternType="solid">
        <fgColor indexed="53"/>
        <bgColor indexed="64"/>
      </patternFill>
    </fill>
    <fill>
      <patternFill patternType="solid">
        <fgColor theme="0"/>
        <bgColor indexed="64"/>
      </patternFill>
    </fill>
    <fill>
      <patternFill patternType="solid">
        <fgColor rgb="FFFF0000"/>
        <bgColor indexed="64"/>
      </patternFill>
    </fill>
    <fill>
      <patternFill patternType="solid">
        <fgColor theme="1"/>
        <bgColor indexed="64"/>
      </patternFill>
    </fill>
    <fill>
      <patternFill patternType="solid">
        <fgColor rgb="FFFFFF00"/>
        <bgColor indexed="64"/>
      </patternFill>
    </fill>
    <fill>
      <patternFill patternType="solid">
        <fgColor indexed="43"/>
        <bgColor indexed="64"/>
      </patternFill>
    </fill>
    <fill>
      <patternFill patternType="solid">
        <fgColor rgb="FFFFFF99"/>
        <bgColor indexed="64"/>
      </patternFill>
    </fill>
    <fill>
      <patternFill patternType="solid">
        <fgColor theme="0" tint="-0.499984740745262"/>
        <bgColor indexed="64"/>
      </patternFill>
    </fill>
  </fills>
  <borders count="6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55"/>
      </top>
      <bottom/>
      <diagonal/>
    </border>
    <border>
      <left/>
      <right/>
      <top/>
      <bottom style="medium">
        <color indexed="55"/>
      </bottom>
      <diagonal/>
    </border>
    <border>
      <left/>
      <right style="medium">
        <color indexed="55"/>
      </right>
      <top style="medium">
        <color indexed="55"/>
      </top>
      <bottom/>
      <diagonal/>
    </border>
    <border>
      <left/>
      <right style="medium">
        <color indexed="55"/>
      </right>
      <top/>
      <bottom/>
      <diagonal/>
    </border>
    <border>
      <left/>
      <right style="medium">
        <color indexed="55"/>
      </right>
      <top/>
      <bottom style="medium">
        <color indexed="55"/>
      </bottom>
      <diagonal/>
    </border>
    <border>
      <left style="medium">
        <color indexed="55"/>
      </left>
      <right/>
      <top style="medium">
        <color indexed="55"/>
      </top>
      <bottom/>
      <diagonal/>
    </border>
    <border>
      <left style="medium">
        <color indexed="55"/>
      </left>
      <right/>
      <top/>
      <bottom/>
      <diagonal/>
    </border>
    <border>
      <left style="medium">
        <color indexed="55"/>
      </left>
      <right/>
      <top/>
      <bottom style="medium">
        <color indexed="55"/>
      </bottom>
      <diagonal/>
    </border>
    <border>
      <left/>
      <right/>
      <top style="medium">
        <color auto="1"/>
      </top>
      <bottom/>
      <diagonal/>
    </border>
    <border>
      <left/>
      <right style="medium">
        <color auto="1"/>
      </right>
      <top style="medium">
        <color auto="1"/>
      </top>
      <bottom/>
      <diagonal/>
    </border>
    <border>
      <left style="medium">
        <color auto="1"/>
      </left>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indexed="64"/>
      </top>
      <bottom style="medium">
        <color indexed="64"/>
      </bottom>
      <diagonal/>
    </border>
    <border>
      <left/>
      <right/>
      <top style="medium">
        <color auto="1"/>
      </top>
      <bottom style="medium">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bottom style="thin">
        <color indexed="64"/>
      </bottom>
      <diagonal/>
    </border>
    <border>
      <left style="medium">
        <color auto="1"/>
      </left>
      <right/>
      <top/>
      <bottom/>
      <diagonal/>
    </border>
    <border>
      <left style="double">
        <color indexed="64"/>
      </left>
      <right style="thin">
        <color indexed="64"/>
      </right>
      <top style="medium">
        <color indexed="64"/>
      </top>
      <bottom style="thin">
        <color indexed="64"/>
      </bottom>
      <diagonal/>
    </border>
    <border>
      <left style="double">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medium">
        <color indexed="64"/>
      </bottom>
      <diagonal/>
    </border>
  </borders>
  <cellStyleXfs count="6">
    <xf numFmtId="0" fontId="0" fillId="0" borderId="0"/>
    <xf numFmtId="0" fontId="11" fillId="0" borderId="0" applyNumberFormat="0" applyFill="0" applyBorder="0" applyAlignment="0" applyProtection="0">
      <alignment vertical="top"/>
      <protection locked="0"/>
    </xf>
    <xf numFmtId="0" fontId="2" fillId="0" borderId="0"/>
    <xf numFmtId="0" fontId="1" fillId="0" borderId="0"/>
    <xf numFmtId="164" fontId="1" fillId="0" borderId="0" applyFont="0" applyFill="0" applyBorder="0" applyAlignment="0" applyProtection="0"/>
    <xf numFmtId="164" fontId="105" fillId="0" borderId="0" applyFont="0" applyFill="0" applyBorder="0" applyAlignment="0" applyProtection="0"/>
  </cellStyleXfs>
  <cellXfs count="568">
    <xf numFmtId="0" fontId="0" fillId="0" borderId="0" xfId="0"/>
    <xf numFmtId="0" fontId="7" fillId="0" borderId="0" xfId="0" applyFont="1"/>
    <xf numFmtId="0" fontId="3" fillId="0" borderId="0" xfId="0" applyFont="1"/>
    <xf numFmtId="0" fontId="8" fillId="0" borderId="0" xfId="0" applyFont="1"/>
    <xf numFmtId="2" fontId="0" fillId="0" borderId="0" xfId="0" applyNumberFormat="1"/>
    <xf numFmtId="0" fontId="0" fillId="2" borderId="0" xfId="0" applyFill="1"/>
    <xf numFmtId="0" fontId="0" fillId="3" borderId="0" xfId="0" applyFill="1"/>
    <xf numFmtId="0" fontId="3" fillId="2" borderId="0" xfId="0" applyFont="1" applyFill="1"/>
    <xf numFmtId="0" fontId="12" fillId="2" borderId="0" xfId="0" applyFont="1" applyFill="1"/>
    <xf numFmtId="169" fontId="0" fillId="0" borderId="0" xfId="0" applyNumberFormat="1"/>
    <xf numFmtId="10" fontId="0" fillId="0" borderId="0" xfId="0" applyNumberFormat="1"/>
    <xf numFmtId="0" fontId="15" fillId="3" borderId="0" xfId="0" applyFont="1" applyFill="1" applyAlignment="1">
      <alignment horizontal="right"/>
    </xf>
    <xf numFmtId="0" fontId="15" fillId="3" borderId="0" xfId="0" applyFont="1" applyFill="1"/>
    <xf numFmtId="0" fontId="7" fillId="4" borderId="1" xfId="0" applyFont="1" applyFill="1" applyBorder="1"/>
    <xf numFmtId="0" fontId="7" fillId="4" borderId="2" xfId="0" applyFont="1" applyFill="1" applyBorder="1"/>
    <xf numFmtId="0" fontId="0" fillId="4" borderId="3" xfId="0" applyFill="1" applyBorder="1"/>
    <xf numFmtId="0" fontId="16" fillId="4" borderId="3" xfId="0" applyFont="1" applyFill="1" applyBorder="1"/>
    <xf numFmtId="169" fontId="7" fillId="4" borderId="2" xfId="0" applyNumberFormat="1" applyFont="1" applyFill="1" applyBorder="1" applyAlignment="1">
      <alignment horizontal="center"/>
    </xf>
    <xf numFmtId="0" fontId="0" fillId="4" borderId="2" xfId="0" applyFill="1" applyBorder="1"/>
    <xf numFmtId="0" fontId="17" fillId="3" borderId="4" xfId="0" applyFont="1" applyFill="1" applyBorder="1"/>
    <xf numFmtId="0" fontId="3" fillId="2" borderId="5" xfId="0" applyFont="1" applyFill="1" applyBorder="1" applyAlignment="1">
      <alignment horizontal="center" vertical="top" wrapText="1"/>
    </xf>
    <xf numFmtId="0" fontId="3" fillId="2" borderId="6" xfId="0" applyFont="1" applyFill="1" applyBorder="1" applyAlignment="1">
      <alignment horizontal="center" vertical="top" wrapText="1"/>
    </xf>
    <xf numFmtId="0" fontId="3" fillId="2" borderId="7" xfId="0" applyFont="1" applyFill="1" applyBorder="1" applyAlignment="1">
      <alignment horizontal="center" vertical="top" wrapText="1"/>
    </xf>
    <xf numFmtId="169" fontId="3" fillId="2" borderId="6" xfId="0" applyNumberFormat="1" applyFont="1" applyFill="1" applyBorder="1" applyAlignment="1">
      <alignment horizontal="center" vertical="top" wrapText="1"/>
    </xf>
    <xf numFmtId="0" fontId="3" fillId="5" borderId="8" xfId="0" applyFont="1" applyFill="1" applyBorder="1"/>
    <xf numFmtId="0" fontId="3" fillId="5" borderId="9" xfId="0" applyFont="1" applyFill="1" applyBorder="1"/>
    <xf numFmtId="0" fontId="3" fillId="5" borderId="10" xfId="0" applyFont="1" applyFill="1" applyBorder="1"/>
    <xf numFmtId="0" fontId="3" fillId="5" borderId="11" xfId="0" applyFont="1" applyFill="1" applyBorder="1"/>
    <xf numFmtId="0" fontId="8" fillId="0" borderId="0" xfId="0" applyFont="1" applyProtection="1">
      <protection locked="0"/>
    </xf>
    <xf numFmtId="0" fontId="0" fillId="0" borderId="0" xfId="0" applyProtection="1">
      <protection locked="0"/>
    </xf>
    <xf numFmtId="0" fontId="0" fillId="6" borderId="12" xfId="0" applyFill="1" applyBorder="1"/>
    <xf numFmtId="0" fontId="0" fillId="0" borderId="11" xfId="0" applyBorder="1"/>
    <xf numFmtId="0" fontId="0" fillId="6" borderId="11" xfId="0" applyFill="1" applyBorder="1"/>
    <xf numFmtId="0" fontId="0" fillId="4" borderId="11" xfId="0" applyFill="1" applyBorder="1"/>
    <xf numFmtId="0" fontId="3" fillId="5" borderId="0" xfId="0" applyFont="1" applyFill="1"/>
    <xf numFmtId="0" fontId="0" fillId="6" borderId="0" xfId="0" applyFill="1"/>
    <xf numFmtId="0" fontId="0" fillId="0" borderId="13" xfId="0" applyBorder="1"/>
    <xf numFmtId="0" fontId="8" fillId="2" borderId="0" xfId="0" applyFont="1" applyFill="1"/>
    <xf numFmtId="0" fontId="0" fillId="6" borderId="13" xfId="0" applyFill="1" applyBorder="1"/>
    <xf numFmtId="0" fontId="0" fillId="4" borderId="0" xfId="0" applyFill="1"/>
    <xf numFmtId="11" fontId="0" fillId="0" borderId="0" xfId="0" applyNumberFormat="1"/>
    <xf numFmtId="0" fontId="13" fillId="3" borderId="0" xfId="0" applyFont="1" applyFill="1"/>
    <xf numFmtId="0" fontId="0" fillId="4" borderId="12" xfId="0" applyFill="1" applyBorder="1"/>
    <xf numFmtId="0" fontId="0" fillId="4" borderId="14" xfId="0" applyFill="1" applyBorder="1"/>
    <xf numFmtId="0" fontId="3" fillId="4" borderId="11" xfId="0" applyFont="1" applyFill="1" applyBorder="1"/>
    <xf numFmtId="0" fontId="0" fillId="6" borderId="8" xfId="0" applyFill="1" applyBorder="1"/>
    <xf numFmtId="0" fontId="0" fillId="4" borderId="8" xfId="0" applyFill="1" applyBorder="1"/>
    <xf numFmtId="0" fontId="3" fillId="5" borderId="4" xfId="0" applyFont="1" applyFill="1" applyBorder="1"/>
    <xf numFmtId="0" fontId="0" fillId="2" borderId="14" xfId="0" applyFill="1" applyBorder="1"/>
    <xf numFmtId="0" fontId="0" fillId="2" borderId="13" xfId="0" applyFill="1" applyBorder="1"/>
    <xf numFmtId="0" fontId="0" fillId="2" borderId="12" xfId="0" applyFill="1" applyBorder="1"/>
    <xf numFmtId="0" fontId="0" fillId="8" borderId="0" xfId="0" applyFill="1"/>
    <xf numFmtId="0" fontId="0" fillId="9" borderId="0" xfId="0" applyFill="1"/>
    <xf numFmtId="0" fontId="0" fillId="11" borderId="0" xfId="0" applyFill="1"/>
    <xf numFmtId="0" fontId="0" fillId="0" borderId="0" xfId="0" applyAlignment="1">
      <alignment horizontal="right"/>
    </xf>
    <xf numFmtId="0" fontId="18" fillId="0" borderId="0" xfId="0" applyFont="1"/>
    <xf numFmtId="0" fontId="3" fillId="0" borderId="0" xfId="0" applyFont="1" applyAlignment="1">
      <alignment horizontal="center"/>
    </xf>
    <xf numFmtId="172" fontId="21" fillId="0" borderId="0" xfId="0" applyNumberFormat="1" applyFont="1" applyAlignment="1">
      <alignment horizontal="center"/>
    </xf>
    <xf numFmtId="172" fontId="8" fillId="0" borderId="0" xfId="0" applyNumberFormat="1" applyFont="1" applyAlignment="1">
      <alignment horizontal="center"/>
    </xf>
    <xf numFmtId="172" fontId="8" fillId="0" borderId="0" xfId="0" applyNumberFormat="1" applyFont="1" applyAlignment="1" applyProtection="1">
      <alignment horizontal="center"/>
      <protection locked="0"/>
    </xf>
    <xf numFmtId="11" fontId="7" fillId="0" borderId="0" xfId="0" applyNumberFormat="1" applyFont="1"/>
    <xf numFmtId="172" fontId="0" fillId="0" borderId="0" xfId="0" applyNumberFormat="1"/>
    <xf numFmtId="0" fontId="0" fillId="12" borderId="0" xfId="0" applyFill="1"/>
    <xf numFmtId="168" fontId="0" fillId="0" borderId="0" xfId="0" applyNumberFormat="1"/>
    <xf numFmtId="0" fontId="3" fillId="4" borderId="0" xfId="0" applyFont="1" applyFill="1" applyAlignment="1">
      <alignment horizontal="center"/>
    </xf>
    <xf numFmtId="0" fontId="3" fillId="13" borderId="0" xfId="0" applyFont="1" applyFill="1" applyAlignment="1">
      <alignment horizontal="center"/>
    </xf>
    <xf numFmtId="0" fontId="3" fillId="14" borderId="0" xfId="0" applyFont="1" applyFill="1" applyAlignment="1">
      <alignment horizontal="center"/>
    </xf>
    <xf numFmtId="169" fontId="7" fillId="4" borderId="1" xfId="0" applyNumberFormat="1" applyFont="1" applyFill="1" applyBorder="1" applyAlignment="1">
      <alignment horizontal="center"/>
    </xf>
    <xf numFmtId="0" fontId="0" fillId="4" borderId="18" xfId="0" applyFill="1" applyBorder="1"/>
    <xf numFmtId="0" fontId="7" fillId="4" borderId="3" xfId="0" applyFont="1" applyFill="1" applyBorder="1"/>
    <xf numFmtId="0" fontId="7" fillId="4" borderId="19" xfId="0" applyFont="1" applyFill="1" applyBorder="1" applyAlignment="1">
      <alignment horizontal="left"/>
    </xf>
    <xf numFmtId="0" fontId="7" fillId="4" borderId="20" xfId="0" applyFont="1" applyFill="1" applyBorder="1" applyAlignment="1">
      <alignment horizontal="left"/>
    </xf>
    <xf numFmtId="0" fontId="0" fillId="4" borderId="20" xfId="0" applyFill="1" applyBorder="1"/>
    <xf numFmtId="0" fontId="0" fillId="4" borderId="21" xfId="0" applyFill="1" applyBorder="1"/>
    <xf numFmtId="0" fontId="3" fillId="7" borderId="7" xfId="0" applyFont="1" applyFill="1" applyBorder="1" applyAlignment="1">
      <alignment horizontal="center" vertical="top" wrapText="1"/>
    </xf>
    <xf numFmtId="169" fontId="3" fillId="2" borderId="5" xfId="0" applyNumberFormat="1" applyFont="1" applyFill="1" applyBorder="1" applyAlignment="1">
      <alignment horizontal="center" vertical="top" wrapText="1"/>
    </xf>
    <xf numFmtId="0" fontId="3" fillId="2" borderId="22" xfId="0" applyFont="1" applyFill="1" applyBorder="1" applyAlignment="1">
      <alignment horizontal="center" vertical="top" wrapText="1"/>
    </xf>
    <xf numFmtId="0" fontId="3" fillId="7" borderId="23" xfId="0" applyFont="1" applyFill="1" applyBorder="1" applyAlignment="1">
      <alignment horizontal="center" vertical="top" wrapText="1"/>
    </xf>
    <xf numFmtId="0" fontId="3" fillId="7" borderId="24" xfId="0" applyFont="1" applyFill="1" applyBorder="1" applyAlignment="1">
      <alignment horizontal="center" vertical="top" wrapText="1"/>
    </xf>
    <xf numFmtId="0" fontId="3" fillId="2" borderId="25" xfId="0" applyFont="1" applyFill="1" applyBorder="1" applyAlignment="1">
      <alignment horizontal="center" vertical="top" wrapText="1"/>
    </xf>
    <xf numFmtId="0" fontId="3" fillId="2" borderId="26" xfId="0" applyFont="1" applyFill="1" applyBorder="1" applyAlignment="1">
      <alignment horizontal="center" vertical="top" wrapText="1"/>
    </xf>
    <xf numFmtId="0" fontId="3" fillId="2" borderId="27" xfId="0" applyFont="1" applyFill="1" applyBorder="1" applyAlignment="1">
      <alignment horizontal="center" vertical="top" wrapText="1"/>
    </xf>
    <xf numFmtId="0" fontId="3" fillId="7" borderId="28" xfId="0" applyFont="1" applyFill="1" applyBorder="1" applyAlignment="1">
      <alignment horizontal="center" vertical="top" wrapText="1"/>
    </xf>
    <xf numFmtId="0" fontId="3" fillId="15" borderId="5" xfId="0" applyFont="1" applyFill="1" applyBorder="1" applyAlignment="1">
      <alignment horizontal="center" vertical="top" wrapText="1"/>
    </xf>
    <xf numFmtId="2" fontId="3" fillId="15" borderId="6" xfId="0" applyNumberFormat="1" applyFont="1" applyFill="1" applyBorder="1" applyAlignment="1">
      <alignment horizontal="center" vertical="top" wrapText="1"/>
    </xf>
    <xf numFmtId="172" fontId="18" fillId="3" borderId="0" xfId="0" applyNumberFormat="1" applyFont="1" applyFill="1" applyAlignment="1">
      <alignment horizontal="center"/>
    </xf>
    <xf numFmtId="172" fontId="27" fillId="3" borderId="0" xfId="0" applyNumberFormat="1" applyFont="1" applyFill="1" applyAlignment="1">
      <alignment horizontal="center"/>
    </xf>
    <xf numFmtId="0" fontId="0" fillId="0" borderId="29" xfId="0" applyBorder="1"/>
    <xf numFmtId="0" fontId="0" fillId="0" borderId="30" xfId="0" applyBorder="1"/>
    <xf numFmtId="0" fontId="8" fillId="0" borderId="29" xfId="0" applyFont="1" applyBorder="1"/>
    <xf numFmtId="0" fontId="0" fillId="14" borderId="0" xfId="0" applyFill="1"/>
    <xf numFmtId="0" fontId="0" fillId="0" borderId="31" xfId="0" applyBorder="1"/>
    <xf numFmtId="0" fontId="0" fillId="0" borderId="32" xfId="0" applyBorder="1"/>
    <xf numFmtId="0" fontId="0" fillId="0" borderId="33" xfId="0" applyBorder="1"/>
    <xf numFmtId="0" fontId="0" fillId="0" borderId="2" xfId="0" applyBorder="1"/>
    <xf numFmtId="0" fontId="0" fillId="0" borderId="3" xfId="0" applyBorder="1"/>
    <xf numFmtId="0" fontId="7" fillId="0" borderId="29" xfId="0" applyFont="1" applyBorder="1"/>
    <xf numFmtId="0" fontId="7" fillId="13" borderId="0" xfId="0" applyFont="1" applyFill="1"/>
    <xf numFmtId="0" fontId="8" fillId="13" borderId="0" xfId="0" applyFont="1" applyFill="1"/>
    <xf numFmtId="0" fontId="3" fillId="0" borderId="29" xfId="0" applyFont="1" applyBorder="1"/>
    <xf numFmtId="0" fontId="3" fillId="0" borderId="31" xfId="0" applyFont="1" applyBorder="1"/>
    <xf numFmtId="0" fontId="7" fillId="13" borderId="32" xfId="0" applyFont="1" applyFill="1" applyBorder="1"/>
    <xf numFmtId="11" fontId="0" fillId="14" borderId="0" xfId="0" applyNumberFormat="1" applyFill="1"/>
    <xf numFmtId="0" fontId="0" fillId="13" borderId="0" xfId="0" applyFill="1"/>
    <xf numFmtId="1" fontId="3" fillId="13" borderId="0" xfId="0" applyNumberFormat="1" applyFont="1" applyFill="1" applyAlignment="1">
      <alignment horizontal="right"/>
    </xf>
    <xf numFmtId="0" fontId="3" fillId="13" borderId="0" xfId="0" applyFont="1" applyFill="1"/>
    <xf numFmtId="11" fontId="0" fillId="13" borderId="0" xfId="0" applyNumberFormat="1" applyFill="1"/>
    <xf numFmtId="168" fontId="0" fillId="13" borderId="32" xfId="0" applyNumberFormat="1" applyFill="1" applyBorder="1"/>
    <xf numFmtId="0" fontId="7" fillId="0" borderId="31" xfId="0" applyFont="1" applyBorder="1"/>
    <xf numFmtId="0" fontId="0" fillId="4" borderId="32" xfId="0" applyFill="1" applyBorder="1"/>
    <xf numFmtId="171" fontId="0" fillId="13" borderId="0" xfId="0" applyNumberFormat="1" applyFill="1"/>
    <xf numFmtId="0" fontId="0" fillId="0" borderId="32" xfId="0" applyBorder="1" applyAlignment="1">
      <alignment horizontal="right"/>
    </xf>
    <xf numFmtId="0" fontId="0" fillId="5" borderId="0" xfId="0" applyFill="1"/>
    <xf numFmtId="11" fontId="7" fillId="0" borderId="32" xfId="0" applyNumberFormat="1" applyFont="1" applyBorder="1"/>
    <xf numFmtId="11" fontId="0" fillId="4" borderId="0" xfId="0" applyNumberFormat="1" applyFill="1"/>
    <xf numFmtId="0" fontId="0" fillId="2" borderId="0" xfId="0" applyFill="1" applyProtection="1">
      <protection locked="0"/>
    </xf>
    <xf numFmtId="0" fontId="0" fillId="2" borderId="11" xfId="0" applyFill="1" applyBorder="1" applyProtection="1">
      <protection locked="0"/>
    </xf>
    <xf numFmtId="0" fontId="0" fillId="10" borderId="0" xfId="0" applyFill="1"/>
    <xf numFmtId="0" fontId="0" fillId="4" borderId="13" xfId="0" applyFill="1" applyBorder="1"/>
    <xf numFmtId="0" fontId="0" fillId="7" borderId="11" xfId="0" applyFill="1" applyBorder="1"/>
    <xf numFmtId="0" fontId="16" fillId="7" borderId="11" xfId="0" applyFont="1" applyFill="1" applyBorder="1"/>
    <xf numFmtId="0" fontId="8" fillId="7" borderId="11" xfId="0" applyFont="1" applyFill="1" applyBorder="1"/>
    <xf numFmtId="0" fontId="8" fillId="10" borderId="11" xfId="0" applyFont="1" applyFill="1" applyBorder="1"/>
    <xf numFmtId="0" fontId="18" fillId="3" borderId="0" xfId="0" applyFont="1" applyFill="1"/>
    <xf numFmtId="0" fontId="19" fillId="10" borderId="0" xfId="0" applyFont="1" applyFill="1"/>
    <xf numFmtId="0" fontId="18" fillId="10" borderId="0" xfId="0" applyFont="1" applyFill="1" applyAlignment="1">
      <alignment horizontal="right"/>
    </xf>
    <xf numFmtId="0" fontId="19" fillId="10" borderId="0" xfId="0" applyFont="1" applyFill="1" applyAlignment="1">
      <alignment horizontal="right"/>
    </xf>
    <xf numFmtId="0" fontId="18" fillId="10" borderId="0" xfId="0" applyFont="1" applyFill="1"/>
    <xf numFmtId="0" fontId="27" fillId="16" borderId="20" xfId="0" applyFont="1" applyFill="1" applyBorder="1"/>
    <xf numFmtId="0" fontId="27" fillId="16" borderId="21" xfId="0" applyFont="1" applyFill="1" applyBorder="1"/>
    <xf numFmtId="0" fontId="27" fillId="3" borderId="0" xfId="0" applyFont="1" applyFill="1"/>
    <xf numFmtId="0" fontId="18" fillId="10" borderId="0" xfId="0" applyFont="1" applyFill="1" applyAlignment="1">
      <alignment horizontal="center"/>
    </xf>
    <xf numFmtId="0" fontId="18" fillId="10" borderId="0" xfId="0" applyFont="1" applyFill="1" applyAlignment="1">
      <alignment horizontal="left"/>
    </xf>
    <xf numFmtId="0" fontId="23" fillId="0" borderId="0" xfId="0" applyFont="1"/>
    <xf numFmtId="0" fontId="0" fillId="0" borderId="1" xfId="0" applyBorder="1"/>
    <xf numFmtId="0" fontId="7" fillId="0" borderId="1" xfId="0" applyFont="1" applyBorder="1"/>
    <xf numFmtId="0" fontId="3" fillId="0" borderId="1" xfId="0" applyFont="1" applyBorder="1"/>
    <xf numFmtId="2" fontId="7" fillId="4" borderId="2" xfId="0" applyNumberFormat="1" applyFont="1" applyFill="1" applyBorder="1"/>
    <xf numFmtId="0" fontId="0" fillId="0" borderId="2" xfId="0" applyBorder="1" applyAlignment="1">
      <alignment horizontal="right"/>
    </xf>
    <xf numFmtId="0" fontId="24" fillId="0" borderId="0" xfId="0" applyFont="1"/>
    <xf numFmtId="0" fontId="0" fillId="17" borderId="0" xfId="0" applyFill="1"/>
    <xf numFmtId="2" fontId="0" fillId="18" borderId="0" xfId="0" applyNumberFormat="1" applyFill="1"/>
    <xf numFmtId="0" fontId="31" fillId="0" borderId="0" xfId="0" applyFont="1"/>
    <xf numFmtId="0" fontId="31" fillId="4" borderId="0" xfId="0" applyFont="1" applyFill="1"/>
    <xf numFmtId="0" fontId="23" fillId="0" borderId="39" xfId="0" applyFont="1" applyBorder="1"/>
    <xf numFmtId="0" fontId="0" fillId="0" borderId="34" xfId="0" applyBorder="1"/>
    <xf numFmtId="0" fontId="0" fillId="0" borderId="36" xfId="0" applyBorder="1"/>
    <xf numFmtId="0" fontId="8" fillId="0" borderId="40" xfId="0" applyFont="1" applyBorder="1"/>
    <xf numFmtId="0" fontId="0" fillId="0" borderId="37" xfId="0" applyBorder="1"/>
    <xf numFmtId="0" fontId="31" fillId="0" borderId="40" xfId="0" applyFont="1" applyBorder="1"/>
    <xf numFmtId="0" fontId="31" fillId="0" borderId="41" xfId="0" applyFont="1" applyBorder="1"/>
    <xf numFmtId="0" fontId="31" fillId="0" borderId="35" xfId="0" applyFont="1" applyBorder="1"/>
    <xf numFmtId="0" fontId="0" fillId="0" borderId="35" xfId="0" applyBorder="1"/>
    <xf numFmtId="0" fontId="0" fillId="0" borderId="38" xfId="0" applyBorder="1"/>
    <xf numFmtId="0" fontId="31" fillId="18" borderId="0" xfId="0" applyFont="1" applyFill="1"/>
    <xf numFmtId="0" fontId="0" fillId="18" borderId="0" xfId="0" applyFill="1"/>
    <xf numFmtId="0" fontId="31" fillId="18" borderId="35" xfId="0" applyFont="1" applyFill="1" applyBorder="1"/>
    <xf numFmtId="0" fontId="8" fillId="0" borderId="32" xfId="0" applyFont="1" applyBorder="1"/>
    <xf numFmtId="0" fontId="8" fillId="14" borderId="0" xfId="0" applyFont="1" applyFill="1"/>
    <xf numFmtId="0" fontId="18" fillId="10" borderId="30" xfId="0" applyFont="1" applyFill="1" applyBorder="1"/>
    <xf numFmtId="0" fontId="20" fillId="10" borderId="0" xfId="0" applyFont="1" applyFill="1"/>
    <xf numFmtId="2" fontId="18" fillId="10" borderId="0" xfId="0" applyNumberFormat="1" applyFont="1" applyFill="1"/>
    <xf numFmtId="167" fontId="18" fillId="10" borderId="0" xfId="0" applyNumberFormat="1" applyFont="1" applyFill="1"/>
    <xf numFmtId="170" fontId="18" fillId="10" borderId="0" xfId="0" applyNumberFormat="1" applyFont="1" applyFill="1"/>
    <xf numFmtId="166" fontId="18" fillId="10" borderId="0" xfId="0" applyNumberFormat="1" applyFont="1" applyFill="1"/>
    <xf numFmtId="2" fontId="7" fillId="4" borderId="0" xfId="0" applyNumberFormat="1" applyFont="1" applyFill="1"/>
    <xf numFmtId="168" fontId="0" fillId="13" borderId="0" xfId="0" applyNumberFormat="1" applyFill="1"/>
    <xf numFmtId="0" fontId="11" fillId="0" borderId="0" xfId="1" applyAlignment="1" applyProtection="1"/>
    <xf numFmtId="2" fontId="31" fillId="13" borderId="0" xfId="0" applyNumberFormat="1" applyFont="1" applyFill="1"/>
    <xf numFmtId="167" fontId="31" fillId="18" borderId="0" xfId="0" applyNumberFormat="1" applyFont="1" applyFill="1"/>
    <xf numFmtId="0" fontId="18" fillId="19" borderId="0" xfId="0" applyFont="1" applyFill="1"/>
    <xf numFmtId="0" fontId="2" fillId="0" borderId="0" xfId="0" applyFont="1"/>
    <xf numFmtId="2" fontId="2" fillId="0" borderId="0" xfId="0" quotePrefix="1" applyNumberFormat="1" applyFont="1"/>
    <xf numFmtId="0" fontId="0" fillId="0" borderId="0" xfId="0" applyAlignment="1">
      <alignment horizontal="left"/>
    </xf>
    <xf numFmtId="0" fontId="2" fillId="0" borderId="2" xfId="0" applyFont="1" applyBorder="1"/>
    <xf numFmtId="0" fontId="2" fillId="0" borderId="32" xfId="0" applyFont="1" applyBorder="1"/>
    <xf numFmtId="0" fontId="34" fillId="10" borderId="0" xfId="0" applyFont="1" applyFill="1"/>
    <xf numFmtId="0" fontId="22" fillId="22" borderId="0" xfId="0" applyFont="1" applyFill="1" applyAlignment="1">
      <alignment vertical="center"/>
    </xf>
    <xf numFmtId="0" fontId="0" fillId="21" borderId="0" xfId="0" applyFill="1"/>
    <xf numFmtId="0" fontId="25" fillId="10" borderId="0" xfId="0" applyFont="1" applyFill="1" applyAlignment="1">
      <alignment horizontal="right"/>
    </xf>
    <xf numFmtId="0" fontId="3" fillId="10" borderId="0" xfId="0" applyFont="1" applyFill="1" applyAlignment="1">
      <alignment horizontal="right"/>
    </xf>
    <xf numFmtId="0" fontId="2" fillId="10" borderId="0" xfId="0" applyFont="1" applyFill="1" applyAlignment="1">
      <alignment horizontal="right"/>
    </xf>
    <xf numFmtId="0" fontId="2" fillId="10" borderId="32" xfId="0" applyFont="1" applyFill="1" applyBorder="1" applyAlignment="1">
      <alignment horizontal="right"/>
    </xf>
    <xf numFmtId="0" fontId="2" fillId="10" borderId="29" xfId="0" applyFont="1" applyFill="1" applyBorder="1"/>
    <xf numFmtId="0" fontId="2" fillId="10" borderId="0" xfId="0" applyFont="1" applyFill="1"/>
    <xf numFmtId="0" fontId="3" fillId="22" borderId="0" xfId="0" applyFont="1" applyFill="1" applyProtection="1">
      <protection locked="0"/>
    </xf>
    <xf numFmtId="0" fontId="58" fillId="10" borderId="0" xfId="0" applyFont="1" applyFill="1"/>
    <xf numFmtId="1" fontId="3" fillId="22" borderId="0" xfId="0" applyNumberFormat="1" applyFont="1" applyFill="1" applyProtection="1">
      <protection locked="0"/>
    </xf>
    <xf numFmtId="0" fontId="59" fillId="10" borderId="0" xfId="0" applyFont="1" applyFill="1"/>
    <xf numFmtId="0" fontId="6" fillId="10" borderId="0" xfId="0" applyFont="1" applyFill="1" applyAlignment="1">
      <alignment horizontal="right"/>
    </xf>
    <xf numFmtId="0" fontId="57" fillId="10" borderId="0" xfId="0" applyFont="1" applyFill="1"/>
    <xf numFmtId="0" fontId="60" fillId="10" borderId="0" xfId="0" applyFont="1" applyFill="1"/>
    <xf numFmtId="0" fontId="3" fillId="10" borderId="0" xfId="0" applyFont="1" applyFill="1"/>
    <xf numFmtId="168" fontId="3" fillId="10" borderId="0" xfId="0" applyNumberFormat="1" applyFont="1" applyFill="1"/>
    <xf numFmtId="0" fontId="2" fillId="19" borderId="0" xfId="0" applyFont="1" applyFill="1"/>
    <xf numFmtId="0" fontId="3" fillId="10" borderId="29" xfId="0" applyFont="1" applyFill="1" applyBorder="1"/>
    <xf numFmtId="0" fontId="60" fillId="19" borderId="0" xfId="0" applyFont="1" applyFill="1"/>
    <xf numFmtId="1" fontId="57" fillId="10" borderId="0" xfId="0" applyNumberFormat="1" applyFont="1" applyFill="1" applyAlignment="1">
      <alignment horizontal="right"/>
    </xf>
    <xf numFmtId="0" fontId="62" fillId="16" borderId="20" xfId="0" applyFont="1" applyFill="1" applyBorder="1"/>
    <xf numFmtId="0" fontId="60" fillId="10" borderId="0" xfId="0" applyFont="1" applyFill="1" applyAlignment="1">
      <alignment vertical="center"/>
    </xf>
    <xf numFmtId="0" fontId="7" fillId="10" borderId="0" xfId="0" applyFont="1" applyFill="1" applyAlignment="1">
      <alignment horizontal="right"/>
    </xf>
    <xf numFmtId="168" fontId="7" fillId="10" borderId="0" xfId="0" applyNumberFormat="1" applyFont="1" applyFill="1"/>
    <xf numFmtId="0" fontId="7" fillId="10" borderId="0" xfId="0" applyFont="1" applyFill="1"/>
    <xf numFmtId="168" fontId="3" fillId="19" borderId="0" xfId="0" applyNumberFormat="1" applyFont="1" applyFill="1" applyAlignment="1">
      <alignment horizontal="right" vertical="center"/>
    </xf>
    <xf numFmtId="168" fontId="2" fillId="19" borderId="0" xfId="0" applyNumberFormat="1" applyFont="1" applyFill="1" applyAlignment="1">
      <alignment horizontal="right"/>
    </xf>
    <xf numFmtId="0" fontId="2" fillId="19" borderId="0" xfId="0" applyFont="1" applyFill="1" applyAlignment="1">
      <alignment horizontal="left"/>
    </xf>
    <xf numFmtId="1" fontId="3" fillId="19" borderId="0" xfId="0" applyNumberFormat="1" applyFont="1" applyFill="1" applyAlignment="1">
      <alignment horizontal="right" vertical="center"/>
    </xf>
    <xf numFmtId="1" fontId="2" fillId="19" borderId="0" xfId="0" applyNumberFormat="1" applyFont="1" applyFill="1" applyAlignment="1">
      <alignment horizontal="right"/>
    </xf>
    <xf numFmtId="1" fontId="3" fillId="19" borderId="0" xfId="0" applyNumberFormat="1" applyFont="1" applyFill="1" applyAlignment="1" applyProtection="1">
      <alignment horizontal="right" vertical="center"/>
      <protection locked="0" hidden="1"/>
    </xf>
    <xf numFmtId="0" fontId="3" fillId="10" borderId="0" xfId="0" applyFont="1" applyFill="1" applyAlignment="1">
      <alignment horizontal="left"/>
    </xf>
    <xf numFmtId="0" fontId="63" fillId="10" borderId="0" xfId="0" applyFont="1" applyFill="1"/>
    <xf numFmtId="0" fontId="2" fillId="10" borderId="0" xfId="0" applyFont="1" applyFill="1" applyAlignment="1">
      <alignment horizontal="left"/>
    </xf>
    <xf numFmtId="0" fontId="61" fillId="22" borderId="0" xfId="0" applyFont="1" applyFill="1" applyAlignment="1" applyProtection="1">
      <alignment horizontal="right"/>
      <protection locked="0" hidden="1"/>
    </xf>
    <xf numFmtId="0" fontId="65" fillId="16" borderId="20" xfId="0" applyFont="1" applyFill="1" applyBorder="1"/>
    <xf numFmtId="0" fontId="24" fillId="10" borderId="29" xfId="0" applyFont="1" applyFill="1" applyBorder="1"/>
    <xf numFmtId="2" fontId="2" fillId="10" borderId="0" xfId="0" applyNumberFormat="1" applyFont="1" applyFill="1"/>
    <xf numFmtId="168" fontId="2" fillId="10" borderId="0" xfId="0" applyNumberFormat="1" applyFont="1" applyFill="1"/>
    <xf numFmtId="1" fontId="2" fillId="10" borderId="0" xfId="0" applyNumberFormat="1" applyFont="1" applyFill="1"/>
    <xf numFmtId="1" fontId="2" fillId="10" borderId="0" xfId="0" applyNumberFormat="1" applyFont="1" applyFill="1" applyAlignment="1">
      <alignment horizontal="right"/>
    </xf>
    <xf numFmtId="0" fontId="67" fillId="10" borderId="0" xfId="0" applyFont="1" applyFill="1" applyAlignment="1">
      <alignment horizontal="right"/>
    </xf>
    <xf numFmtId="1" fontId="67" fillId="22" borderId="0" xfId="0" applyNumberFormat="1" applyFont="1" applyFill="1" applyAlignment="1" applyProtection="1">
      <alignment horizontal="right"/>
      <protection locked="0"/>
    </xf>
    <xf numFmtId="0" fontId="67" fillId="22" borderId="0" xfId="0" applyFont="1" applyFill="1" applyProtection="1">
      <protection locked="0"/>
    </xf>
    <xf numFmtId="168" fontId="67" fillId="22" borderId="0" xfId="0" applyNumberFormat="1" applyFont="1" applyFill="1" applyAlignment="1" applyProtection="1">
      <alignment horizontal="right" vertical="center"/>
      <protection locked="0" hidden="1"/>
    </xf>
    <xf numFmtId="1" fontId="67" fillId="22" borderId="0" xfId="0" applyNumberFormat="1" applyFont="1" applyFill="1" applyAlignment="1" applyProtection="1">
      <alignment horizontal="right" vertical="center"/>
      <protection locked="0" hidden="1"/>
    </xf>
    <xf numFmtId="0" fontId="2" fillId="10" borderId="2" xfId="0" applyFont="1" applyFill="1" applyBorder="1"/>
    <xf numFmtId="0" fontId="2" fillId="10" borderId="2" xfId="0" applyFont="1" applyFill="1" applyBorder="1" applyAlignment="1">
      <alignment horizontal="right"/>
    </xf>
    <xf numFmtId="0" fontId="67" fillId="10" borderId="2" xfId="0" applyFont="1" applyFill="1" applyBorder="1" applyAlignment="1">
      <alignment horizontal="right"/>
    </xf>
    <xf numFmtId="0" fontId="3" fillId="22" borderId="2" xfId="0" applyFont="1" applyFill="1" applyBorder="1" applyProtection="1">
      <protection locked="0"/>
    </xf>
    <xf numFmtId="0" fontId="3" fillId="10" borderId="3" xfId="0" applyFont="1" applyFill="1" applyBorder="1"/>
    <xf numFmtId="0" fontId="3" fillId="10" borderId="30" xfId="0" applyFont="1" applyFill="1" applyBorder="1"/>
    <xf numFmtId="0" fontId="2" fillId="10" borderId="31" xfId="0" applyFont="1" applyFill="1" applyBorder="1"/>
    <xf numFmtId="0" fontId="2" fillId="10" borderId="32" xfId="0" applyFont="1" applyFill="1" applyBorder="1"/>
    <xf numFmtId="0" fontId="2" fillId="10" borderId="33" xfId="0" applyFont="1" applyFill="1" applyBorder="1"/>
    <xf numFmtId="0" fontId="2" fillId="10" borderId="3" xfId="0" applyFont="1" applyFill="1" applyBorder="1"/>
    <xf numFmtId="0" fontId="2" fillId="10" borderId="30" xfId="0" applyFont="1" applyFill="1" applyBorder="1"/>
    <xf numFmtId="168" fontId="2" fillId="10" borderId="32" xfId="0" applyNumberFormat="1" applyFont="1" applyFill="1" applyBorder="1"/>
    <xf numFmtId="0" fontId="3" fillId="10" borderId="2" xfId="0" applyFont="1" applyFill="1" applyBorder="1"/>
    <xf numFmtId="0" fontId="3" fillId="10" borderId="2" xfId="0" applyFont="1" applyFill="1" applyBorder="1" applyAlignment="1">
      <alignment horizontal="right"/>
    </xf>
    <xf numFmtId="1" fontId="3" fillId="22" borderId="2" xfId="0" applyNumberFormat="1" applyFont="1" applyFill="1" applyBorder="1" applyProtection="1">
      <protection locked="0"/>
    </xf>
    <xf numFmtId="0" fontId="67" fillId="19" borderId="2" xfId="0" applyFont="1" applyFill="1" applyBorder="1" applyAlignment="1">
      <alignment horizontal="right"/>
    </xf>
    <xf numFmtId="0" fontId="3" fillId="10" borderId="30" xfId="0" applyFont="1" applyFill="1" applyBorder="1" applyAlignment="1">
      <alignment horizontal="left"/>
    </xf>
    <xf numFmtId="168" fontId="2" fillId="10" borderId="2" xfId="0" applyNumberFormat="1" applyFont="1" applyFill="1" applyBorder="1"/>
    <xf numFmtId="0" fontId="2" fillId="19" borderId="42" xfId="0" applyFont="1" applyFill="1" applyBorder="1" applyAlignment="1">
      <alignment horizontal="left"/>
    </xf>
    <xf numFmtId="0" fontId="61" fillId="22" borderId="42" xfId="0" applyFont="1" applyFill="1" applyBorder="1" applyAlignment="1" applyProtection="1">
      <alignment horizontal="right"/>
      <protection locked="0" hidden="1"/>
    </xf>
    <xf numFmtId="0" fontId="61" fillId="10" borderId="43" xfId="0" applyFont="1" applyFill="1" applyBorder="1" applyAlignment="1">
      <alignment horizontal="left"/>
    </xf>
    <xf numFmtId="0" fontId="61" fillId="10" borderId="30" xfId="0" applyFont="1" applyFill="1" applyBorder="1" applyAlignment="1">
      <alignment horizontal="left"/>
    </xf>
    <xf numFmtId="168" fontId="3" fillId="10" borderId="44" xfId="0" applyNumberFormat="1" applyFont="1" applyFill="1" applyBorder="1" applyAlignment="1">
      <alignment horizontal="right"/>
    </xf>
    <xf numFmtId="168" fontId="3" fillId="10" borderId="29" xfId="0" applyNumberFormat="1" applyFont="1" applyFill="1" applyBorder="1" applyAlignment="1">
      <alignment horizontal="right"/>
    </xf>
    <xf numFmtId="0" fontId="3" fillId="10" borderId="44" xfId="0" applyFont="1" applyFill="1" applyBorder="1" applyAlignment="1">
      <alignment horizontal="center"/>
    </xf>
    <xf numFmtId="0" fontId="3" fillId="10" borderId="29" xfId="0" applyFont="1" applyFill="1" applyBorder="1" applyAlignment="1">
      <alignment horizontal="center"/>
    </xf>
    <xf numFmtId="0" fontId="3" fillId="10" borderId="44" xfId="0" applyFont="1" applyFill="1" applyBorder="1"/>
    <xf numFmtId="0" fontId="3" fillId="10" borderId="42" xfId="0" applyFont="1" applyFill="1" applyBorder="1"/>
    <xf numFmtId="0" fontId="2" fillId="10" borderId="42" xfId="0" applyFont="1" applyFill="1" applyBorder="1"/>
    <xf numFmtId="0" fontId="2" fillId="10" borderId="43" xfId="0" applyFont="1" applyFill="1" applyBorder="1"/>
    <xf numFmtId="0" fontId="2" fillId="10" borderId="42" xfId="0" applyFont="1" applyFill="1" applyBorder="1" applyAlignment="1">
      <alignment vertical="center"/>
    </xf>
    <xf numFmtId="0" fontId="2" fillId="10" borderId="46" xfId="0" applyFont="1" applyFill="1" applyBorder="1"/>
    <xf numFmtId="0" fontId="3" fillId="10" borderId="46" xfId="0" applyFont="1" applyFill="1" applyBorder="1" applyAlignment="1">
      <alignment horizontal="right"/>
    </xf>
    <xf numFmtId="0" fontId="2" fillId="10" borderId="47" xfId="0" applyFont="1" applyFill="1" applyBorder="1"/>
    <xf numFmtId="0" fontId="2" fillId="19" borderId="46" xfId="0" applyFont="1" applyFill="1" applyBorder="1" applyAlignment="1">
      <alignment horizontal="left"/>
    </xf>
    <xf numFmtId="0" fontId="61" fillId="22" borderId="46" xfId="0" applyFont="1" applyFill="1" applyBorder="1" applyAlignment="1" applyProtection="1">
      <alignment horizontal="right"/>
      <protection locked="0" hidden="1"/>
    </xf>
    <xf numFmtId="0" fontId="61" fillId="10" borderId="47" xfId="0" applyFont="1" applyFill="1" applyBorder="1" applyAlignment="1">
      <alignment horizontal="left"/>
    </xf>
    <xf numFmtId="0" fontId="64" fillId="10" borderId="45" xfId="0" applyFont="1" applyFill="1" applyBorder="1" applyAlignment="1">
      <alignment horizontal="left"/>
    </xf>
    <xf numFmtId="0" fontId="64" fillId="10" borderId="47" xfId="0" applyFont="1" applyFill="1" applyBorder="1"/>
    <xf numFmtId="0" fontId="3" fillId="10" borderId="43" xfId="0" applyFont="1" applyFill="1" applyBorder="1" applyAlignment="1">
      <alignment horizontal="left"/>
    </xf>
    <xf numFmtId="168" fontId="2" fillId="10" borderId="42" xfId="0" applyNumberFormat="1" applyFont="1" applyFill="1" applyBorder="1" applyAlignment="1">
      <alignment horizontal="left" vertical="center"/>
    </xf>
    <xf numFmtId="1" fontId="2" fillId="10" borderId="0" xfId="0" applyNumberFormat="1" applyFont="1" applyFill="1" applyAlignment="1">
      <alignment horizontal="left" vertical="center"/>
    </xf>
    <xf numFmtId="1" fontId="2" fillId="10" borderId="46" xfId="0" applyNumberFormat="1" applyFont="1" applyFill="1" applyBorder="1" applyAlignment="1">
      <alignment horizontal="left" vertical="center"/>
    </xf>
    <xf numFmtId="1" fontId="3" fillId="19" borderId="46" xfId="0" applyNumberFormat="1" applyFont="1" applyFill="1" applyBorder="1" applyAlignment="1">
      <alignment horizontal="right" vertical="center"/>
    </xf>
    <xf numFmtId="1" fontId="67" fillId="22" borderId="46" xfId="0" applyNumberFormat="1" applyFont="1" applyFill="1" applyBorder="1" applyAlignment="1" applyProtection="1">
      <alignment horizontal="right" vertical="center"/>
      <protection locked="0" hidden="1"/>
    </xf>
    <xf numFmtId="0" fontId="3" fillId="10" borderId="47" xfId="0" applyFont="1" applyFill="1" applyBorder="1" applyAlignment="1">
      <alignment horizontal="left"/>
    </xf>
    <xf numFmtId="0" fontId="24" fillId="10" borderId="29" xfId="0" applyFont="1" applyFill="1" applyBorder="1" applyAlignment="1">
      <alignment vertical="center"/>
    </xf>
    <xf numFmtId="0" fontId="2" fillId="10" borderId="44" xfId="0" applyFont="1" applyFill="1" applyBorder="1"/>
    <xf numFmtId="0" fontId="2" fillId="19" borderId="29" xfId="0" applyFont="1" applyFill="1" applyBorder="1"/>
    <xf numFmtId="1" fontId="3" fillId="19" borderId="29" xfId="0" applyNumberFormat="1" applyFont="1" applyFill="1" applyBorder="1" applyAlignment="1">
      <alignment horizontal="right" vertical="center"/>
    </xf>
    <xf numFmtId="0" fontId="3" fillId="10" borderId="31" xfId="0" applyFont="1" applyFill="1" applyBorder="1" applyAlignment="1">
      <alignment horizontal="center"/>
    </xf>
    <xf numFmtId="0" fontId="62" fillId="16" borderId="48" xfId="0" applyFont="1" applyFill="1" applyBorder="1"/>
    <xf numFmtId="0" fontId="18" fillId="3" borderId="29" xfId="0" applyFont="1" applyFill="1" applyBorder="1"/>
    <xf numFmtId="0" fontId="18" fillId="19" borderId="29" xfId="0" applyFont="1" applyFill="1" applyBorder="1"/>
    <xf numFmtId="0" fontId="18" fillId="19" borderId="42" xfId="0" applyFont="1" applyFill="1" applyBorder="1"/>
    <xf numFmtId="0" fontId="18" fillId="19" borderId="31" xfId="0" applyFont="1" applyFill="1" applyBorder="1"/>
    <xf numFmtId="0" fontId="18" fillId="19" borderId="46" xfId="0" applyFont="1" applyFill="1" applyBorder="1"/>
    <xf numFmtId="168" fontId="3" fillId="19" borderId="42" xfId="0" applyNumberFormat="1" applyFont="1" applyFill="1" applyBorder="1" applyAlignment="1">
      <alignment horizontal="right" vertical="center"/>
    </xf>
    <xf numFmtId="168" fontId="67" fillId="22" borderId="42" xfId="0" applyNumberFormat="1" applyFont="1" applyFill="1" applyBorder="1" applyAlignment="1" applyProtection="1">
      <alignment horizontal="right" vertical="center"/>
      <protection locked="0" hidden="1"/>
    </xf>
    <xf numFmtId="0" fontId="2" fillId="19" borderId="0" xfId="0" applyFont="1" applyFill="1" applyAlignment="1" applyProtection="1">
      <alignment horizontal="right"/>
      <protection locked="0"/>
    </xf>
    <xf numFmtId="0" fontId="3" fillId="0" borderId="43" xfId="0" applyFont="1" applyBorder="1" applyAlignment="1">
      <alignment horizontal="left"/>
    </xf>
    <xf numFmtId="172" fontId="18" fillId="21" borderId="0" xfId="0" applyNumberFormat="1" applyFont="1" applyFill="1" applyAlignment="1">
      <alignment horizontal="center"/>
    </xf>
    <xf numFmtId="0" fontId="18" fillId="21" borderId="0" xfId="0" applyFont="1" applyFill="1"/>
    <xf numFmtId="172" fontId="27" fillId="21" borderId="0" xfId="0" applyNumberFormat="1" applyFont="1" applyFill="1" applyAlignment="1">
      <alignment horizontal="center"/>
    </xf>
    <xf numFmtId="0" fontId="27" fillId="21" borderId="0" xfId="0" applyFont="1" applyFill="1"/>
    <xf numFmtId="0" fontId="2" fillId="10" borderId="45" xfId="0" applyFont="1" applyFill="1" applyBorder="1"/>
    <xf numFmtId="0" fontId="3" fillId="10" borderId="46" xfId="0" applyFont="1" applyFill="1" applyBorder="1"/>
    <xf numFmtId="0" fontId="2" fillId="10" borderId="49" xfId="0" applyFont="1" applyFill="1" applyBorder="1"/>
    <xf numFmtId="0" fontId="69" fillId="10" borderId="0" xfId="0" applyFont="1" applyFill="1" applyAlignment="1">
      <alignment horizontal="right"/>
    </xf>
    <xf numFmtId="0" fontId="71" fillId="10" borderId="0" xfId="0" applyFont="1" applyFill="1"/>
    <xf numFmtId="0" fontId="71" fillId="10" borderId="30" xfId="0" applyFont="1" applyFill="1" applyBorder="1"/>
    <xf numFmtId="172" fontId="71" fillId="21" borderId="0" xfId="0" applyNumberFormat="1" applyFont="1" applyFill="1" applyAlignment="1">
      <alignment horizontal="center"/>
    </xf>
    <xf numFmtId="0" fontId="71" fillId="21" borderId="0" xfId="0" applyFont="1" applyFill="1"/>
    <xf numFmtId="172" fontId="71" fillId="3" borderId="0" xfId="0" applyNumberFormat="1" applyFont="1" applyFill="1" applyAlignment="1">
      <alignment horizontal="center"/>
    </xf>
    <xf numFmtId="0" fontId="71" fillId="3" borderId="0" xfId="0" applyFont="1" applyFill="1"/>
    <xf numFmtId="0" fontId="69" fillId="10" borderId="42" xfId="0" applyFont="1" applyFill="1" applyBorder="1" applyAlignment="1">
      <alignment horizontal="right"/>
    </xf>
    <xf numFmtId="0" fontId="70" fillId="10" borderId="29" xfId="0" applyFont="1" applyFill="1" applyBorder="1" applyAlignment="1">
      <alignment vertical="center"/>
    </xf>
    <xf numFmtId="0" fontId="69" fillId="10" borderId="0" xfId="0" applyFont="1" applyFill="1" applyAlignment="1">
      <alignment horizontal="right" vertical="center"/>
    </xf>
    <xf numFmtId="168" fontId="69" fillId="10" borderId="46" xfId="0" applyNumberFormat="1" applyFont="1" applyFill="1" applyBorder="1" applyAlignment="1">
      <alignment horizontal="center" vertical="center"/>
    </xf>
    <xf numFmtId="168" fontId="69" fillId="10" borderId="46" xfId="0" applyNumberFormat="1" applyFont="1" applyFill="1" applyBorder="1" applyAlignment="1">
      <alignment vertical="center"/>
    </xf>
    <xf numFmtId="0" fontId="69" fillId="0" borderId="0" xfId="0" applyFont="1" applyAlignment="1">
      <alignment horizontal="left" vertical="center"/>
    </xf>
    <xf numFmtId="0" fontId="2" fillId="0" borderId="1" xfId="0" applyFont="1" applyBorder="1"/>
    <xf numFmtId="0" fontId="2" fillId="0" borderId="29" xfId="0" applyFont="1" applyBorder="1"/>
    <xf numFmtId="2" fontId="0" fillId="0" borderId="0" xfId="0" applyNumberFormat="1" applyAlignment="1">
      <alignment horizontal="right"/>
    </xf>
    <xf numFmtId="0" fontId="3" fillId="22" borderId="0" xfId="0" applyFont="1" applyFill="1" applyAlignment="1" applyProtection="1">
      <alignment horizontal="right"/>
      <protection locked="0"/>
    </xf>
    <xf numFmtId="0" fontId="74" fillId="0" borderId="0" xfId="0" applyFont="1"/>
    <xf numFmtId="0" fontId="2" fillId="10" borderId="0" xfId="2" applyFill="1"/>
    <xf numFmtId="49" fontId="2" fillId="10" borderId="0" xfId="2" applyNumberFormat="1" applyFill="1"/>
    <xf numFmtId="0" fontId="12" fillId="10" borderId="0" xfId="2" applyFont="1" applyFill="1" applyAlignment="1">
      <alignment vertical="center"/>
    </xf>
    <xf numFmtId="0" fontId="2" fillId="23" borderId="17" xfId="2" applyFill="1" applyBorder="1" applyAlignment="1">
      <alignment horizontal="center" vertical="center"/>
    </xf>
    <xf numFmtId="0" fontId="2" fillId="10" borderId="17" xfId="2" applyFill="1" applyBorder="1" applyAlignment="1">
      <alignment horizontal="center" vertical="center"/>
    </xf>
    <xf numFmtId="0" fontId="2" fillId="10" borderId="11" xfId="2" applyFill="1" applyBorder="1" applyAlignment="1">
      <alignment vertical="center" wrapText="1"/>
    </xf>
    <xf numFmtId="0" fontId="2" fillId="10" borderId="11" xfId="2" applyFill="1" applyBorder="1" applyAlignment="1">
      <alignment horizontal="left" vertical="center"/>
    </xf>
    <xf numFmtId="0" fontId="2" fillId="10" borderId="0" xfId="2" applyFill="1" applyAlignment="1">
      <alignment vertical="center"/>
    </xf>
    <xf numFmtId="0" fontId="2" fillId="24" borderId="17" xfId="2" applyFill="1" applyBorder="1" applyAlignment="1">
      <alignment horizontal="center" vertical="center"/>
    </xf>
    <xf numFmtId="0" fontId="2" fillId="24" borderId="11" xfId="2" applyFill="1" applyBorder="1" applyAlignment="1">
      <alignment vertical="center" wrapText="1"/>
    </xf>
    <xf numFmtId="174" fontId="2" fillId="24" borderId="11" xfId="2" applyNumberFormat="1" applyFill="1" applyBorder="1" applyAlignment="1">
      <alignment horizontal="center" vertical="center"/>
    </xf>
    <xf numFmtId="0" fontId="2" fillId="24" borderId="11" xfId="2" quotePrefix="1" applyFill="1" applyBorder="1" applyAlignment="1">
      <alignment horizontal="left" vertical="center"/>
    </xf>
    <xf numFmtId="0" fontId="2" fillId="24" borderId="11" xfId="2" applyFill="1" applyBorder="1" applyAlignment="1">
      <alignment horizontal="left" vertical="center"/>
    </xf>
    <xf numFmtId="0" fontId="2" fillId="24" borderId="11" xfId="2" applyFill="1" applyBorder="1" applyAlignment="1">
      <alignment horizontal="center" vertical="center"/>
    </xf>
    <xf numFmtId="0" fontId="2" fillId="19" borderId="17" xfId="2" applyFill="1" applyBorder="1" applyAlignment="1">
      <alignment horizontal="center" vertical="center"/>
    </xf>
    <xf numFmtId="0" fontId="2" fillId="19" borderId="11" xfId="2" applyFill="1" applyBorder="1" applyAlignment="1">
      <alignment vertical="center" wrapText="1"/>
    </xf>
    <xf numFmtId="174" fontId="2" fillId="19" borderId="11" xfId="2" applyNumberFormat="1" applyFill="1" applyBorder="1" applyAlignment="1">
      <alignment horizontal="center" vertical="center"/>
    </xf>
    <xf numFmtId="0" fontId="2" fillId="19" borderId="11" xfId="2" quotePrefix="1" applyFill="1" applyBorder="1" applyAlignment="1">
      <alignment horizontal="left" vertical="center"/>
    </xf>
    <xf numFmtId="0" fontId="2" fillId="19" borderId="11" xfId="2" applyFill="1" applyBorder="1" applyAlignment="1">
      <alignment horizontal="left" vertical="center"/>
    </xf>
    <xf numFmtId="176" fontId="2" fillId="10" borderId="11" xfId="2" applyNumberFormat="1" applyFill="1" applyBorder="1" applyAlignment="1">
      <alignment horizontal="center" vertical="center"/>
    </xf>
    <xf numFmtId="0" fontId="2" fillId="10" borderId="15" xfId="2" applyFill="1" applyBorder="1" applyAlignment="1">
      <alignment horizontal="left" vertical="center"/>
    </xf>
    <xf numFmtId="49" fontId="2" fillId="10" borderId="11" xfId="2" applyNumberFormat="1" applyFill="1" applyBorder="1" applyAlignment="1">
      <alignment horizontal="left" vertical="center"/>
    </xf>
    <xf numFmtId="0" fontId="2" fillId="23" borderId="11" xfId="2" applyFill="1" applyBorder="1" applyAlignment="1">
      <alignment vertical="center" wrapText="1"/>
    </xf>
    <xf numFmtId="175" fontId="2" fillId="23" borderId="11" xfId="2" applyNumberFormat="1" applyFill="1" applyBorder="1" applyAlignment="1">
      <alignment horizontal="center" vertical="center"/>
    </xf>
    <xf numFmtId="0" fontId="2" fillId="23" borderId="15" xfId="2" applyFill="1" applyBorder="1" applyAlignment="1">
      <alignment horizontal="left" vertical="center"/>
    </xf>
    <xf numFmtId="0" fontId="2" fillId="23" borderId="11" xfId="2" quotePrefix="1" applyFill="1" applyBorder="1" applyAlignment="1">
      <alignment horizontal="left" vertical="center"/>
    </xf>
    <xf numFmtId="0" fontId="2" fillId="23" borderId="11" xfId="2" applyFill="1" applyBorder="1" applyAlignment="1">
      <alignment horizontal="left" vertical="center"/>
    </xf>
    <xf numFmtId="0" fontId="2" fillId="19" borderId="15" xfId="2" applyFill="1" applyBorder="1" applyAlignment="1">
      <alignment horizontal="left" vertical="center"/>
    </xf>
    <xf numFmtId="176" fontId="2" fillId="19" borderId="11" xfId="2" applyNumberFormat="1" applyFill="1" applyBorder="1" applyAlignment="1">
      <alignment horizontal="center" vertical="center"/>
    </xf>
    <xf numFmtId="176" fontId="2" fillId="23" borderId="11" xfId="2" applyNumberFormat="1" applyFill="1" applyBorder="1" applyAlignment="1">
      <alignment horizontal="center" vertical="center"/>
    </xf>
    <xf numFmtId="0" fontId="2" fillId="19" borderId="11" xfId="2" applyFill="1" applyBorder="1" applyAlignment="1">
      <alignment horizontal="center" vertical="center"/>
    </xf>
    <xf numFmtId="177" fontId="2" fillId="23" borderId="11" xfId="2" applyNumberFormat="1" applyFill="1" applyBorder="1" applyAlignment="1">
      <alignment horizontal="center" vertical="center"/>
    </xf>
    <xf numFmtId="0" fontId="63" fillId="10" borderId="11" xfId="2" applyFont="1" applyFill="1" applyBorder="1" applyAlignment="1">
      <alignment horizontal="center" vertical="center"/>
    </xf>
    <xf numFmtId="0" fontId="3" fillId="10" borderId="17" xfId="2" applyFont="1" applyFill="1" applyBorder="1" applyAlignment="1">
      <alignment horizontal="center" vertical="center"/>
    </xf>
    <xf numFmtId="0" fontId="3" fillId="10" borderId="11" xfId="2" applyFont="1" applyFill="1" applyBorder="1" applyAlignment="1">
      <alignment vertical="center" wrapText="1"/>
    </xf>
    <xf numFmtId="0" fontId="3" fillId="10" borderId="11" xfId="2" applyFont="1" applyFill="1" applyBorder="1" applyAlignment="1">
      <alignment horizontal="left" vertical="center"/>
    </xf>
    <xf numFmtId="0" fontId="2" fillId="19" borderId="0" xfId="2" applyFill="1"/>
    <xf numFmtId="49" fontId="2" fillId="19" borderId="0" xfId="2" applyNumberFormat="1" applyFill="1"/>
    <xf numFmtId="0" fontId="3" fillId="19" borderId="44" xfId="0" applyFont="1" applyFill="1" applyBorder="1"/>
    <xf numFmtId="0" fontId="3" fillId="22" borderId="46" xfId="0" applyFont="1" applyFill="1" applyBorder="1" applyProtection="1">
      <protection locked="0"/>
    </xf>
    <xf numFmtId="0" fontId="76" fillId="19" borderId="0" xfId="0" applyFont="1" applyFill="1"/>
    <xf numFmtId="0" fontId="3" fillId="10" borderId="0" xfId="2" applyFont="1" applyFill="1"/>
    <xf numFmtId="0" fontId="63" fillId="10" borderId="42" xfId="0" applyFont="1" applyFill="1" applyBorder="1" applyProtection="1">
      <protection locked="0"/>
    </xf>
    <xf numFmtId="1" fontId="0" fillId="4" borderId="0" xfId="0" applyNumberFormat="1" applyFill="1"/>
    <xf numFmtId="0" fontId="63" fillId="10" borderId="29" xfId="0" applyFont="1" applyFill="1" applyBorder="1" applyAlignment="1">
      <alignment vertical="center"/>
    </xf>
    <xf numFmtId="0" fontId="0" fillId="14" borderId="2" xfId="0" applyFill="1" applyBorder="1"/>
    <xf numFmtId="0" fontId="3" fillId="5" borderId="55" xfId="0" applyFont="1" applyFill="1" applyBorder="1"/>
    <xf numFmtId="2" fontId="7" fillId="13" borderId="0" xfId="0" applyNumberFormat="1" applyFont="1" applyFill="1"/>
    <xf numFmtId="168" fontId="7" fillId="13" borderId="0" xfId="0" applyNumberFormat="1" applyFont="1" applyFill="1"/>
    <xf numFmtId="11" fontId="7" fillId="13" borderId="0" xfId="0" applyNumberFormat="1" applyFont="1" applyFill="1"/>
    <xf numFmtId="0" fontId="22" fillId="25" borderId="48" xfId="0" applyFont="1" applyFill="1" applyBorder="1"/>
    <xf numFmtId="0" fontId="22" fillId="25" borderId="49" xfId="0" applyFont="1" applyFill="1" applyBorder="1"/>
    <xf numFmtId="0" fontId="18" fillId="25" borderId="49" xfId="0" applyFont="1" applyFill="1" applyBorder="1"/>
    <xf numFmtId="172" fontId="18" fillId="25" borderId="46" xfId="0" applyNumberFormat="1" applyFont="1" applyFill="1" applyBorder="1" applyAlignment="1">
      <alignment horizontal="center"/>
    </xf>
    <xf numFmtId="0" fontId="18" fillId="25" borderId="0" xfId="0" applyFont="1" applyFill="1"/>
    <xf numFmtId="172" fontId="18" fillId="25" borderId="0" xfId="0" applyNumberFormat="1" applyFont="1" applyFill="1" applyAlignment="1">
      <alignment horizontal="center"/>
    </xf>
    <xf numFmtId="172" fontId="71" fillId="25" borderId="0" xfId="0" applyNumberFormat="1" applyFont="1" applyFill="1" applyAlignment="1">
      <alignment horizontal="center"/>
    </xf>
    <xf numFmtId="172" fontId="27" fillId="25" borderId="0" xfId="0" applyNumberFormat="1" applyFont="1" applyFill="1" applyAlignment="1">
      <alignment horizontal="center"/>
    </xf>
    <xf numFmtId="0" fontId="28" fillId="25" borderId="0" xfId="0" applyFont="1" applyFill="1" applyAlignment="1">
      <alignment horizontal="left"/>
    </xf>
    <xf numFmtId="0" fontId="26" fillId="25" borderId="0" xfId="0" applyFont="1" applyFill="1" applyAlignment="1">
      <alignment horizontal="left" vertical="center"/>
    </xf>
    <xf numFmtId="0" fontId="73" fillId="25" borderId="0" xfId="0" applyFont="1" applyFill="1" applyAlignment="1">
      <alignment horizontal="left" vertical="center"/>
    </xf>
    <xf numFmtId="0" fontId="22" fillId="25" borderId="0" xfId="0" applyFont="1" applyFill="1" applyAlignment="1">
      <alignment vertical="center"/>
    </xf>
    <xf numFmtId="0" fontId="26" fillId="25" borderId="0" xfId="0" quotePrefix="1" applyFont="1" applyFill="1" applyAlignment="1">
      <alignment vertical="center"/>
    </xf>
    <xf numFmtId="0" fontId="30" fillId="25" borderId="0" xfId="0" applyFont="1" applyFill="1" applyAlignment="1">
      <alignment vertical="center"/>
    </xf>
    <xf numFmtId="0" fontId="30" fillId="25" borderId="0" xfId="0" applyFont="1" applyFill="1"/>
    <xf numFmtId="0" fontId="32" fillId="25" borderId="31" xfId="0" applyFont="1" applyFill="1" applyBorder="1"/>
    <xf numFmtId="0" fontId="32" fillId="25" borderId="32" xfId="0" applyFont="1" applyFill="1" applyBorder="1"/>
    <xf numFmtId="0" fontId="22" fillId="25" borderId="32" xfId="0" applyFont="1" applyFill="1" applyBorder="1"/>
    <xf numFmtId="0" fontId="26" fillId="25" borderId="56" xfId="0" applyFont="1" applyFill="1" applyBorder="1" applyAlignment="1">
      <alignment horizontal="left" vertical="center"/>
    </xf>
    <xf numFmtId="0" fontId="79" fillId="25" borderId="0" xfId="1" applyFont="1" applyFill="1" applyBorder="1" applyAlignment="1" applyProtection="1">
      <alignment horizontal="left" vertical="center"/>
    </xf>
    <xf numFmtId="0" fontId="2" fillId="10" borderId="0" xfId="0" applyFont="1" applyFill="1" applyAlignment="1">
      <alignment horizontal="right" vertical="center"/>
    </xf>
    <xf numFmtId="0" fontId="2" fillId="10" borderId="56" xfId="0" applyFont="1" applyFill="1" applyBorder="1"/>
    <xf numFmtId="0" fontId="63" fillId="0" borderId="0" xfId="0" applyFont="1"/>
    <xf numFmtId="0" fontId="63" fillId="0" borderId="0" xfId="0" applyFont="1" applyAlignment="1">
      <alignment horizontal="left"/>
    </xf>
    <xf numFmtId="0" fontId="2" fillId="0" borderId="0" xfId="2"/>
    <xf numFmtId="167" fontId="0" fillId="4" borderId="0" xfId="0" applyNumberFormat="1" applyFill="1"/>
    <xf numFmtId="2" fontId="0" fillId="13" borderId="0" xfId="0" applyNumberFormat="1" applyFill="1"/>
    <xf numFmtId="0" fontId="0" fillId="0" borderId="56" xfId="0" applyBorder="1"/>
    <xf numFmtId="0" fontId="2" fillId="0" borderId="56" xfId="0" applyFont="1" applyBorder="1"/>
    <xf numFmtId="167" fontId="7" fillId="13" borderId="2" xfId="0" applyNumberFormat="1" applyFont="1" applyFill="1" applyBorder="1"/>
    <xf numFmtId="166" fontId="7" fillId="13" borderId="0" xfId="0" applyNumberFormat="1" applyFont="1" applyFill="1"/>
    <xf numFmtId="167" fontId="7" fillId="13" borderId="0" xfId="0" applyNumberFormat="1" applyFont="1" applyFill="1"/>
    <xf numFmtId="0" fontId="7" fillId="0" borderId="56" xfId="0" applyFont="1" applyBorder="1"/>
    <xf numFmtId="0" fontId="3" fillId="13" borderId="0" xfId="0" applyFont="1" applyFill="1" applyAlignment="1">
      <alignment horizontal="right"/>
    </xf>
    <xf numFmtId="168" fontId="0" fillId="4" borderId="0" xfId="0" applyNumberFormat="1" applyFill="1"/>
    <xf numFmtId="167" fontId="7" fillId="19" borderId="0" xfId="0" applyNumberFormat="1" applyFont="1" applyFill="1"/>
    <xf numFmtId="0" fontId="82" fillId="19" borderId="42" xfId="0" applyFont="1" applyFill="1" applyBorder="1" applyAlignment="1">
      <alignment horizontal="left" vertical="center"/>
    </xf>
    <xf numFmtId="0" fontId="2" fillId="19" borderId="42" xfId="0" applyFont="1" applyFill="1" applyBorder="1"/>
    <xf numFmtId="0" fontId="66" fillId="10" borderId="46" xfId="0" applyFont="1" applyFill="1" applyBorder="1" applyAlignment="1">
      <alignment horizontal="right"/>
    </xf>
    <xf numFmtId="0" fontId="2" fillId="10" borderId="46" xfId="0" applyFont="1" applyFill="1" applyBorder="1" applyAlignment="1">
      <alignment horizontal="right"/>
    </xf>
    <xf numFmtId="168" fontId="0" fillId="19" borderId="0" xfId="0" applyNumberFormat="1" applyFill="1"/>
    <xf numFmtId="0" fontId="67" fillId="10" borderId="42" xfId="0" applyFont="1" applyFill="1" applyBorder="1" applyAlignment="1">
      <alignment horizontal="right"/>
    </xf>
    <xf numFmtId="0" fontId="3" fillId="10" borderId="43" xfId="0" applyFont="1" applyFill="1" applyBorder="1"/>
    <xf numFmtId="0" fontId="3" fillId="22" borderId="42" xfId="0" applyFont="1" applyFill="1" applyBorder="1" applyProtection="1">
      <protection locked="0"/>
    </xf>
    <xf numFmtId="1" fontId="66" fillId="19" borderId="30" xfId="0" applyNumberFormat="1" applyFont="1" applyFill="1" applyBorder="1" applyAlignment="1" applyProtection="1">
      <alignment horizontal="left"/>
      <protection locked="0"/>
    </xf>
    <xf numFmtId="0" fontId="2" fillId="6" borderId="11" xfId="0" applyFont="1" applyFill="1" applyBorder="1"/>
    <xf numFmtId="166" fontId="0" fillId="0" borderId="0" xfId="0" applyNumberFormat="1"/>
    <xf numFmtId="167" fontId="0" fillId="0" borderId="0" xfId="0" applyNumberFormat="1"/>
    <xf numFmtId="166" fontId="0" fillId="0" borderId="0" xfId="0" applyNumberFormat="1" applyAlignment="1">
      <alignment horizontal="left" indent="1"/>
    </xf>
    <xf numFmtId="167" fontId="16" fillId="7" borderId="0" xfId="0" applyNumberFormat="1" applyFont="1" applyFill="1"/>
    <xf numFmtId="167" fontId="8" fillId="0" borderId="0" xfId="0" applyNumberFormat="1" applyFont="1"/>
    <xf numFmtId="168" fontId="16" fillId="0" borderId="0" xfId="0" applyNumberFormat="1" applyFont="1"/>
    <xf numFmtId="165" fontId="0" fillId="0" borderId="0" xfId="0" applyNumberFormat="1"/>
    <xf numFmtId="165" fontId="16" fillId="0" borderId="0" xfId="0" applyNumberFormat="1" applyFont="1"/>
    <xf numFmtId="0" fontId="2" fillId="4" borderId="43" xfId="0" applyFont="1" applyFill="1" applyBorder="1"/>
    <xf numFmtId="0" fontId="74" fillId="0" borderId="11" xfId="0" applyFont="1" applyBorder="1"/>
    <xf numFmtId="0" fontId="2" fillId="0" borderId="11" xfId="0" applyFont="1" applyBorder="1"/>
    <xf numFmtId="0" fontId="2" fillId="0" borderId="13" xfId="0" applyFont="1" applyBorder="1"/>
    <xf numFmtId="0" fontId="2" fillId="0" borderId="15" xfId="0" applyFont="1" applyBorder="1"/>
    <xf numFmtId="0" fontId="2" fillId="0" borderId="16" xfId="0" applyFont="1" applyBorder="1"/>
    <xf numFmtId="1" fontId="3" fillId="13" borderId="0" xfId="0" applyNumberFormat="1" applyFont="1" applyFill="1"/>
    <xf numFmtId="2" fontId="3" fillId="13" borderId="0" xfId="0" applyNumberFormat="1" applyFont="1" applyFill="1"/>
    <xf numFmtId="1" fontId="3" fillId="10" borderId="29" xfId="0" applyNumberFormat="1" applyFont="1" applyFill="1" applyBorder="1" applyAlignment="1">
      <alignment horizontal="right"/>
    </xf>
    <xf numFmtId="0" fontId="3" fillId="10" borderId="8" xfId="2" applyFont="1" applyFill="1" applyBorder="1" applyAlignment="1">
      <alignment horizontal="left" vertical="center"/>
    </xf>
    <xf numFmtId="178" fontId="2" fillId="19" borderId="8" xfId="2" applyNumberFormat="1" applyFill="1" applyBorder="1" applyAlignment="1">
      <alignment horizontal="left" vertical="center"/>
    </xf>
    <xf numFmtId="178" fontId="2" fillId="19" borderId="9" xfId="2" applyNumberFormat="1" applyFill="1" applyBorder="1" applyAlignment="1">
      <alignment horizontal="left" vertical="center"/>
    </xf>
    <xf numFmtId="178" fontId="2" fillId="19" borderId="15" xfId="2" applyNumberFormat="1" applyFill="1" applyBorder="1" applyAlignment="1">
      <alignment horizontal="left" vertical="center"/>
    </xf>
    <xf numFmtId="0" fontId="2" fillId="0" borderId="0" xfId="0" applyFont="1" applyAlignment="1">
      <alignment horizontal="right"/>
    </xf>
    <xf numFmtId="0" fontId="86" fillId="0" borderId="0" xfId="0" applyFont="1" applyAlignment="1">
      <alignment horizontal="right"/>
    </xf>
    <xf numFmtId="0" fontId="2" fillId="0" borderId="0" xfId="0" quotePrefix="1" applyFont="1"/>
    <xf numFmtId="0" fontId="2" fillId="0" borderId="0" xfId="0" applyFont="1" applyAlignment="1">
      <alignment horizontal="left"/>
    </xf>
    <xf numFmtId="49" fontId="84" fillId="21" borderId="57" xfId="2" applyNumberFormat="1" applyFont="1" applyFill="1" applyBorder="1" applyAlignment="1">
      <alignment horizontal="center" vertical="center"/>
    </xf>
    <xf numFmtId="0" fontId="84" fillId="21" borderId="51" xfId="2" applyFont="1" applyFill="1" applyBorder="1" applyAlignment="1">
      <alignment horizontal="center" vertical="center"/>
    </xf>
    <xf numFmtId="168" fontId="2" fillId="10" borderId="11" xfId="2" applyNumberFormat="1" applyFill="1" applyBorder="1" applyAlignment="1">
      <alignment horizontal="center" vertical="center"/>
    </xf>
    <xf numFmtId="2" fontId="2" fillId="10" borderId="11" xfId="2" applyNumberFormat="1" applyFill="1" applyBorder="1" applyAlignment="1">
      <alignment horizontal="center" vertical="center"/>
    </xf>
    <xf numFmtId="0" fontId="2" fillId="10" borderId="8" xfId="2" applyFill="1" applyBorder="1" applyAlignment="1">
      <alignment horizontal="left" vertical="center"/>
    </xf>
    <xf numFmtId="0" fontId="2" fillId="23" borderId="8" xfId="2" applyFill="1" applyBorder="1" applyAlignment="1">
      <alignment horizontal="left" vertical="center"/>
    </xf>
    <xf numFmtId="0" fontId="2" fillId="19" borderId="8" xfId="2" applyFill="1" applyBorder="1" applyAlignment="1">
      <alignment horizontal="left" vertical="center"/>
    </xf>
    <xf numFmtId="0" fontId="2" fillId="24" borderId="8" xfId="2" applyFill="1" applyBorder="1" applyAlignment="1">
      <alignment horizontal="left" vertical="center"/>
    </xf>
    <xf numFmtId="0" fontId="2" fillId="10" borderId="58" xfId="2" applyFill="1" applyBorder="1" applyAlignment="1">
      <alignment horizontal="center" vertical="center"/>
    </xf>
    <xf numFmtId="0" fontId="2" fillId="24" borderId="58" xfId="2" applyFill="1" applyBorder="1" applyAlignment="1">
      <alignment horizontal="center" vertical="center"/>
    </xf>
    <xf numFmtId="168" fontId="2" fillId="24" borderId="11" xfId="2" applyNumberFormat="1" applyFill="1" applyBorder="1" applyAlignment="1">
      <alignment horizontal="center" vertical="center"/>
    </xf>
    <xf numFmtId="0" fontId="75" fillId="3" borderId="50" xfId="2" applyFont="1" applyFill="1" applyBorder="1" applyAlignment="1">
      <alignment horizontal="center" vertical="center"/>
    </xf>
    <xf numFmtId="0" fontId="75" fillId="3" borderId="51" xfId="2" applyFont="1" applyFill="1" applyBorder="1" applyAlignment="1">
      <alignment horizontal="center" vertical="center"/>
    </xf>
    <xf numFmtId="168" fontId="88" fillId="0" borderId="0" xfId="2" applyNumberFormat="1" applyFont="1" applyAlignment="1">
      <alignment horizontal="right" vertical="center"/>
    </xf>
    <xf numFmtId="0" fontId="88" fillId="10" borderId="0" xfId="2" applyFont="1" applyFill="1" applyAlignment="1">
      <alignment horizontal="left"/>
    </xf>
    <xf numFmtId="166" fontId="88" fillId="10" borderId="0" xfId="2" applyNumberFormat="1" applyFont="1" applyFill="1" applyAlignment="1">
      <alignment vertical="center"/>
    </xf>
    <xf numFmtId="165" fontId="0" fillId="4" borderId="32" xfId="0" applyNumberFormat="1" applyFill="1" applyBorder="1"/>
    <xf numFmtId="165" fontId="0" fillId="13" borderId="2" xfId="0" applyNumberFormat="1" applyFill="1" applyBorder="1"/>
    <xf numFmtId="173" fontId="2" fillId="19" borderId="11" xfId="2" applyNumberFormat="1" applyFill="1" applyBorder="1" applyAlignment="1">
      <alignment horizontal="center" vertical="center"/>
    </xf>
    <xf numFmtId="0" fontId="2" fillId="19" borderId="58" xfId="2" applyFill="1" applyBorder="1" applyAlignment="1">
      <alignment horizontal="center" vertical="center"/>
    </xf>
    <xf numFmtId="168" fontId="2" fillId="19" borderId="11" xfId="2" applyNumberFormat="1" applyFill="1" applyBorder="1" applyAlignment="1">
      <alignment horizontal="center" vertical="center"/>
    </xf>
    <xf numFmtId="167" fontId="2" fillId="0" borderId="0" xfId="0" applyNumberFormat="1" applyFont="1"/>
    <xf numFmtId="1" fontId="0" fillId="13" borderId="0" xfId="0" applyNumberFormat="1" applyFill="1"/>
    <xf numFmtId="1" fontId="8" fillId="13" borderId="0" xfId="0" applyNumberFormat="1" applyFont="1" applyFill="1"/>
    <xf numFmtId="0" fontId="85" fillId="10" borderId="0" xfId="2" applyFont="1" applyFill="1" applyAlignment="1">
      <alignment vertical="center"/>
    </xf>
    <xf numFmtId="0" fontId="2" fillId="19" borderId="0" xfId="2" applyFill="1" applyProtection="1">
      <protection locked="0" hidden="1"/>
    </xf>
    <xf numFmtId="0" fontId="2" fillId="10" borderId="0" xfId="2" applyFill="1" applyProtection="1">
      <protection locked="0" hidden="1"/>
    </xf>
    <xf numFmtId="0" fontId="85" fillId="10" borderId="0" xfId="2" applyFont="1" applyFill="1" applyAlignment="1" applyProtection="1">
      <alignment vertical="center"/>
      <protection locked="0" hidden="1"/>
    </xf>
    <xf numFmtId="168" fontId="2" fillId="10" borderId="42" xfId="0" applyNumberFormat="1" applyFont="1" applyFill="1" applyBorder="1"/>
    <xf numFmtId="0" fontId="3" fillId="0" borderId="56" xfId="0" applyFont="1" applyBorder="1"/>
    <xf numFmtId="167" fontId="0" fillId="13" borderId="0" xfId="0" applyNumberFormat="1" applyFill="1"/>
    <xf numFmtId="1" fontId="0" fillId="0" borderId="0" xfId="0" applyNumberFormat="1" applyAlignment="1">
      <alignment horizontal="right"/>
    </xf>
    <xf numFmtId="11" fontId="3" fillId="13" borderId="0" xfId="0" applyNumberFormat="1" applyFont="1" applyFill="1" applyAlignment="1">
      <alignment horizontal="right"/>
    </xf>
    <xf numFmtId="0" fontId="85" fillId="10" borderId="0" xfId="2" applyFont="1" applyFill="1"/>
    <xf numFmtId="0" fontId="85" fillId="10" borderId="0" xfId="2" applyFont="1" applyFill="1" applyProtection="1">
      <protection locked="0" hidden="1"/>
    </xf>
    <xf numFmtId="0" fontId="2" fillId="0" borderId="0" xfId="2" applyAlignment="1">
      <alignment horizontal="right"/>
    </xf>
    <xf numFmtId="0" fontId="3" fillId="0" borderId="0" xfId="2" applyFont="1"/>
    <xf numFmtId="0" fontId="2" fillId="0" borderId="0" xfId="2" applyAlignment="1">
      <alignment horizontal="left"/>
    </xf>
    <xf numFmtId="0" fontId="86" fillId="0" borderId="0" xfId="2" applyFont="1" applyAlignment="1">
      <alignment horizontal="right"/>
    </xf>
    <xf numFmtId="0" fontId="63" fillId="0" borderId="0" xfId="2" applyFont="1"/>
    <xf numFmtId="0" fontId="90" fillId="10" borderId="0" xfId="2" applyFont="1" applyFill="1" applyProtection="1">
      <protection locked="0" hidden="1"/>
    </xf>
    <xf numFmtId="0" fontId="91" fillId="19" borderId="11" xfId="2" quotePrefix="1" applyFont="1" applyFill="1" applyBorder="1" applyAlignment="1">
      <alignment horizontal="left" vertical="center"/>
    </xf>
    <xf numFmtId="179" fontId="2" fillId="19" borderId="11" xfId="2" applyNumberFormat="1" applyFill="1" applyBorder="1" applyAlignment="1">
      <alignment horizontal="center" vertical="center"/>
    </xf>
    <xf numFmtId="166" fontId="0" fillId="0" borderId="11" xfId="0" applyNumberFormat="1" applyBorder="1"/>
    <xf numFmtId="165" fontId="0" fillId="7" borderId="11" xfId="0" applyNumberFormat="1" applyFill="1" applyBorder="1"/>
    <xf numFmtId="0" fontId="3" fillId="5" borderId="59" xfId="0" applyFont="1" applyFill="1" applyBorder="1"/>
    <xf numFmtId="0" fontId="92" fillId="0" borderId="29" xfId="0" applyFont="1" applyBorder="1"/>
    <xf numFmtId="0" fontId="7" fillId="4" borderId="42" xfId="0" applyFont="1" applyFill="1" applyBorder="1"/>
    <xf numFmtId="0" fontId="93" fillId="25" borderId="0" xfId="0" applyFont="1" applyFill="1" applyAlignment="1">
      <alignment horizontal="left"/>
    </xf>
    <xf numFmtId="0" fontId="94" fillId="25" borderId="0" xfId="0" applyFont="1" applyFill="1"/>
    <xf numFmtId="0" fontId="95" fillId="25" borderId="32" xfId="0" applyFont="1" applyFill="1" applyBorder="1"/>
    <xf numFmtId="0" fontId="94" fillId="10" borderId="0" xfId="0" applyFont="1" applyFill="1"/>
    <xf numFmtId="0" fontId="94" fillId="10" borderId="30" xfId="0" applyFont="1" applyFill="1" applyBorder="1"/>
    <xf numFmtId="0" fontId="96" fillId="25" borderId="0" xfId="0" applyFont="1" applyFill="1" applyAlignment="1">
      <alignment horizontal="left"/>
    </xf>
    <xf numFmtId="0" fontId="97" fillId="25" borderId="0" xfId="1" applyFont="1" applyFill="1" applyBorder="1" applyAlignment="1" applyProtection="1"/>
    <xf numFmtId="0" fontId="19" fillId="25" borderId="32" xfId="0" applyFont="1" applyFill="1" applyBorder="1"/>
    <xf numFmtId="0" fontId="19" fillId="25" borderId="46" xfId="0" applyFont="1" applyFill="1" applyBorder="1"/>
    <xf numFmtId="0" fontId="98" fillId="25" borderId="0" xfId="0" applyFont="1" applyFill="1"/>
    <xf numFmtId="167" fontId="2" fillId="19" borderId="46" xfId="0" applyNumberFormat="1" applyFont="1" applyFill="1" applyBorder="1"/>
    <xf numFmtId="0" fontId="28" fillId="25" borderId="56" xfId="0" applyFont="1" applyFill="1" applyBorder="1" applyAlignment="1">
      <alignment horizontal="left" vertical="center"/>
    </xf>
    <xf numFmtId="0" fontId="18" fillId="19" borderId="0" xfId="2" applyFont="1" applyFill="1"/>
    <xf numFmtId="0" fontId="2" fillId="21" borderId="0" xfId="2" applyFill="1"/>
    <xf numFmtId="0" fontId="103" fillId="21" borderId="0" xfId="2" applyFont="1" applyFill="1"/>
    <xf numFmtId="0" fontId="103" fillId="21" borderId="0" xfId="2" applyFont="1" applyFill="1" applyAlignment="1">
      <alignment horizontal="center" vertical="center"/>
    </xf>
    <xf numFmtId="0" fontId="103" fillId="21" borderId="0" xfId="2" applyFont="1" applyFill="1" applyAlignment="1">
      <alignment horizontal="left" vertical="center"/>
    </xf>
    <xf numFmtId="0" fontId="0" fillId="4" borderId="42" xfId="0" applyFill="1" applyBorder="1"/>
    <xf numFmtId="0" fontId="3" fillId="2" borderId="60" xfId="0" applyFont="1" applyFill="1" applyBorder="1" applyAlignment="1">
      <alignment horizontal="center" vertical="top" wrapText="1"/>
    </xf>
    <xf numFmtId="0" fontId="63" fillId="2" borderId="60" xfId="0" applyFont="1" applyFill="1" applyBorder="1" applyAlignment="1">
      <alignment horizontal="center" vertical="top" wrapText="1"/>
    </xf>
    <xf numFmtId="0" fontId="3" fillId="0" borderId="0" xfId="0" applyFont="1" applyAlignment="1">
      <alignment horizontal="left"/>
    </xf>
    <xf numFmtId="0" fontId="3" fillId="0" borderId="0" xfId="0" applyFont="1" applyAlignment="1">
      <alignment horizontal="right"/>
    </xf>
    <xf numFmtId="0" fontId="63" fillId="0" borderId="0" xfId="0" applyFont="1" applyAlignment="1">
      <alignment horizontal="right"/>
    </xf>
    <xf numFmtId="0" fontId="3" fillId="0" borderId="0" xfId="0" applyFont="1" applyAlignment="1" applyProtection="1">
      <alignment horizontal="right"/>
      <protection locked="0"/>
    </xf>
    <xf numFmtId="0" fontId="24" fillId="10" borderId="56" xfId="0" applyFont="1" applyFill="1" applyBorder="1"/>
    <xf numFmtId="0" fontId="3" fillId="19" borderId="0" xfId="0" applyFont="1" applyFill="1"/>
    <xf numFmtId="0" fontId="3" fillId="19" borderId="0" xfId="0" applyFont="1" applyFill="1" applyAlignment="1">
      <alignment horizontal="right"/>
    </xf>
    <xf numFmtId="0" fontId="2" fillId="10" borderId="42" xfId="0" applyFont="1" applyFill="1" applyBorder="1" applyAlignment="1">
      <alignment horizontal="right"/>
    </xf>
    <xf numFmtId="2" fontId="66" fillId="10" borderId="42" xfId="5" applyNumberFormat="1" applyFont="1" applyFill="1" applyBorder="1" applyAlignment="1" applyProtection="1">
      <alignment horizontal="right"/>
    </xf>
    <xf numFmtId="0" fontId="2" fillId="10" borderId="46" xfId="0" applyFont="1" applyFill="1" applyBorder="1" applyAlignment="1">
      <alignment horizontal="right" vertical="center"/>
    </xf>
    <xf numFmtId="168" fontId="2" fillId="10" borderId="46" xfId="0" applyNumberFormat="1" applyFont="1" applyFill="1" applyBorder="1" applyAlignment="1">
      <alignment vertical="center"/>
    </xf>
    <xf numFmtId="0" fontId="2" fillId="10" borderId="47" xfId="0" applyFont="1" applyFill="1" applyBorder="1" applyAlignment="1">
      <alignment vertical="center"/>
    </xf>
    <xf numFmtId="0" fontId="3" fillId="10" borderId="46" xfId="0" applyFont="1" applyFill="1" applyBorder="1" applyAlignment="1">
      <alignment horizontal="right" vertical="center"/>
    </xf>
    <xf numFmtId="0" fontId="3" fillId="10" borderId="47" xfId="0" applyFont="1" applyFill="1" applyBorder="1"/>
    <xf numFmtId="0" fontId="3" fillId="19" borderId="0" xfId="0" applyFont="1" applyFill="1" applyProtection="1">
      <protection locked="0"/>
    </xf>
    <xf numFmtId="0" fontId="69" fillId="10" borderId="0" xfId="0" applyFont="1" applyFill="1" applyAlignment="1">
      <alignment horizontal="left" vertical="center"/>
    </xf>
    <xf numFmtId="0" fontId="99" fillId="25" borderId="0" xfId="0" applyFont="1" applyFill="1" applyAlignment="1">
      <alignment horizontal="center" vertical="center"/>
    </xf>
    <xf numFmtId="0" fontId="104" fillId="20" borderId="44" xfId="0" applyFont="1" applyFill="1" applyBorder="1" applyAlignment="1">
      <alignment horizontal="left" vertical="center"/>
    </xf>
    <xf numFmtId="0" fontId="104" fillId="20" borderId="42" xfId="0" applyFont="1" applyFill="1" applyBorder="1" applyAlignment="1">
      <alignment horizontal="left" vertical="center"/>
    </xf>
    <xf numFmtId="0" fontId="88" fillId="10" borderId="0" xfId="2" applyFont="1" applyFill="1" applyAlignment="1">
      <alignment horizontal="right" wrapText="1"/>
    </xf>
    <xf numFmtId="186" fontId="2" fillId="24" borderId="8" xfId="2" applyNumberFormat="1" applyFill="1" applyBorder="1" applyAlignment="1">
      <alignment horizontal="left" vertical="center"/>
    </xf>
    <xf numFmtId="186" fontId="2" fillId="24" borderId="9" xfId="2" applyNumberFormat="1" applyFill="1" applyBorder="1" applyAlignment="1">
      <alignment horizontal="left" vertical="center"/>
    </xf>
    <xf numFmtId="186" fontId="2" fillId="24" borderId="15" xfId="2" applyNumberFormat="1" applyFill="1" applyBorder="1" applyAlignment="1">
      <alignment horizontal="left" vertical="center"/>
    </xf>
    <xf numFmtId="0" fontId="2" fillId="23" borderId="8" xfId="2" applyFill="1" applyBorder="1" applyAlignment="1">
      <alignment horizontal="left" vertical="center"/>
    </xf>
    <xf numFmtId="0" fontId="2" fillId="23" borderId="9" xfId="2" applyFill="1" applyBorder="1" applyAlignment="1">
      <alignment horizontal="left" vertical="center"/>
    </xf>
    <xf numFmtId="0" fontId="2" fillId="23" borderId="15" xfId="2" applyFill="1" applyBorder="1" applyAlignment="1">
      <alignment horizontal="left" vertical="center"/>
    </xf>
    <xf numFmtId="183" fontId="2" fillId="19" borderId="8" xfId="2" applyNumberFormat="1" applyFill="1" applyBorder="1" applyAlignment="1">
      <alignment horizontal="left" vertical="center"/>
    </xf>
    <xf numFmtId="183" fontId="2" fillId="19" borderId="9" xfId="2" applyNumberFormat="1" applyFill="1" applyBorder="1" applyAlignment="1">
      <alignment horizontal="left" vertical="center"/>
    </xf>
    <xf numFmtId="184" fontId="2" fillId="19" borderId="8" xfId="2" applyNumberFormat="1" applyFill="1" applyBorder="1" applyAlignment="1">
      <alignment horizontal="left" vertical="center"/>
    </xf>
    <xf numFmtId="184" fontId="2" fillId="19" borderId="9" xfId="2" applyNumberFormat="1" applyFill="1" applyBorder="1" applyAlignment="1">
      <alignment horizontal="left" vertical="center"/>
    </xf>
    <xf numFmtId="0" fontId="2" fillId="19" borderId="8" xfId="2" applyFill="1" applyBorder="1" applyAlignment="1">
      <alignment horizontal="left" vertical="center"/>
    </xf>
    <xf numFmtId="0" fontId="2" fillId="19" borderId="9" xfId="2" applyFill="1" applyBorder="1" applyAlignment="1">
      <alignment horizontal="left" vertical="center"/>
    </xf>
    <xf numFmtId="182" fontId="2" fillId="19" borderId="8" xfId="2" applyNumberFormat="1" applyFill="1" applyBorder="1" applyAlignment="1">
      <alignment horizontal="left" vertical="center"/>
    </xf>
    <xf numFmtId="182" fontId="2" fillId="19" borderId="9" xfId="2" applyNumberFormat="1" applyFill="1" applyBorder="1" applyAlignment="1">
      <alignment horizontal="left" vertical="center"/>
    </xf>
    <xf numFmtId="185" fontId="2" fillId="24" borderId="8" xfId="2" applyNumberFormat="1" applyFill="1" applyBorder="1" applyAlignment="1">
      <alignment horizontal="left" vertical="center"/>
    </xf>
    <xf numFmtId="185" fontId="2" fillId="24" borderId="9" xfId="2" applyNumberFormat="1" applyFill="1" applyBorder="1" applyAlignment="1">
      <alignment horizontal="left" vertical="center"/>
    </xf>
    <xf numFmtId="185" fontId="2" fillId="24" borderId="15" xfId="2" applyNumberFormat="1" applyFill="1" applyBorder="1" applyAlignment="1">
      <alignment horizontal="left" vertical="center"/>
    </xf>
    <xf numFmtId="0" fontId="75" fillId="3" borderId="52" xfId="2" applyFont="1" applyFill="1" applyBorder="1" applyAlignment="1">
      <alignment horizontal="center" vertical="center"/>
    </xf>
    <xf numFmtId="0" fontId="75" fillId="3" borderId="53" xfId="2" applyFont="1" applyFill="1" applyBorder="1" applyAlignment="1">
      <alignment horizontal="center" vertical="center"/>
    </xf>
    <xf numFmtId="0" fontId="75" fillId="3" borderId="54" xfId="2" applyFont="1" applyFill="1" applyBorder="1" applyAlignment="1">
      <alignment horizontal="center" vertical="center"/>
    </xf>
    <xf numFmtId="0" fontId="3" fillId="10" borderId="8" xfId="2" applyFont="1" applyFill="1" applyBorder="1" applyAlignment="1">
      <alignment horizontal="left" vertical="center"/>
    </xf>
    <xf numFmtId="0" fontId="3" fillId="10" borderId="9" xfId="2" applyFont="1" applyFill="1" applyBorder="1" applyAlignment="1">
      <alignment horizontal="left" vertical="center"/>
    </xf>
    <xf numFmtId="0" fontId="3" fillId="10" borderId="15" xfId="2" applyFont="1" applyFill="1" applyBorder="1" applyAlignment="1">
      <alignment horizontal="left" vertical="center"/>
    </xf>
    <xf numFmtId="185" fontId="2" fillId="19" borderId="8" xfId="2" applyNumberFormat="1" applyFill="1" applyBorder="1" applyAlignment="1">
      <alignment horizontal="left" vertical="center"/>
    </xf>
    <xf numFmtId="185" fontId="2" fillId="19" borderId="9" xfId="2" applyNumberFormat="1" applyFill="1" applyBorder="1" applyAlignment="1">
      <alignment horizontal="left" vertical="center"/>
    </xf>
    <xf numFmtId="185" fontId="2" fillId="19" borderId="15" xfId="2" applyNumberFormat="1" applyFill="1" applyBorder="1" applyAlignment="1">
      <alignment horizontal="left" vertical="center"/>
    </xf>
    <xf numFmtId="188" fontId="2" fillId="19" borderId="8" xfId="2" applyNumberFormat="1" applyFill="1" applyBorder="1" applyAlignment="1">
      <alignment horizontal="left" vertical="center"/>
    </xf>
    <xf numFmtId="188" fontId="2" fillId="19" borderId="9" xfId="2" applyNumberFormat="1" applyFill="1" applyBorder="1" applyAlignment="1">
      <alignment horizontal="left" vertical="center"/>
    </xf>
    <xf numFmtId="188" fontId="2" fillId="19" borderId="15" xfId="2" applyNumberFormat="1" applyFill="1" applyBorder="1" applyAlignment="1">
      <alignment horizontal="left" vertical="center"/>
    </xf>
    <xf numFmtId="186" fontId="2" fillId="19" borderId="8" xfId="2" applyNumberFormat="1" applyFill="1" applyBorder="1" applyAlignment="1">
      <alignment horizontal="left" vertical="center"/>
    </xf>
    <xf numFmtId="186" fontId="2" fillId="19" borderId="9" xfId="2" applyNumberFormat="1" applyFill="1" applyBorder="1" applyAlignment="1">
      <alignment horizontal="left" vertical="center"/>
    </xf>
    <xf numFmtId="186" fontId="2" fillId="19" borderId="15" xfId="2" applyNumberFormat="1" applyFill="1" applyBorder="1" applyAlignment="1">
      <alignment horizontal="left" vertical="center"/>
    </xf>
    <xf numFmtId="187" fontId="2" fillId="19" borderId="8" xfId="2" applyNumberFormat="1" applyFill="1" applyBorder="1" applyAlignment="1">
      <alignment horizontal="left" vertical="center"/>
    </xf>
    <xf numFmtId="187" fontId="2" fillId="19" borderId="9" xfId="2" applyNumberFormat="1" applyFill="1" applyBorder="1" applyAlignment="1">
      <alignment horizontal="left" vertical="center"/>
    </xf>
    <xf numFmtId="187" fontId="2" fillId="19" borderId="15" xfId="2" applyNumberFormat="1" applyFill="1" applyBorder="1" applyAlignment="1">
      <alignment horizontal="left" vertical="center"/>
    </xf>
    <xf numFmtId="182" fontId="2" fillId="10" borderId="8" xfId="2" applyNumberFormat="1" applyFill="1" applyBorder="1" applyAlignment="1">
      <alignment horizontal="left" vertical="center"/>
    </xf>
    <xf numFmtId="182" fontId="2" fillId="10" borderId="9" xfId="2" applyNumberFormat="1" applyFill="1" applyBorder="1" applyAlignment="1">
      <alignment horizontal="left" vertical="center"/>
    </xf>
    <xf numFmtId="181" fontId="2" fillId="23" borderId="8" xfId="2" applyNumberFormat="1" applyFill="1" applyBorder="1" applyAlignment="1">
      <alignment horizontal="left" vertical="center"/>
    </xf>
    <xf numFmtId="181" fontId="2" fillId="23" borderId="9" xfId="2" applyNumberFormat="1" applyFill="1" applyBorder="1" applyAlignment="1">
      <alignment horizontal="left" vertical="center"/>
    </xf>
    <xf numFmtId="180" fontId="2" fillId="23" borderId="8" xfId="2" applyNumberFormat="1" applyFill="1" applyBorder="1" applyAlignment="1">
      <alignment horizontal="left" vertical="center"/>
    </xf>
    <xf numFmtId="180" fontId="2" fillId="23" borderId="9" xfId="2" applyNumberFormat="1" applyFill="1" applyBorder="1" applyAlignment="1">
      <alignment horizontal="left" vertical="center"/>
    </xf>
    <xf numFmtId="0" fontId="102" fillId="19" borderId="56" xfId="2" applyFont="1" applyFill="1" applyBorder="1" applyAlignment="1">
      <alignment horizontal="left" vertical="center"/>
    </xf>
    <xf numFmtId="0" fontId="102" fillId="19" borderId="0" xfId="2" applyFont="1" applyFill="1" applyAlignment="1">
      <alignment horizontal="left" vertical="center"/>
    </xf>
    <xf numFmtId="0" fontId="3" fillId="0" borderId="0" xfId="0" applyFont="1" applyAlignment="1">
      <alignment horizontal="center"/>
    </xf>
    <xf numFmtId="0" fontId="4" fillId="3" borderId="0" xfId="0" applyFont="1" applyFill="1" applyAlignment="1">
      <alignment horizontal="center"/>
    </xf>
    <xf numFmtId="0" fontId="9" fillId="3" borderId="0" xfId="0" applyFont="1" applyFill="1" applyAlignment="1">
      <alignment horizontal="center"/>
    </xf>
    <xf numFmtId="0" fontId="3" fillId="2" borderId="0" xfId="0" applyFont="1" applyFill="1" applyAlignment="1">
      <alignment horizontal="center"/>
    </xf>
    <xf numFmtId="0" fontId="14" fillId="3" borderId="0" xfId="0" applyFont="1" applyFill="1" applyAlignment="1">
      <alignment horizontal="left"/>
    </xf>
    <xf numFmtId="0" fontId="3" fillId="0" borderId="0" xfId="0" applyFont="1" applyAlignment="1">
      <alignment horizontal="left" wrapText="1"/>
    </xf>
  </cellXfs>
  <cellStyles count="6">
    <cellStyle name="Comma" xfId="5" builtinId="3"/>
    <cellStyle name="Comma 2" xfId="4" xr:uid="{00000000-0005-0000-0000-000000000000}"/>
    <cellStyle name="Hyperlink" xfId="1" builtinId="8"/>
    <cellStyle name="Normal" xfId="0" builtinId="0"/>
    <cellStyle name="Normal 2" xfId="2" xr:uid="{00000000-0005-0000-0000-000003000000}"/>
    <cellStyle name="Normal 3" xfId="3" xr:uid="{00000000-0005-0000-0000-000004000000}"/>
  </cellStyles>
  <dxfs count="25">
    <dxf>
      <font>
        <color theme="0"/>
      </font>
    </dxf>
    <dxf>
      <font>
        <color theme="0"/>
      </font>
    </dxf>
    <dxf>
      <font>
        <color theme="0"/>
      </font>
    </dxf>
    <dxf>
      <font>
        <color theme="0"/>
      </font>
    </dxf>
    <dxf>
      <font>
        <color theme="0"/>
      </font>
    </dxf>
    <dxf>
      <font>
        <color theme="0"/>
      </font>
    </dxf>
    <dxf>
      <font>
        <color rgb="FFFF0000"/>
      </font>
    </dxf>
    <dxf>
      <font>
        <color rgb="FFFF0000"/>
      </font>
    </dxf>
    <dxf>
      <font>
        <color theme="0"/>
      </font>
      <fill>
        <patternFill>
          <bgColor theme="0"/>
        </patternFill>
      </fill>
    </dxf>
    <dxf>
      <font>
        <b/>
        <i val="0"/>
        <condense val="0"/>
        <extend val="0"/>
        <color indexed="10"/>
      </font>
    </dxf>
    <dxf>
      <font>
        <b/>
        <i val="0"/>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b/>
        <i val="0"/>
        <condense val="0"/>
        <extend val="0"/>
        <color indexed="12"/>
      </font>
    </dxf>
    <dxf>
      <font>
        <b/>
        <i val="0"/>
        <condense val="0"/>
        <extend val="0"/>
        <color indexed="10"/>
      </font>
    </dxf>
    <dxf>
      <font>
        <b/>
        <i val="0"/>
        <color rgb="FFFF0000"/>
      </font>
    </dxf>
    <dxf>
      <font>
        <b/>
        <i val="0"/>
        <condense val="0"/>
        <extend val="0"/>
        <color indexed="10"/>
      </font>
    </dxf>
  </dxfs>
  <tableStyles count="0" defaultTableStyle="TableStyleMedium9" defaultPivotStyle="PivotStyleLight16"/>
  <colors>
    <mruColors>
      <color rgb="FF7DC4D6"/>
      <color rgb="FF0099FF"/>
      <color rgb="FF0000FF"/>
      <color rgb="FFFFFF99"/>
      <color rgb="FF003366"/>
      <color rgb="FFCCFFFF"/>
      <color rgb="FF7030A0"/>
      <color rgb="FFD1979B"/>
      <color rgb="FFDBEEF4"/>
      <color rgb="FF96969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800" b="1" i="0" u="none" strike="noStrike" baseline="0">
                <a:solidFill>
                  <a:srgbClr val="000000"/>
                </a:solidFill>
                <a:latin typeface="Arial" pitchFamily="34" charset="0"/>
                <a:ea typeface="Calibri"/>
                <a:cs typeface="Arial" pitchFamily="34" charset="0"/>
              </a:defRPr>
            </a:pPr>
            <a:r>
              <a:rPr lang="en-US" sz="1800" u="none">
                <a:latin typeface="Arial" pitchFamily="34" charset="0"/>
                <a:cs typeface="Arial" pitchFamily="34" charset="0"/>
              </a:rPr>
              <a:t>Bode Plot </a:t>
            </a:r>
          </a:p>
        </c:rich>
      </c:tx>
      <c:layout>
        <c:manualLayout>
          <c:xMode val="edge"/>
          <c:yMode val="edge"/>
          <c:x val="0.10050639430091837"/>
          <c:y val="2.3290736067608779E-2"/>
        </c:manualLayout>
      </c:layout>
      <c:overlay val="0"/>
      <c:spPr>
        <a:noFill/>
        <a:ln w="25400">
          <a:noFill/>
        </a:ln>
      </c:spPr>
    </c:title>
    <c:autoTitleDeleted val="0"/>
    <c:plotArea>
      <c:layout>
        <c:manualLayout>
          <c:layoutTarget val="inner"/>
          <c:xMode val="edge"/>
          <c:yMode val="edge"/>
          <c:x val="8.6865550467700392E-2"/>
          <c:y val="0.11264619116931211"/>
          <c:w val="0.82929752780099952"/>
          <c:h val="0.76205184354221722"/>
        </c:manualLayout>
      </c:layout>
      <c:scatterChart>
        <c:scatterStyle val="smoothMarker"/>
        <c:varyColors val="0"/>
        <c:ser>
          <c:idx val="2"/>
          <c:order val="0"/>
          <c:tx>
            <c:v>Loop Gain</c:v>
          </c:tx>
          <c:spPr>
            <a:ln w="31750">
              <a:solidFill>
                <a:srgbClr val="FF0000"/>
              </a:solidFill>
              <a:prstDash val="solid"/>
            </a:ln>
          </c:spPr>
          <c:marker>
            <c:symbol val="none"/>
          </c:marker>
          <c:xVal>
            <c:numRef>
              <c:f>'Bode Plots Calculations'!$B$9:$B$676</c:f>
              <c:numCache>
                <c:formatCode>General</c:formatCode>
                <c:ptCount val="668"/>
                <c:pt idx="0">
                  <c:v>1E-3</c:v>
                </c:pt>
                <c:pt idx="1">
                  <c:v>2E-3</c:v>
                </c:pt>
                <c:pt idx="2">
                  <c:v>3.0000000000000001E-3</c:v>
                </c:pt>
                <c:pt idx="3">
                  <c:v>4.0000000000000001E-3</c:v>
                </c:pt>
                <c:pt idx="4">
                  <c:v>5.0000000000000001E-3</c:v>
                </c:pt>
                <c:pt idx="5">
                  <c:v>6.0000000000000001E-3</c:v>
                </c:pt>
                <c:pt idx="6">
                  <c:v>7.0000000000000001E-3</c:v>
                </c:pt>
                <c:pt idx="7">
                  <c:v>8.0000000000000002E-3</c:v>
                </c:pt>
                <c:pt idx="8">
                  <c:v>8.9999999999999993E-3</c:v>
                </c:pt>
                <c:pt idx="9">
                  <c:v>0.01</c:v>
                </c:pt>
                <c:pt idx="10">
                  <c:v>0.02</c:v>
                </c:pt>
                <c:pt idx="11">
                  <c:v>0.03</c:v>
                </c:pt>
                <c:pt idx="12">
                  <c:v>0.04</c:v>
                </c:pt>
                <c:pt idx="13">
                  <c:v>0.05</c:v>
                </c:pt>
                <c:pt idx="14">
                  <c:v>0.06</c:v>
                </c:pt>
                <c:pt idx="15">
                  <c:v>7.0000000000000007E-2</c:v>
                </c:pt>
                <c:pt idx="16">
                  <c:v>0.08</c:v>
                </c:pt>
                <c:pt idx="17">
                  <c:v>0.09</c:v>
                </c:pt>
                <c:pt idx="18">
                  <c:v>0.1</c:v>
                </c:pt>
                <c:pt idx="19">
                  <c:v>0.2</c:v>
                </c:pt>
                <c:pt idx="20">
                  <c:v>0.3</c:v>
                </c:pt>
                <c:pt idx="21">
                  <c:v>0.4</c:v>
                </c:pt>
                <c:pt idx="22">
                  <c:v>0.5</c:v>
                </c:pt>
                <c:pt idx="23">
                  <c:v>0.6</c:v>
                </c:pt>
                <c:pt idx="24">
                  <c:v>0.7</c:v>
                </c:pt>
                <c:pt idx="25">
                  <c:v>0.8</c:v>
                </c:pt>
                <c:pt idx="26">
                  <c:v>0.9</c:v>
                </c:pt>
                <c:pt idx="27">
                  <c:v>1</c:v>
                </c:pt>
                <c:pt idx="28">
                  <c:v>1.5</c:v>
                </c:pt>
                <c:pt idx="29">
                  <c:v>2</c:v>
                </c:pt>
                <c:pt idx="30">
                  <c:v>2.5</c:v>
                </c:pt>
                <c:pt idx="31">
                  <c:v>3</c:v>
                </c:pt>
                <c:pt idx="32">
                  <c:v>3.5</c:v>
                </c:pt>
                <c:pt idx="33">
                  <c:v>4</c:v>
                </c:pt>
                <c:pt idx="34">
                  <c:v>4.5</c:v>
                </c:pt>
                <c:pt idx="35">
                  <c:v>5</c:v>
                </c:pt>
                <c:pt idx="36">
                  <c:v>5.5</c:v>
                </c:pt>
                <c:pt idx="37">
                  <c:v>6</c:v>
                </c:pt>
                <c:pt idx="38">
                  <c:v>6.5</c:v>
                </c:pt>
                <c:pt idx="39">
                  <c:v>7</c:v>
                </c:pt>
                <c:pt idx="40">
                  <c:v>7.5</c:v>
                </c:pt>
                <c:pt idx="41">
                  <c:v>8</c:v>
                </c:pt>
                <c:pt idx="42">
                  <c:v>8.5</c:v>
                </c:pt>
                <c:pt idx="43">
                  <c:v>9</c:v>
                </c:pt>
                <c:pt idx="44">
                  <c:v>9.5</c:v>
                </c:pt>
                <c:pt idx="45">
                  <c:v>10</c:v>
                </c:pt>
                <c:pt idx="46">
                  <c:v>10.5</c:v>
                </c:pt>
                <c:pt idx="47">
                  <c:v>11</c:v>
                </c:pt>
                <c:pt idx="48">
                  <c:v>11.5</c:v>
                </c:pt>
                <c:pt idx="49">
                  <c:v>12</c:v>
                </c:pt>
                <c:pt idx="50">
                  <c:v>12.5</c:v>
                </c:pt>
                <c:pt idx="51">
                  <c:v>13</c:v>
                </c:pt>
                <c:pt idx="52">
                  <c:v>13.5</c:v>
                </c:pt>
                <c:pt idx="53">
                  <c:v>14</c:v>
                </c:pt>
                <c:pt idx="54">
                  <c:v>14.5</c:v>
                </c:pt>
                <c:pt idx="55">
                  <c:v>15</c:v>
                </c:pt>
                <c:pt idx="56">
                  <c:v>15.5</c:v>
                </c:pt>
                <c:pt idx="57">
                  <c:v>16</c:v>
                </c:pt>
                <c:pt idx="58">
                  <c:v>16.5</c:v>
                </c:pt>
                <c:pt idx="59">
                  <c:v>17</c:v>
                </c:pt>
                <c:pt idx="60">
                  <c:v>17.5</c:v>
                </c:pt>
                <c:pt idx="61">
                  <c:v>18</c:v>
                </c:pt>
                <c:pt idx="62">
                  <c:v>18.5</c:v>
                </c:pt>
                <c:pt idx="63">
                  <c:v>19</c:v>
                </c:pt>
                <c:pt idx="64">
                  <c:v>19.5</c:v>
                </c:pt>
                <c:pt idx="65">
                  <c:v>20</c:v>
                </c:pt>
                <c:pt idx="66">
                  <c:v>20.5</c:v>
                </c:pt>
                <c:pt idx="67">
                  <c:v>21</c:v>
                </c:pt>
                <c:pt idx="68">
                  <c:v>21.5</c:v>
                </c:pt>
                <c:pt idx="69">
                  <c:v>22</c:v>
                </c:pt>
                <c:pt idx="70">
                  <c:v>22.5</c:v>
                </c:pt>
                <c:pt idx="71">
                  <c:v>23</c:v>
                </c:pt>
                <c:pt idx="72">
                  <c:v>23.5</c:v>
                </c:pt>
                <c:pt idx="73">
                  <c:v>24</c:v>
                </c:pt>
                <c:pt idx="74">
                  <c:v>24.5</c:v>
                </c:pt>
                <c:pt idx="75">
                  <c:v>25</c:v>
                </c:pt>
                <c:pt idx="76">
                  <c:v>25.5</c:v>
                </c:pt>
                <c:pt idx="77">
                  <c:v>26</c:v>
                </c:pt>
                <c:pt idx="78">
                  <c:v>26.5</c:v>
                </c:pt>
                <c:pt idx="79">
                  <c:v>27</c:v>
                </c:pt>
                <c:pt idx="80">
                  <c:v>27.5</c:v>
                </c:pt>
                <c:pt idx="81">
                  <c:v>28</c:v>
                </c:pt>
                <c:pt idx="82">
                  <c:v>28.5</c:v>
                </c:pt>
                <c:pt idx="83">
                  <c:v>29</c:v>
                </c:pt>
                <c:pt idx="84">
                  <c:v>29.5</c:v>
                </c:pt>
                <c:pt idx="85">
                  <c:v>30</c:v>
                </c:pt>
                <c:pt idx="86">
                  <c:v>30.5</c:v>
                </c:pt>
                <c:pt idx="87">
                  <c:v>31</c:v>
                </c:pt>
                <c:pt idx="88">
                  <c:v>31.5</c:v>
                </c:pt>
                <c:pt idx="89">
                  <c:v>32</c:v>
                </c:pt>
                <c:pt idx="90">
                  <c:v>32.5</c:v>
                </c:pt>
                <c:pt idx="91">
                  <c:v>33</c:v>
                </c:pt>
                <c:pt idx="92">
                  <c:v>33.5</c:v>
                </c:pt>
                <c:pt idx="93">
                  <c:v>34</c:v>
                </c:pt>
                <c:pt idx="94">
                  <c:v>34.5</c:v>
                </c:pt>
                <c:pt idx="95">
                  <c:v>35</c:v>
                </c:pt>
                <c:pt idx="96">
                  <c:v>35.5</c:v>
                </c:pt>
                <c:pt idx="97">
                  <c:v>36</c:v>
                </c:pt>
                <c:pt idx="98">
                  <c:v>36.5</c:v>
                </c:pt>
                <c:pt idx="99">
                  <c:v>37</c:v>
                </c:pt>
                <c:pt idx="100">
                  <c:v>37.5</c:v>
                </c:pt>
                <c:pt idx="101">
                  <c:v>38</c:v>
                </c:pt>
                <c:pt idx="102">
                  <c:v>38.5</c:v>
                </c:pt>
                <c:pt idx="103">
                  <c:v>39</c:v>
                </c:pt>
                <c:pt idx="104">
                  <c:v>39.5</c:v>
                </c:pt>
                <c:pt idx="105">
                  <c:v>40</c:v>
                </c:pt>
                <c:pt idx="106">
                  <c:v>40.5</c:v>
                </c:pt>
                <c:pt idx="107">
                  <c:v>41</c:v>
                </c:pt>
                <c:pt idx="108">
                  <c:v>41.5</c:v>
                </c:pt>
                <c:pt idx="109">
                  <c:v>42</c:v>
                </c:pt>
                <c:pt idx="110">
                  <c:v>42.5</c:v>
                </c:pt>
                <c:pt idx="111">
                  <c:v>43</c:v>
                </c:pt>
                <c:pt idx="112">
                  <c:v>43.5</c:v>
                </c:pt>
                <c:pt idx="113">
                  <c:v>44</c:v>
                </c:pt>
                <c:pt idx="114">
                  <c:v>44.5</c:v>
                </c:pt>
                <c:pt idx="115">
                  <c:v>45</c:v>
                </c:pt>
                <c:pt idx="116">
                  <c:v>45.5</c:v>
                </c:pt>
                <c:pt idx="117">
                  <c:v>46</c:v>
                </c:pt>
                <c:pt idx="118">
                  <c:v>46.5</c:v>
                </c:pt>
                <c:pt idx="119">
                  <c:v>47</c:v>
                </c:pt>
                <c:pt idx="120">
                  <c:v>47.5</c:v>
                </c:pt>
                <c:pt idx="121">
                  <c:v>48</c:v>
                </c:pt>
                <c:pt idx="122">
                  <c:v>48.5</c:v>
                </c:pt>
                <c:pt idx="123">
                  <c:v>49</c:v>
                </c:pt>
                <c:pt idx="124">
                  <c:v>49.5</c:v>
                </c:pt>
                <c:pt idx="125">
                  <c:v>50</c:v>
                </c:pt>
                <c:pt idx="126">
                  <c:v>50.5</c:v>
                </c:pt>
                <c:pt idx="127">
                  <c:v>51</c:v>
                </c:pt>
                <c:pt idx="128">
                  <c:v>51.5</c:v>
                </c:pt>
                <c:pt idx="129">
                  <c:v>52</c:v>
                </c:pt>
                <c:pt idx="130">
                  <c:v>52.5</c:v>
                </c:pt>
                <c:pt idx="131">
                  <c:v>53</c:v>
                </c:pt>
                <c:pt idx="132">
                  <c:v>53.5</c:v>
                </c:pt>
                <c:pt idx="133">
                  <c:v>54</c:v>
                </c:pt>
                <c:pt idx="134">
                  <c:v>54.5</c:v>
                </c:pt>
                <c:pt idx="135">
                  <c:v>55</c:v>
                </c:pt>
                <c:pt idx="136">
                  <c:v>55.5</c:v>
                </c:pt>
                <c:pt idx="137">
                  <c:v>56</c:v>
                </c:pt>
                <c:pt idx="138">
                  <c:v>56.5</c:v>
                </c:pt>
                <c:pt idx="139">
                  <c:v>57</c:v>
                </c:pt>
                <c:pt idx="140">
                  <c:v>57.5</c:v>
                </c:pt>
                <c:pt idx="141">
                  <c:v>58</c:v>
                </c:pt>
                <c:pt idx="142">
                  <c:v>58.5</c:v>
                </c:pt>
                <c:pt idx="143">
                  <c:v>59</c:v>
                </c:pt>
                <c:pt idx="144">
                  <c:v>59.5</c:v>
                </c:pt>
                <c:pt idx="145">
                  <c:v>60</c:v>
                </c:pt>
                <c:pt idx="146">
                  <c:v>60.5</c:v>
                </c:pt>
                <c:pt idx="147">
                  <c:v>61</c:v>
                </c:pt>
                <c:pt idx="148">
                  <c:v>61.5</c:v>
                </c:pt>
                <c:pt idx="149">
                  <c:v>62</c:v>
                </c:pt>
                <c:pt idx="150">
                  <c:v>62.5</c:v>
                </c:pt>
                <c:pt idx="151">
                  <c:v>63</c:v>
                </c:pt>
                <c:pt idx="152">
                  <c:v>63.5</c:v>
                </c:pt>
                <c:pt idx="153">
                  <c:v>64</c:v>
                </c:pt>
                <c:pt idx="154">
                  <c:v>64.5</c:v>
                </c:pt>
                <c:pt idx="155">
                  <c:v>65</c:v>
                </c:pt>
                <c:pt idx="156">
                  <c:v>65.5</c:v>
                </c:pt>
                <c:pt idx="157">
                  <c:v>66</c:v>
                </c:pt>
                <c:pt idx="158">
                  <c:v>66.5</c:v>
                </c:pt>
                <c:pt idx="159">
                  <c:v>67</c:v>
                </c:pt>
                <c:pt idx="160">
                  <c:v>67.5</c:v>
                </c:pt>
                <c:pt idx="161">
                  <c:v>68</c:v>
                </c:pt>
                <c:pt idx="162">
                  <c:v>68.5</c:v>
                </c:pt>
                <c:pt idx="163">
                  <c:v>69</c:v>
                </c:pt>
                <c:pt idx="164">
                  <c:v>69.5</c:v>
                </c:pt>
                <c:pt idx="165">
                  <c:v>70</c:v>
                </c:pt>
                <c:pt idx="166">
                  <c:v>70.5</c:v>
                </c:pt>
                <c:pt idx="167">
                  <c:v>71</c:v>
                </c:pt>
                <c:pt idx="168">
                  <c:v>71.5</c:v>
                </c:pt>
                <c:pt idx="169">
                  <c:v>72</c:v>
                </c:pt>
                <c:pt idx="170">
                  <c:v>72.5</c:v>
                </c:pt>
                <c:pt idx="171">
                  <c:v>73</c:v>
                </c:pt>
                <c:pt idx="172">
                  <c:v>73.5</c:v>
                </c:pt>
                <c:pt idx="173">
                  <c:v>74</c:v>
                </c:pt>
                <c:pt idx="174">
                  <c:v>74.5</c:v>
                </c:pt>
                <c:pt idx="175">
                  <c:v>75</c:v>
                </c:pt>
                <c:pt idx="176">
                  <c:v>75.5</c:v>
                </c:pt>
                <c:pt idx="177">
                  <c:v>76</c:v>
                </c:pt>
                <c:pt idx="178">
                  <c:v>76.5</c:v>
                </c:pt>
                <c:pt idx="179">
                  <c:v>77</c:v>
                </c:pt>
                <c:pt idx="180">
                  <c:v>77.5</c:v>
                </c:pt>
                <c:pt idx="181">
                  <c:v>78</c:v>
                </c:pt>
                <c:pt idx="182">
                  <c:v>78.5</c:v>
                </c:pt>
                <c:pt idx="183">
                  <c:v>79</c:v>
                </c:pt>
                <c:pt idx="184">
                  <c:v>79.5</c:v>
                </c:pt>
                <c:pt idx="185">
                  <c:v>80</c:v>
                </c:pt>
                <c:pt idx="186">
                  <c:v>80.5</c:v>
                </c:pt>
                <c:pt idx="187">
                  <c:v>81</c:v>
                </c:pt>
                <c:pt idx="188">
                  <c:v>81.5</c:v>
                </c:pt>
                <c:pt idx="189">
                  <c:v>82</c:v>
                </c:pt>
                <c:pt idx="190">
                  <c:v>82.5</c:v>
                </c:pt>
                <c:pt idx="191">
                  <c:v>83</c:v>
                </c:pt>
                <c:pt idx="192">
                  <c:v>83.5</c:v>
                </c:pt>
                <c:pt idx="193">
                  <c:v>84</c:v>
                </c:pt>
                <c:pt idx="194">
                  <c:v>84.5</c:v>
                </c:pt>
                <c:pt idx="195">
                  <c:v>85</c:v>
                </c:pt>
                <c:pt idx="196">
                  <c:v>85.5</c:v>
                </c:pt>
                <c:pt idx="197">
                  <c:v>86</c:v>
                </c:pt>
                <c:pt idx="198">
                  <c:v>86.5</c:v>
                </c:pt>
                <c:pt idx="199">
                  <c:v>87</c:v>
                </c:pt>
                <c:pt idx="200">
                  <c:v>87.5</c:v>
                </c:pt>
                <c:pt idx="201">
                  <c:v>88</c:v>
                </c:pt>
                <c:pt idx="202">
                  <c:v>88.5</c:v>
                </c:pt>
                <c:pt idx="203">
                  <c:v>89</c:v>
                </c:pt>
                <c:pt idx="204">
                  <c:v>89.5</c:v>
                </c:pt>
                <c:pt idx="205">
                  <c:v>90</c:v>
                </c:pt>
                <c:pt idx="206">
                  <c:v>90.5</c:v>
                </c:pt>
                <c:pt idx="207">
                  <c:v>91</c:v>
                </c:pt>
                <c:pt idx="208">
                  <c:v>91.5</c:v>
                </c:pt>
                <c:pt idx="209">
                  <c:v>92</c:v>
                </c:pt>
                <c:pt idx="210">
                  <c:v>92.5</c:v>
                </c:pt>
                <c:pt idx="211">
                  <c:v>93</c:v>
                </c:pt>
                <c:pt idx="212">
                  <c:v>93.5</c:v>
                </c:pt>
                <c:pt idx="213">
                  <c:v>94</c:v>
                </c:pt>
                <c:pt idx="214">
                  <c:v>94.5</c:v>
                </c:pt>
                <c:pt idx="215">
                  <c:v>95</c:v>
                </c:pt>
                <c:pt idx="216">
                  <c:v>95.5</c:v>
                </c:pt>
                <c:pt idx="217">
                  <c:v>96</c:v>
                </c:pt>
                <c:pt idx="218">
                  <c:v>96.5</c:v>
                </c:pt>
                <c:pt idx="219">
                  <c:v>97</c:v>
                </c:pt>
                <c:pt idx="220">
                  <c:v>97.5</c:v>
                </c:pt>
                <c:pt idx="221">
                  <c:v>98</c:v>
                </c:pt>
                <c:pt idx="222">
                  <c:v>98.5</c:v>
                </c:pt>
                <c:pt idx="223">
                  <c:v>99</c:v>
                </c:pt>
                <c:pt idx="224">
                  <c:v>99.5</c:v>
                </c:pt>
                <c:pt idx="225">
                  <c:v>100</c:v>
                </c:pt>
                <c:pt idx="226">
                  <c:v>105</c:v>
                </c:pt>
                <c:pt idx="227">
                  <c:v>110</c:v>
                </c:pt>
                <c:pt idx="228">
                  <c:v>115</c:v>
                </c:pt>
                <c:pt idx="229">
                  <c:v>120</c:v>
                </c:pt>
                <c:pt idx="230">
                  <c:v>125</c:v>
                </c:pt>
                <c:pt idx="231">
                  <c:v>130</c:v>
                </c:pt>
                <c:pt idx="232">
                  <c:v>135</c:v>
                </c:pt>
                <c:pt idx="233">
                  <c:v>140</c:v>
                </c:pt>
                <c:pt idx="234">
                  <c:v>145</c:v>
                </c:pt>
                <c:pt idx="235">
                  <c:v>150</c:v>
                </c:pt>
                <c:pt idx="236">
                  <c:v>155</c:v>
                </c:pt>
                <c:pt idx="237">
                  <c:v>160</c:v>
                </c:pt>
                <c:pt idx="238">
                  <c:v>165</c:v>
                </c:pt>
                <c:pt idx="239">
                  <c:v>170</c:v>
                </c:pt>
                <c:pt idx="240">
                  <c:v>175</c:v>
                </c:pt>
                <c:pt idx="241">
                  <c:v>180</c:v>
                </c:pt>
                <c:pt idx="242">
                  <c:v>185</c:v>
                </c:pt>
                <c:pt idx="243">
                  <c:v>190</c:v>
                </c:pt>
                <c:pt idx="244">
                  <c:v>195</c:v>
                </c:pt>
                <c:pt idx="245">
                  <c:v>200</c:v>
                </c:pt>
                <c:pt idx="246">
                  <c:v>205</c:v>
                </c:pt>
                <c:pt idx="247">
                  <c:v>210</c:v>
                </c:pt>
                <c:pt idx="248">
                  <c:v>215</c:v>
                </c:pt>
                <c:pt idx="249">
                  <c:v>220</c:v>
                </c:pt>
                <c:pt idx="250">
                  <c:v>225</c:v>
                </c:pt>
                <c:pt idx="251">
                  <c:v>230</c:v>
                </c:pt>
                <c:pt idx="252">
                  <c:v>235</c:v>
                </c:pt>
                <c:pt idx="253">
                  <c:v>240</c:v>
                </c:pt>
                <c:pt idx="254">
                  <c:v>245</c:v>
                </c:pt>
                <c:pt idx="255">
                  <c:v>250</c:v>
                </c:pt>
                <c:pt idx="256">
                  <c:v>255</c:v>
                </c:pt>
                <c:pt idx="257">
                  <c:v>260</c:v>
                </c:pt>
                <c:pt idx="258">
                  <c:v>265</c:v>
                </c:pt>
                <c:pt idx="259">
                  <c:v>270</c:v>
                </c:pt>
                <c:pt idx="260">
                  <c:v>275</c:v>
                </c:pt>
                <c:pt idx="261">
                  <c:v>280</c:v>
                </c:pt>
                <c:pt idx="262">
                  <c:v>285</c:v>
                </c:pt>
                <c:pt idx="263">
                  <c:v>290</c:v>
                </c:pt>
                <c:pt idx="264">
                  <c:v>295</c:v>
                </c:pt>
                <c:pt idx="265">
                  <c:v>300</c:v>
                </c:pt>
                <c:pt idx="266">
                  <c:v>305</c:v>
                </c:pt>
                <c:pt idx="267">
                  <c:v>310</c:v>
                </c:pt>
                <c:pt idx="268">
                  <c:v>315</c:v>
                </c:pt>
                <c:pt idx="269">
                  <c:v>320</c:v>
                </c:pt>
                <c:pt idx="270">
                  <c:v>325</c:v>
                </c:pt>
                <c:pt idx="271">
                  <c:v>330</c:v>
                </c:pt>
                <c:pt idx="272">
                  <c:v>335</c:v>
                </c:pt>
                <c:pt idx="273">
                  <c:v>340</c:v>
                </c:pt>
                <c:pt idx="274">
                  <c:v>345</c:v>
                </c:pt>
                <c:pt idx="275">
                  <c:v>350</c:v>
                </c:pt>
                <c:pt idx="276">
                  <c:v>355</c:v>
                </c:pt>
                <c:pt idx="277">
                  <c:v>360</c:v>
                </c:pt>
                <c:pt idx="278">
                  <c:v>365</c:v>
                </c:pt>
                <c:pt idx="279">
                  <c:v>370</c:v>
                </c:pt>
                <c:pt idx="280">
                  <c:v>375</c:v>
                </c:pt>
                <c:pt idx="281">
                  <c:v>380</c:v>
                </c:pt>
                <c:pt idx="282">
                  <c:v>385</c:v>
                </c:pt>
                <c:pt idx="283">
                  <c:v>390</c:v>
                </c:pt>
                <c:pt idx="284">
                  <c:v>395</c:v>
                </c:pt>
                <c:pt idx="285">
                  <c:v>400</c:v>
                </c:pt>
                <c:pt idx="286">
                  <c:v>405</c:v>
                </c:pt>
                <c:pt idx="287">
                  <c:v>410</c:v>
                </c:pt>
                <c:pt idx="288">
                  <c:v>415</c:v>
                </c:pt>
                <c:pt idx="289">
                  <c:v>420</c:v>
                </c:pt>
                <c:pt idx="290">
                  <c:v>425</c:v>
                </c:pt>
                <c:pt idx="291">
                  <c:v>430</c:v>
                </c:pt>
                <c:pt idx="292">
                  <c:v>435</c:v>
                </c:pt>
                <c:pt idx="293">
                  <c:v>440</c:v>
                </c:pt>
                <c:pt idx="294">
                  <c:v>445</c:v>
                </c:pt>
                <c:pt idx="295">
                  <c:v>450</c:v>
                </c:pt>
                <c:pt idx="296">
                  <c:v>455</c:v>
                </c:pt>
                <c:pt idx="297">
                  <c:v>460</c:v>
                </c:pt>
                <c:pt idx="298">
                  <c:v>465</c:v>
                </c:pt>
                <c:pt idx="299">
                  <c:v>470</c:v>
                </c:pt>
                <c:pt idx="300">
                  <c:v>475</c:v>
                </c:pt>
                <c:pt idx="301">
                  <c:v>480</c:v>
                </c:pt>
                <c:pt idx="302">
                  <c:v>485</c:v>
                </c:pt>
                <c:pt idx="303">
                  <c:v>490</c:v>
                </c:pt>
                <c:pt idx="304">
                  <c:v>495</c:v>
                </c:pt>
                <c:pt idx="305">
                  <c:v>500</c:v>
                </c:pt>
                <c:pt idx="306">
                  <c:v>505</c:v>
                </c:pt>
                <c:pt idx="307">
                  <c:v>510</c:v>
                </c:pt>
                <c:pt idx="308">
                  <c:v>515</c:v>
                </c:pt>
                <c:pt idx="309">
                  <c:v>520</c:v>
                </c:pt>
                <c:pt idx="310">
                  <c:v>525</c:v>
                </c:pt>
                <c:pt idx="311">
                  <c:v>530</c:v>
                </c:pt>
                <c:pt idx="312">
                  <c:v>535</c:v>
                </c:pt>
                <c:pt idx="313">
                  <c:v>540</c:v>
                </c:pt>
                <c:pt idx="314">
                  <c:v>545</c:v>
                </c:pt>
                <c:pt idx="315">
                  <c:v>550</c:v>
                </c:pt>
                <c:pt idx="316">
                  <c:v>555</c:v>
                </c:pt>
                <c:pt idx="317">
                  <c:v>560</c:v>
                </c:pt>
                <c:pt idx="318">
                  <c:v>565</c:v>
                </c:pt>
                <c:pt idx="319">
                  <c:v>570</c:v>
                </c:pt>
                <c:pt idx="320">
                  <c:v>575</c:v>
                </c:pt>
                <c:pt idx="321">
                  <c:v>580</c:v>
                </c:pt>
                <c:pt idx="322">
                  <c:v>585</c:v>
                </c:pt>
                <c:pt idx="323">
                  <c:v>590</c:v>
                </c:pt>
                <c:pt idx="324">
                  <c:v>595</c:v>
                </c:pt>
                <c:pt idx="325">
                  <c:v>600</c:v>
                </c:pt>
                <c:pt idx="326">
                  <c:v>605</c:v>
                </c:pt>
                <c:pt idx="327">
                  <c:v>610</c:v>
                </c:pt>
                <c:pt idx="328">
                  <c:v>615</c:v>
                </c:pt>
                <c:pt idx="329">
                  <c:v>620</c:v>
                </c:pt>
                <c:pt idx="330">
                  <c:v>625</c:v>
                </c:pt>
                <c:pt idx="331">
                  <c:v>630</c:v>
                </c:pt>
                <c:pt idx="332">
                  <c:v>635</c:v>
                </c:pt>
                <c:pt idx="333">
                  <c:v>640</c:v>
                </c:pt>
                <c:pt idx="334">
                  <c:v>645</c:v>
                </c:pt>
                <c:pt idx="335">
                  <c:v>650</c:v>
                </c:pt>
                <c:pt idx="336">
                  <c:v>655</c:v>
                </c:pt>
                <c:pt idx="337">
                  <c:v>660</c:v>
                </c:pt>
                <c:pt idx="338">
                  <c:v>665</c:v>
                </c:pt>
                <c:pt idx="339">
                  <c:v>670</c:v>
                </c:pt>
                <c:pt idx="340">
                  <c:v>675</c:v>
                </c:pt>
                <c:pt idx="341">
                  <c:v>680</c:v>
                </c:pt>
                <c:pt idx="342">
                  <c:v>685</c:v>
                </c:pt>
                <c:pt idx="343">
                  <c:v>690</c:v>
                </c:pt>
                <c:pt idx="344">
                  <c:v>695</c:v>
                </c:pt>
                <c:pt idx="345">
                  <c:v>700</c:v>
                </c:pt>
                <c:pt idx="346">
                  <c:v>705</c:v>
                </c:pt>
                <c:pt idx="347">
                  <c:v>710</c:v>
                </c:pt>
                <c:pt idx="348">
                  <c:v>715</c:v>
                </c:pt>
                <c:pt idx="349">
                  <c:v>720</c:v>
                </c:pt>
                <c:pt idx="350">
                  <c:v>725</c:v>
                </c:pt>
                <c:pt idx="351">
                  <c:v>730</c:v>
                </c:pt>
                <c:pt idx="352">
                  <c:v>735</c:v>
                </c:pt>
                <c:pt idx="353">
                  <c:v>740</c:v>
                </c:pt>
                <c:pt idx="354">
                  <c:v>745</c:v>
                </c:pt>
                <c:pt idx="355">
                  <c:v>750</c:v>
                </c:pt>
                <c:pt idx="356">
                  <c:v>755</c:v>
                </c:pt>
                <c:pt idx="357">
                  <c:v>760</c:v>
                </c:pt>
                <c:pt idx="358">
                  <c:v>765</c:v>
                </c:pt>
                <c:pt idx="359">
                  <c:v>770</c:v>
                </c:pt>
                <c:pt idx="360">
                  <c:v>775</c:v>
                </c:pt>
                <c:pt idx="361">
                  <c:v>780</c:v>
                </c:pt>
                <c:pt idx="362">
                  <c:v>785</c:v>
                </c:pt>
                <c:pt idx="363">
                  <c:v>790</c:v>
                </c:pt>
                <c:pt idx="364">
                  <c:v>795</c:v>
                </c:pt>
                <c:pt idx="365">
                  <c:v>800</c:v>
                </c:pt>
                <c:pt idx="366">
                  <c:v>805</c:v>
                </c:pt>
                <c:pt idx="367">
                  <c:v>810</c:v>
                </c:pt>
                <c:pt idx="368">
                  <c:v>815</c:v>
                </c:pt>
                <c:pt idx="369">
                  <c:v>820</c:v>
                </c:pt>
                <c:pt idx="370">
                  <c:v>825</c:v>
                </c:pt>
                <c:pt idx="371">
                  <c:v>830</c:v>
                </c:pt>
                <c:pt idx="372">
                  <c:v>835</c:v>
                </c:pt>
                <c:pt idx="373">
                  <c:v>840</c:v>
                </c:pt>
                <c:pt idx="374">
                  <c:v>845</c:v>
                </c:pt>
                <c:pt idx="375">
                  <c:v>850</c:v>
                </c:pt>
                <c:pt idx="376">
                  <c:v>855</c:v>
                </c:pt>
                <c:pt idx="377">
                  <c:v>860</c:v>
                </c:pt>
                <c:pt idx="378">
                  <c:v>865</c:v>
                </c:pt>
                <c:pt idx="379">
                  <c:v>870</c:v>
                </c:pt>
                <c:pt idx="380">
                  <c:v>875</c:v>
                </c:pt>
                <c:pt idx="381">
                  <c:v>880</c:v>
                </c:pt>
                <c:pt idx="382">
                  <c:v>885</c:v>
                </c:pt>
                <c:pt idx="383">
                  <c:v>890</c:v>
                </c:pt>
                <c:pt idx="384">
                  <c:v>895</c:v>
                </c:pt>
                <c:pt idx="385">
                  <c:v>900</c:v>
                </c:pt>
                <c:pt idx="386">
                  <c:v>905</c:v>
                </c:pt>
                <c:pt idx="387">
                  <c:v>910</c:v>
                </c:pt>
                <c:pt idx="388">
                  <c:v>915</c:v>
                </c:pt>
                <c:pt idx="389">
                  <c:v>920</c:v>
                </c:pt>
                <c:pt idx="390">
                  <c:v>925</c:v>
                </c:pt>
                <c:pt idx="391">
                  <c:v>930</c:v>
                </c:pt>
                <c:pt idx="392">
                  <c:v>935</c:v>
                </c:pt>
                <c:pt idx="393">
                  <c:v>940</c:v>
                </c:pt>
                <c:pt idx="394">
                  <c:v>945</c:v>
                </c:pt>
                <c:pt idx="395">
                  <c:v>950</c:v>
                </c:pt>
                <c:pt idx="396">
                  <c:v>955</c:v>
                </c:pt>
                <c:pt idx="397">
                  <c:v>960</c:v>
                </c:pt>
                <c:pt idx="398">
                  <c:v>965</c:v>
                </c:pt>
                <c:pt idx="399">
                  <c:v>970</c:v>
                </c:pt>
                <c:pt idx="400">
                  <c:v>975</c:v>
                </c:pt>
                <c:pt idx="401">
                  <c:v>980</c:v>
                </c:pt>
                <c:pt idx="402">
                  <c:v>985</c:v>
                </c:pt>
                <c:pt idx="403">
                  <c:v>990</c:v>
                </c:pt>
                <c:pt idx="404">
                  <c:v>995</c:v>
                </c:pt>
                <c:pt idx="405">
                  <c:v>1000</c:v>
                </c:pt>
                <c:pt idx="406">
                  <c:v>1005</c:v>
                </c:pt>
                <c:pt idx="407">
                  <c:v>1010</c:v>
                </c:pt>
                <c:pt idx="408">
                  <c:v>1015</c:v>
                </c:pt>
                <c:pt idx="409">
                  <c:v>1020</c:v>
                </c:pt>
                <c:pt idx="410">
                  <c:v>1025</c:v>
                </c:pt>
                <c:pt idx="411">
                  <c:v>1030</c:v>
                </c:pt>
                <c:pt idx="412">
                  <c:v>1035</c:v>
                </c:pt>
                <c:pt idx="413">
                  <c:v>1040</c:v>
                </c:pt>
                <c:pt idx="414">
                  <c:v>1045</c:v>
                </c:pt>
                <c:pt idx="415">
                  <c:v>1050</c:v>
                </c:pt>
                <c:pt idx="416">
                  <c:v>1055</c:v>
                </c:pt>
                <c:pt idx="417">
                  <c:v>1060</c:v>
                </c:pt>
                <c:pt idx="418">
                  <c:v>1065</c:v>
                </c:pt>
                <c:pt idx="419">
                  <c:v>1070</c:v>
                </c:pt>
                <c:pt idx="420">
                  <c:v>1075</c:v>
                </c:pt>
                <c:pt idx="421">
                  <c:v>1080</c:v>
                </c:pt>
                <c:pt idx="422">
                  <c:v>1085</c:v>
                </c:pt>
                <c:pt idx="423">
                  <c:v>1090</c:v>
                </c:pt>
                <c:pt idx="424">
                  <c:v>1095</c:v>
                </c:pt>
                <c:pt idx="425">
                  <c:v>1100</c:v>
                </c:pt>
                <c:pt idx="426">
                  <c:v>1105</c:v>
                </c:pt>
                <c:pt idx="427">
                  <c:v>1110</c:v>
                </c:pt>
                <c:pt idx="428">
                  <c:v>1115</c:v>
                </c:pt>
                <c:pt idx="429">
                  <c:v>1120</c:v>
                </c:pt>
                <c:pt idx="430">
                  <c:v>1125</c:v>
                </c:pt>
                <c:pt idx="431">
                  <c:v>1130</c:v>
                </c:pt>
                <c:pt idx="432">
                  <c:v>1135</c:v>
                </c:pt>
                <c:pt idx="433">
                  <c:v>1140</c:v>
                </c:pt>
                <c:pt idx="434">
                  <c:v>1145</c:v>
                </c:pt>
                <c:pt idx="435">
                  <c:v>1150</c:v>
                </c:pt>
                <c:pt idx="436">
                  <c:v>1155</c:v>
                </c:pt>
                <c:pt idx="437">
                  <c:v>1160</c:v>
                </c:pt>
                <c:pt idx="438">
                  <c:v>1165</c:v>
                </c:pt>
                <c:pt idx="439">
                  <c:v>1170</c:v>
                </c:pt>
                <c:pt idx="440">
                  <c:v>1175</c:v>
                </c:pt>
                <c:pt idx="441">
                  <c:v>1180</c:v>
                </c:pt>
                <c:pt idx="442">
                  <c:v>1185</c:v>
                </c:pt>
                <c:pt idx="443">
                  <c:v>1190</c:v>
                </c:pt>
                <c:pt idx="444">
                  <c:v>1195</c:v>
                </c:pt>
                <c:pt idx="445">
                  <c:v>1200</c:v>
                </c:pt>
                <c:pt idx="446">
                  <c:v>1205</c:v>
                </c:pt>
                <c:pt idx="447">
                  <c:v>1210</c:v>
                </c:pt>
                <c:pt idx="448">
                  <c:v>1215</c:v>
                </c:pt>
                <c:pt idx="449">
                  <c:v>1220</c:v>
                </c:pt>
                <c:pt idx="450">
                  <c:v>1225</c:v>
                </c:pt>
                <c:pt idx="451">
                  <c:v>1230</c:v>
                </c:pt>
                <c:pt idx="452">
                  <c:v>1235</c:v>
                </c:pt>
                <c:pt idx="453">
                  <c:v>1240</c:v>
                </c:pt>
                <c:pt idx="454">
                  <c:v>1245</c:v>
                </c:pt>
                <c:pt idx="455">
                  <c:v>1250</c:v>
                </c:pt>
                <c:pt idx="456">
                  <c:v>1255</c:v>
                </c:pt>
                <c:pt idx="457">
                  <c:v>1260</c:v>
                </c:pt>
                <c:pt idx="458">
                  <c:v>1265</c:v>
                </c:pt>
                <c:pt idx="459">
                  <c:v>1270</c:v>
                </c:pt>
                <c:pt idx="460">
                  <c:v>1275</c:v>
                </c:pt>
                <c:pt idx="461">
                  <c:v>1280</c:v>
                </c:pt>
                <c:pt idx="462">
                  <c:v>1285</c:v>
                </c:pt>
                <c:pt idx="463">
                  <c:v>1290</c:v>
                </c:pt>
                <c:pt idx="464">
                  <c:v>1295</c:v>
                </c:pt>
                <c:pt idx="465">
                  <c:v>1300</c:v>
                </c:pt>
                <c:pt idx="466">
                  <c:v>1305</c:v>
                </c:pt>
                <c:pt idx="467">
                  <c:v>1310</c:v>
                </c:pt>
                <c:pt idx="468">
                  <c:v>1315</c:v>
                </c:pt>
                <c:pt idx="469">
                  <c:v>1320</c:v>
                </c:pt>
                <c:pt idx="470">
                  <c:v>1325</c:v>
                </c:pt>
                <c:pt idx="471">
                  <c:v>1330</c:v>
                </c:pt>
                <c:pt idx="472">
                  <c:v>1335</c:v>
                </c:pt>
                <c:pt idx="473">
                  <c:v>1340</c:v>
                </c:pt>
                <c:pt idx="474">
                  <c:v>1345</c:v>
                </c:pt>
                <c:pt idx="475">
                  <c:v>1350</c:v>
                </c:pt>
                <c:pt idx="476">
                  <c:v>1355</c:v>
                </c:pt>
                <c:pt idx="477">
                  <c:v>1360</c:v>
                </c:pt>
                <c:pt idx="478">
                  <c:v>1365</c:v>
                </c:pt>
                <c:pt idx="479">
                  <c:v>1370</c:v>
                </c:pt>
                <c:pt idx="480">
                  <c:v>1375</c:v>
                </c:pt>
                <c:pt idx="481">
                  <c:v>1380</c:v>
                </c:pt>
                <c:pt idx="482">
                  <c:v>1385</c:v>
                </c:pt>
                <c:pt idx="483">
                  <c:v>1390</c:v>
                </c:pt>
                <c:pt idx="484">
                  <c:v>1395</c:v>
                </c:pt>
                <c:pt idx="485">
                  <c:v>1400</c:v>
                </c:pt>
                <c:pt idx="486">
                  <c:v>1405</c:v>
                </c:pt>
                <c:pt idx="487">
                  <c:v>1410</c:v>
                </c:pt>
                <c:pt idx="488">
                  <c:v>1415</c:v>
                </c:pt>
                <c:pt idx="489">
                  <c:v>1420</c:v>
                </c:pt>
                <c:pt idx="490">
                  <c:v>1425</c:v>
                </c:pt>
                <c:pt idx="491">
                  <c:v>1430</c:v>
                </c:pt>
                <c:pt idx="492">
                  <c:v>1435</c:v>
                </c:pt>
                <c:pt idx="493">
                  <c:v>1440</c:v>
                </c:pt>
                <c:pt idx="494">
                  <c:v>1445</c:v>
                </c:pt>
                <c:pt idx="495">
                  <c:v>1450</c:v>
                </c:pt>
                <c:pt idx="496">
                  <c:v>1455</c:v>
                </c:pt>
                <c:pt idx="497">
                  <c:v>1460</c:v>
                </c:pt>
                <c:pt idx="498">
                  <c:v>1465</c:v>
                </c:pt>
                <c:pt idx="499">
                  <c:v>1470</c:v>
                </c:pt>
                <c:pt idx="500">
                  <c:v>1475</c:v>
                </c:pt>
                <c:pt idx="501">
                  <c:v>1480</c:v>
                </c:pt>
                <c:pt idx="502">
                  <c:v>1485</c:v>
                </c:pt>
                <c:pt idx="503">
                  <c:v>1490</c:v>
                </c:pt>
                <c:pt idx="504">
                  <c:v>1495</c:v>
                </c:pt>
                <c:pt idx="505">
                  <c:v>1500</c:v>
                </c:pt>
                <c:pt idx="506">
                  <c:v>1505</c:v>
                </c:pt>
                <c:pt idx="507">
                  <c:v>1510</c:v>
                </c:pt>
                <c:pt idx="508">
                  <c:v>1515</c:v>
                </c:pt>
                <c:pt idx="509">
                  <c:v>1520</c:v>
                </c:pt>
                <c:pt idx="510">
                  <c:v>1525</c:v>
                </c:pt>
                <c:pt idx="511">
                  <c:v>1530</c:v>
                </c:pt>
                <c:pt idx="512">
                  <c:v>1535</c:v>
                </c:pt>
                <c:pt idx="513">
                  <c:v>1540</c:v>
                </c:pt>
                <c:pt idx="514">
                  <c:v>1545</c:v>
                </c:pt>
                <c:pt idx="515">
                  <c:v>1550</c:v>
                </c:pt>
                <c:pt idx="516">
                  <c:v>1555</c:v>
                </c:pt>
                <c:pt idx="517">
                  <c:v>1560</c:v>
                </c:pt>
                <c:pt idx="518">
                  <c:v>1565</c:v>
                </c:pt>
                <c:pt idx="519">
                  <c:v>1570</c:v>
                </c:pt>
                <c:pt idx="520">
                  <c:v>1575</c:v>
                </c:pt>
                <c:pt idx="521">
                  <c:v>1580</c:v>
                </c:pt>
                <c:pt idx="522">
                  <c:v>1585</c:v>
                </c:pt>
                <c:pt idx="523">
                  <c:v>1590</c:v>
                </c:pt>
                <c:pt idx="524">
                  <c:v>1595</c:v>
                </c:pt>
                <c:pt idx="525">
                  <c:v>1600</c:v>
                </c:pt>
                <c:pt idx="526">
                  <c:v>1605</c:v>
                </c:pt>
                <c:pt idx="527">
                  <c:v>1610</c:v>
                </c:pt>
                <c:pt idx="528">
                  <c:v>1615</c:v>
                </c:pt>
                <c:pt idx="529">
                  <c:v>1620</c:v>
                </c:pt>
                <c:pt idx="530">
                  <c:v>1625</c:v>
                </c:pt>
                <c:pt idx="531">
                  <c:v>1630</c:v>
                </c:pt>
                <c:pt idx="532">
                  <c:v>1635</c:v>
                </c:pt>
                <c:pt idx="533">
                  <c:v>1640</c:v>
                </c:pt>
                <c:pt idx="534">
                  <c:v>1645</c:v>
                </c:pt>
                <c:pt idx="535">
                  <c:v>1650</c:v>
                </c:pt>
                <c:pt idx="536">
                  <c:v>1655</c:v>
                </c:pt>
                <c:pt idx="537">
                  <c:v>1660</c:v>
                </c:pt>
                <c:pt idx="538">
                  <c:v>1665</c:v>
                </c:pt>
                <c:pt idx="539">
                  <c:v>1670</c:v>
                </c:pt>
                <c:pt idx="540">
                  <c:v>1675</c:v>
                </c:pt>
                <c:pt idx="541">
                  <c:v>1680</c:v>
                </c:pt>
                <c:pt idx="542">
                  <c:v>1685</c:v>
                </c:pt>
                <c:pt idx="543">
                  <c:v>1690</c:v>
                </c:pt>
                <c:pt idx="544">
                  <c:v>1695</c:v>
                </c:pt>
                <c:pt idx="545">
                  <c:v>1700</c:v>
                </c:pt>
                <c:pt idx="546">
                  <c:v>1705</c:v>
                </c:pt>
                <c:pt idx="547">
                  <c:v>1710</c:v>
                </c:pt>
                <c:pt idx="548">
                  <c:v>1715</c:v>
                </c:pt>
                <c:pt idx="549">
                  <c:v>1720</c:v>
                </c:pt>
                <c:pt idx="550">
                  <c:v>1725</c:v>
                </c:pt>
                <c:pt idx="551">
                  <c:v>1730</c:v>
                </c:pt>
                <c:pt idx="552">
                  <c:v>1735</c:v>
                </c:pt>
                <c:pt idx="553">
                  <c:v>1740</c:v>
                </c:pt>
                <c:pt idx="554">
                  <c:v>1745</c:v>
                </c:pt>
                <c:pt idx="555">
                  <c:v>1750</c:v>
                </c:pt>
                <c:pt idx="556">
                  <c:v>1755</c:v>
                </c:pt>
                <c:pt idx="557">
                  <c:v>1760</c:v>
                </c:pt>
                <c:pt idx="558">
                  <c:v>1765</c:v>
                </c:pt>
                <c:pt idx="559">
                  <c:v>1770</c:v>
                </c:pt>
                <c:pt idx="560">
                  <c:v>1775</c:v>
                </c:pt>
                <c:pt idx="561">
                  <c:v>1780</c:v>
                </c:pt>
                <c:pt idx="562">
                  <c:v>1785</c:v>
                </c:pt>
                <c:pt idx="563">
                  <c:v>1790</c:v>
                </c:pt>
                <c:pt idx="564">
                  <c:v>1795</c:v>
                </c:pt>
                <c:pt idx="565">
                  <c:v>1800</c:v>
                </c:pt>
                <c:pt idx="566">
                  <c:v>1805</c:v>
                </c:pt>
                <c:pt idx="567">
                  <c:v>1810</c:v>
                </c:pt>
                <c:pt idx="568">
                  <c:v>1815</c:v>
                </c:pt>
                <c:pt idx="569">
                  <c:v>1820</c:v>
                </c:pt>
                <c:pt idx="570">
                  <c:v>1825</c:v>
                </c:pt>
                <c:pt idx="571">
                  <c:v>1830</c:v>
                </c:pt>
                <c:pt idx="572">
                  <c:v>1835</c:v>
                </c:pt>
                <c:pt idx="573">
                  <c:v>1840</c:v>
                </c:pt>
                <c:pt idx="574">
                  <c:v>1845</c:v>
                </c:pt>
                <c:pt idx="575">
                  <c:v>1850</c:v>
                </c:pt>
                <c:pt idx="576">
                  <c:v>1855</c:v>
                </c:pt>
                <c:pt idx="577">
                  <c:v>1860</c:v>
                </c:pt>
                <c:pt idx="578">
                  <c:v>1865</c:v>
                </c:pt>
                <c:pt idx="579">
                  <c:v>1870</c:v>
                </c:pt>
                <c:pt idx="580">
                  <c:v>1875</c:v>
                </c:pt>
                <c:pt idx="581">
                  <c:v>1880</c:v>
                </c:pt>
                <c:pt idx="582">
                  <c:v>1885</c:v>
                </c:pt>
                <c:pt idx="583">
                  <c:v>1890</c:v>
                </c:pt>
                <c:pt idx="584">
                  <c:v>1895</c:v>
                </c:pt>
                <c:pt idx="585">
                  <c:v>1900</c:v>
                </c:pt>
                <c:pt idx="586">
                  <c:v>1905</c:v>
                </c:pt>
                <c:pt idx="587">
                  <c:v>1910</c:v>
                </c:pt>
                <c:pt idx="588">
                  <c:v>1915</c:v>
                </c:pt>
                <c:pt idx="589">
                  <c:v>1920</c:v>
                </c:pt>
                <c:pt idx="590">
                  <c:v>1925</c:v>
                </c:pt>
                <c:pt idx="591">
                  <c:v>1930</c:v>
                </c:pt>
                <c:pt idx="592">
                  <c:v>1935</c:v>
                </c:pt>
                <c:pt idx="593">
                  <c:v>1940</c:v>
                </c:pt>
                <c:pt idx="594">
                  <c:v>1945</c:v>
                </c:pt>
                <c:pt idx="595">
                  <c:v>1950</c:v>
                </c:pt>
                <c:pt idx="596">
                  <c:v>1955</c:v>
                </c:pt>
                <c:pt idx="597">
                  <c:v>1960</c:v>
                </c:pt>
                <c:pt idx="598">
                  <c:v>1965</c:v>
                </c:pt>
                <c:pt idx="599">
                  <c:v>1970</c:v>
                </c:pt>
                <c:pt idx="600">
                  <c:v>1975</c:v>
                </c:pt>
                <c:pt idx="601">
                  <c:v>1980</c:v>
                </c:pt>
                <c:pt idx="602">
                  <c:v>1985</c:v>
                </c:pt>
                <c:pt idx="603">
                  <c:v>1990</c:v>
                </c:pt>
                <c:pt idx="604">
                  <c:v>1995</c:v>
                </c:pt>
                <c:pt idx="605">
                  <c:v>2000</c:v>
                </c:pt>
                <c:pt idx="606">
                  <c:v>2250</c:v>
                </c:pt>
                <c:pt idx="607">
                  <c:v>2500</c:v>
                </c:pt>
                <c:pt idx="608">
                  <c:v>2750</c:v>
                </c:pt>
                <c:pt idx="609">
                  <c:v>3000</c:v>
                </c:pt>
                <c:pt idx="610">
                  <c:v>3250</c:v>
                </c:pt>
                <c:pt idx="611">
                  <c:v>3500</c:v>
                </c:pt>
                <c:pt idx="612">
                  <c:v>3750</c:v>
                </c:pt>
                <c:pt idx="613">
                  <c:v>4000</c:v>
                </c:pt>
                <c:pt idx="614">
                  <c:v>4250</c:v>
                </c:pt>
                <c:pt idx="615">
                  <c:v>4500</c:v>
                </c:pt>
                <c:pt idx="616">
                  <c:v>4750</c:v>
                </c:pt>
                <c:pt idx="617">
                  <c:v>5000</c:v>
                </c:pt>
                <c:pt idx="618">
                  <c:v>5100</c:v>
                </c:pt>
                <c:pt idx="619">
                  <c:v>5200</c:v>
                </c:pt>
                <c:pt idx="620">
                  <c:v>5300</c:v>
                </c:pt>
                <c:pt idx="621">
                  <c:v>5400</c:v>
                </c:pt>
                <c:pt idx="622">
                  <c:v>5500</c:v>
                </c:pt>
                <c:pt idx="623">
                  <c:v>5600</c:v>
                </c:pt>
                <c:pt idx="624">
                  <c:v>5700</c:v>
                </c:pt>
                <c:pt idx="625">
                  <c:v>5800</c:v>
                </c:pt>
                <c:pt idx="626">
                  <c:v>5900</c:v>
                </c:pt>
                <c:pt idx="627">
                  <c:v>6000</c:v>
                </c:pt>
                <c:pt idx="628">
                  <c:v>6100</c:v>
                </c:pt>
                <c:pt idx="629">
                  <c:v>6200</c:v>
                </c:pt>
                <c:pt idx="630">
                  <c:v>6300</c:v>
                </c:pt>
                <c:pt idx="631">
                  <c:v>6400</c:v>
                </c:pt>
                <c:pt idx="632">
                  <c:v>6500</c:v>
                </c:pt>
                <c:pt idx="633">
                  <c:v>6600</c:v>
                </c:pt>
                <c:pt idx="634">
                  <c:v>6700</c:v>
                </c:pt>
                <c:pt idx="635">
                  <c:v>6800</c:v>
                </c:pt>
                <c:pt idx="636">
                  <c:v>6900</c:v>
                </c:pt>
                <c:pt idx="637">
                  <c:v>7000</c:v>
                </c:pt>
                <c:pt idx="638">
                  <c:v>7100</c:v>
                </c:pt>
                <c:pt idx="639">
                  <c:v>7200</c:v>
                </c:pt>
                <c:pt idx="640">
                  <c:v>7300</c:v>
                </c:pt>
                <c:pt idx="641">
                  <c:v>7400</c:v>
                </c:pt>
                <c:pt idx="642">
                  <c:v>7500</c:v>
                </c:pt>
                <c:pt idx="643">
                  <c:v>7600</c:v>
                </c:pt>
                <c:pt idx="644">
                  <c:v>7700</c:v>
                </c:pt>
                <c:pt idx="645">
                  <c:v>7800</c:v>
                </c:pt>
                <c:pt idx="646">
                  <c:v>7900</c:v>
                </c:pt>
                <c:pt idx="647">
                  <c:v>8000</c:v>
                </c:pt>
                <c:pt idx="648">
                  <c:v>8100</c:v>
                </c:pt>
                <c:pt idx="649">
                  <c:v>8200</c:v>
                </c:pt>
                <c:pt idx="650">
                  <c:v>8300</c:v>
                </c:pt>
                <c:pt idx="651">
                  <c:v>8400</c:v>
                </c:pt>
                <c:pt idx="652">
                  <c:v>8500</c:v>
                </c:pt>
                <c:pt idx="653">
                  <c:v>8600</c:v>
                </c:pt>
                <c:pt idx="654">
                  <c:v>8700</c:v>
                </c:pt>
                <c:pt idx="655">
                  <c:v>8800</c:v>
                </c:pt>
                <c:pt idx="656">
                  <c:v>8900</c:v>
                </c:pt>
                <c:pt idx="657">
                  <c:v>9000</c:v>
                </c:pt>
                <c:pt idx="658">
                  <c:v>9100</c:v>
                </c:pt>
                <c:pt idx="659">
                  <c:v>9200</c:v>
                </c:pt>
                <c:pt idx="660">
                  <c:v>9300</c:v>
                </c:pt>
                <c:pt idx="661">
                  <c:v>9400</c:v>
                </c:pt>
                <c:pt idx="662">
                  <c:v>9500</c:v>
                </c:pt>
                <c:pt idx="663">
                  <c:v>9600</c:v>
                </c:pt>
                <c:pt idx="664">
                  <c:v>9700</c:v>
                </c:pt>
                <c:pt idx="665">
                  <c:v>9800</c:v>
                </c:pt>
                <c:pt idx="666">
                  <c:v>9900</c:v>
                </c:pt>
                <c:pt idx="667">
                  <c:v>10000</c:v>
                </c:pt>
              </c:numCache>
            </c:numRef>
          </c:xVal>
          <c:yVal>
            <c:numRef>
              <c:f>'Bode Plots Calculations'!$BF$9:$BF$676</c:f>
              <c:numCache>
                <c:formatCode>General</c:formatCode>
                <c:ptCount val="668"/>
                <c:pt idx="0">
                  <c:v>70.414314155198312</c:v>
                </c:pt>
                <c:pt idx="1">
                  <c:v>64.460215053163324</c:v>
                </c:pt>
                <c:pt idx="2">
                  <c:v>60.950835110952767</c:v>
                </c:pt>
                <c:pt idx="3">
                  <c:v>58.456445629182774</c:v>
                </c:pt>
                <c:pt idx="4">
                  <c:v>56.52029963942929</c:v>
                </c:pt>
                <c:pt idx="5">
                  <c:v>54.937815461173408</c:v>
                </c:pt>
                <c:pt idx="6">
                  <c:v>53.599593108566957</c:v>
                </c:pt>
                <c:pt idx="7">
                  <c:v>52.440243527529105</c:v>
                </c:pt>
                <c:pt idx="8">
                  <c:v>51.417555474090335</c:v>
                </c:pt>
                <c:pt idx="9">
                  <c:v>50.502692258180574</c:v>
                </c:pt>
                <c:pt idx="10">
                  <c:v>44.483965757707928</c:v>
                </c:pt>
                <c:pt idx="11">
                  <c:v>40.96426466920822</c:v>
                </c:pt>
                <c:pt idx="12">
                  <c:v>38.468331307400689</c:v>
                </c:pt>
                <c:pt idx="13">
                  <c:v>36.533745900753431</c:v>
                </c:pt>
                <c:pt idx="14">
                  <c:v>34.95452172489464</c:v>
                </c:pt>
                <c:pt idx="15">
                  <c:v>33.620775236160661</c:v>
                </c:pt>
                <c:pt idx="16">
                  <c:v>32.466913598242272</c:v>
                </c:pt>
                <c:pt idx="17">
                  <c:v>31.450626437767788</c:v>
                </c:pt>
                <c:pt idx="18">
                  <c:v>30.543023048851765</c:v>
                </c:pt>
                <c:pt idx="19">
                  <c:v>24.639991411848726</c:v>
                </c:pt>
                <c:pt idx="20">
                  <c:v>21.307880819427677</c:v>
                </c:pt>
                <c:pt idx="21">
                  <c:v>19.062669372733353</c:v>
                </c:pt>
                <c:pt idx="22">
                  <c:v>17.431991304481432</c:v>
                </c:pt>
                <c:pt idx="23">
                  <c:v>16.199498221774483</c:v>
                </c:pt>
                <c:pt idx="24">
                  <c:v>15.245395425099614</c:v>
                </c:pt>
                <c:pt idx="25">
                  <c:v>14.495207644120072</c:v>
                </c:pt>
                <c:pt idx="26">
                  <c:v>13.899055563834203</c:v>
                </c:pt>
                <c:pt idx="27">
                  <c:v>13.421852249976922</c:v>
                </c:pt>
                <c:pt idx="28">
                  <c:v>12.119313263894075</c:v>
                </c:pt>
                <c:pt idx="29">
                  <c:v>11.733515276892881</c:v>
                </c:pt>
                <c:pt idx="30">
                  <c:v>11.760738459794226</c:v>
                </c:pt>
                <c:pt idx="31">
                  <c:v>12.022303492460786</c:v>
                </c:pt>
                <c:pt idx="32">
                  <c:v>12.444511564311638</c:v>
                </c:pt>
                <c:pt idx="33">
                  <c:v>12.993826567859056</c:v>
                </c:pt>
                <c:pt idx="34">
                  <c:v>13.654581726427029</c:v>
                </c:pt>
                <c:pt idx="35">
                  <c:v>14.420236332483043</c:v>
                </c:pt>
                <c:pt idx="36">
                  <c:v>15.289332651715917</c:v>
                </c:pt>
                <c:pt idx="37">
                  <c:v>16.262825738307441</c:v>
                </c:pt>
                <c:pt idx="38">
                  <c:v>17.340839443849358</c:v>
                </c:pt>
                <c:pt idx="39">
                  <c:v>18.516557485024862</c:v>
                </c:pt>
                <c:pt idx="40">
                  <c:v>19.763327030385746</c:v>
                </c:pt>
                <c:pt idx="41">
                  <c:v>21.00923038755144</c:v>
                </c:pt>
                <c:pt idx="42">
                  <c:v>22.099575521312911</c:v>
                </c:pt>
                <c:pt idx="43">
                  <c:v>22.786831454421261</c:v>
                </c:pt>
                <c:pt idx="44">
                  <c:v>22.844588206329306</c:v>
                </c:pt>
                <c:pt idx="45">
                  <c:v>22.270148347012942</c:v>
                </c:pt>
                <c:pt idx="46">
                  <c:v>21.286206973249669</c:v>
                </c:pt>
                <c:pt idx="47">
                  <c:v>20.138676941273481</c:v>
                </c:pt>
                <c:pt idx="48">
                  <c:v>18.980784073800603</c:v>
                </c:pt>
                <c:pt idx="49">
                  <c:v>17.882155779983275</c:v>
                </c:pt>
                <c:pt idx="50">
                  <c:v>16.86619592238721</c:v>
                </c:pt>
                <c:pt idx="51">
                  <c:v>15.935460468876263</c:v>
                </c:pt>
                <c:pt idx="52">
                  <c:v>15.084332500666466</c:v>
                </c:pt>
                <c:pt idx="53">
                  <c:v>14.304651001413722</c:v>
                </c:pt>
                <c:pt idx="54">
                  <c:v>13.588040256408755</c:v>
                </c:pt>
                <c:pt idx="55">
                  <c:v>12.926787035912371</c:v>
                </c:pt>
                <c:pt idx="56">
                  <c:v>12.314099669347058</c:v>
                </c:pt>
                <c:pt idx="57">
                  <c:v>11.744115099433863</c:v>
                </c:pt>
                <c:pt idx="58">
                  <c:v>11.211812597266661</c:v>
                </c:pt>
                <c:pt idx="59">
                  <c:v>10.712901695972279</c:v>
                </c:pt>
                <c:pt idx="60">
                  <c:v>10.243711870179439</c:v>
                </c:pt>
                <c:pt idx="61">
                  <c:v>9.8010939764803933</c:v>
                </c:pt>
                <c:pt idx="62">
                  <c:v>9.3823359560915076</c:v>
                </c:pt>
                <c:pt idx="63">
                  <c:v>8.9850922433652336</c:v>
                </c:pt>
                <c:pt idx="64">
                  <c:v>8.6073252404457179</c:v>
                </c:pt>
                <c:pt idx="65">
                  <c:v>8.2472569874985062</c:v>
                </c:pt>
                <c:pt idx="66">
                  <c:v>7.9033292718882828</c:v>
                </c:pt>
                <c:pt idx="67">
                  <c:v>7.574170651135379</c:v>
                </c:pt>
                <c:pt idx="68">
                  <c:v>7.2585691150364795</c:v>
                </c:pt>
                <c:pt idx="69">
                  <c:v>6.9554493426551147</c:v>
                </c:pt>
                <c:pt idx="70">
                  <c:v>6.6638537072908086</c:v>
                </c:pt>
                <c:pt idx="71">
                  <c:v>6.3829263458585999</c:v>
                </c:pt>
                <c:pt idx="72">
                  <c:v>6.1118997417109791</c:v>
                </c:pt>
                <c:pt idx="73">
                  <c:v>5.8500833765154949</c:v>
                </c:pt>
                <c:pt idx="74">
                  <c:v>5.5968540920539187</c:v>
                </c:pt>
                <c:pt idx="75">
                  <c:v>5.3516478708859525</c:v>
                </c:pt>
                <c:pt idx="76">
                  <c:v>5.1139527992008951</c:v>
                </c:pt>
                <c:pt idx="77">
                  <c:v>4.8833030186922706</c:v>
                </c:pt>
                <c:pt idx="78">
                  <c:v>4.6592735091931576</c:v>
                </c:pt>
                <c:pt idx="79">
                  <c:v>4.441475571893716</c:v>
                </c:pt>
                <c:pt idx="80">
                  <c:v>4.2295529056365266</c:v>
                </c:pt>
                <c:pt idx="81">
                  <c:v>4.0231781871600578</c:v>
                </c:pt>
                <c:pt idx="82">
                  <c:v>3.8220500811060338</c:v>
                </c:pt>
                <c:pt idx="83">
                  <c:v>3.6258906178108168</c:v>
                </c:pt>
                <c:pt idx="84">
                  <c:v>3.434442886903613</c:v>
                </c:pt>
                <c:pt idx="85">
                  <c:v>3.2474690029652202</c:v>
                </c:pt>
                <c:pt idx="86">
                  <c:v>3.0647483062983873</c:v>
                </c:pt>
                <c:pt idx="87">
                  <c:v>2.8860757674953246</c:v>
                </c:pt>
                <c:pt idx="88">
                  <c:v>2.7112605691757317</c:v>
                </c:pt>
                <c:pt idx="89">
                  <c:v>2.5401248421817719</c:v>
                </c:pt>
                <c:pt idx="90">
                  <c:v>2.3725025367946797</c:v>
                </c:pt>
                <c:pt idx="91">
                  <c:v>2.2082384122927898</c:v>
                </c:pt>
                <c:pt idx="92">
                  <c:v>2.0471871304942195</c:v>
                </c:pt>
                <c:pt idx="93">
                  <c:v>1.8892124408919309</c:v>
                </c:pt>
                <c:pt idx="94">
                  <c:v>1.7341864466565757</c:v>
                </c:pt>
                <c:pt idx="95">
                  <c:v>1.5819889422005033</c:v>
                </c:pt>
                <c:pt idx="96">
                  <c:v>1.432506814207126</c:v>
                </c:pt>
                <c:pt idx="97">
                  <c:v>1.2856334990654195</c:v>
                </c:pt>
                <c:pt idx="98">
                  <c:v>1.1412684905380317</c:v>
                </c:pt>
                <c:pt idx="99">
                  <c:v>0.99931689225576226</c:v>
                </c:pt>
                <c:pt idx="100">
                  <c:v>0.85968901029065115</c:v>
                </c:pt>
                <c:pt idx="101">
                  <c:v>0.72229998162940634</c:v>
                </c:pt>
                <c:pt idx="102">
                  <c:v>0.58706943486295848</c:v>
                </c:pt>
                <c:pt idx="103">
                  <c:v>0.4539211798366477</c:v>
                </c:pt>
                <c:pt idx="104">
                  <c:v>0.32278292337890846</c:v>
                </c:pt>
                <c:pt idx="105">
                  <c:v>0.19358600855185976</c:v>
                </c:pt>
                <c:pt idx="106">
                  <c:v>6.6265175151919292E-2</c:v>
                </c:pt>
                <c:pt idx="107">
                  <c:v>-5.9241660562197096E-2</c:v>
                </c:pt>
                <c:pt idx="108">
                  <c:v>-0.18299360871770726</c:v>
                </c:pt>
                <c:pt idx="109">
                  <c:v>-0.30504699286371567</c:v>
                </c:pt>
                <c:pt idx="110">
                  <c:v>-0.4254555226366189</c:v>
                </c:pt>
                <c:pt idx="111">
                  <c:v>-0.54427045334714996</c:v>
                </c:pt>
                <c:pt idx="112">
                  <c:v>-0.66154073364898081</c:v>
                </c:pt>
                <c:pt idx="113">
                  <c:v>-0.7773131423316092</c:v>
                </c:pt>
                <c:pt idx="114">
                  <c:v>-0.89163241517631531</c:v>
                </c:pt>
                <c:pt idx="115">
                  <c:v>-1.0045413627215682</c:v>
                </c:pt>
                <c:pt idx="116">
                  <c:v>-1.1160809797021802</c:v>
                </c:pt>
                <c:pt idx="117">
                  <c:v>-1.2262905468530081</c:v>
                </c:pt>
                <c:pt idx="118">
                  <c:v>-1.3352077257028037</c:v>
                </c:pt>
                <c:pt idx="119">
                  <c:v>-1.4428686469251182</c:v>
                </c:pt>
                <c:pt idx="120">
                  <c:v>-1.5493079927610109</c:v>
                </c:pt>
                <c:pt idx="121">
                  <c:v>-1.6545590739811109</c:v>
                </c:pt>
                <c:pt idx="122">
                  <c:v>-1.758653901812639</c:v>
                </c:pt>
                <c:pt idx="123">
                  <c:v>-1.861623255218896</c:v>
                </c:pt>
                <c:pt idx="124">
                  <c:v>-1.9634967438848185</c:v>
                </c:pt>
                <c:pt idx="125">
                  <c:v>-2.0643028672312607</c:v>
                </c:pt>
                <c:pt idx="126">
                  <c:v>-2.1640690697529417</c:v>
                </c:pt>
                <c:pt idx="127">
                  <c:v>-2.2628217929500827</c:v>
                </c:pt>
                <c:pt idx="128">
                  <c:v>-2.3605865241007331</c:v>
                </c:pt>
                <c:pt idx="129">
                  <c:v>-2.4573878421007285</c:v>
                </c:pt>
                <c:pt idx="130">
                  <c:v>-2.5532494605789493</c:v>
                </c:pt>
                <c:pt idx="131">
                  <c:v>-2.6481942684793558</c:v>
                </c:pt>
                <c:pt idx="132">
                  <c:v>-2.7422443682852258</c:v>
                </c:pt>
                <c:pt idx="133">
                  <c:v>-2.8354211120475998</c:v>
                </c:pt>
                <c:pt idx="134">
                  <c:v>-2.9277451353668078</c:v>
                </c:pt>
                <c:pt idx="135">
                  <c:v>-3.0192363894645453</c:v>
                </c:pt>
                <c:pt idx="136">
                  <c:v>-3.1099141714733767</c:v>
                </c:pt>
                <c:pt idx="137">
                  <c:v>-3.1997971530607643</c:v>
                </c:pt>
                <c:pt idx="138">
                  <c:v>-3.2889034074959351</c:v>
                </c:pt>
                <c:pt idx="139">
                  <c:v>-3.3772504352598807</c:v>
                </c:pt>
                <c:pt idx="140">
                  <c:v>-3.4648551882912471</c:v>
                </c:pt>
                <c:pt idx="141">
                  <c:v>-3.5517340929540926</c:v>
                </c:pt>
                <c:pt idx="142">
                  <c:v>-3.6379030718074024</c:v>
                </c:pt>
                <c:pt idx="143">
                  <c:v>-3.7233775642503075</c:v>
                </c:pt>
                <c:pt idx="144">
                  <c:v>-3.8081725461118419</c:v>
                </c:pt>
                <c:pt idx="145">
                  <c:v>-3.8923025482491895</c:v>
                </c:pt>
                <c:pt idx="146">
                  <c:v>-3.9757816742139083</c:v>
                </c:pt>
                <c:pt idx="147">
                  <c:v>-4.0586236170414782</c:v>
                </c:pt>
                <c:pt idx="148">
                  <c:v>-4.1408416752158175</c:v>
                </c:pt>
                <c:pt idx="149">
                  <c:v>-4.2224487678567826</c:v>
                </c:pt>
                <c:pt idx="150">
                  <c:v>-4.3034574491756477</c:v>
                </c:pt>
                <c:pt idx="151">
                  <c:v>-4.3838799222402702</c:v>
                </c:pt>
                <c:pt idx="152">
                  <c:v>-4.4637280520892419</c:v>
                </c:pt>
                <c:pt idx="153">
                  <c:v>-4.543013378231465</c:v>
                </c:pt>
                <c:pt idx="154">
                  <c:v>-4.6217471265653645</c:v>
                </c:pt>
                <c:pt idx="155">
                  <c:v>-4.6999402207498306</c:v>
                </c:pt>
                <c:pt idx="156">
                  <c:v>-4.7776032930567549</c:v>
                </c:pt>
                <c:pt idx="157">
                  <c:v>-4.8547466947332945</c:v>
                </c:pt>
                <c:pt idx="158">
                  <c:v>-4.9313805059001634</c:v>
                </c:pt>
                <c:pt idx="159">
                  <c:v>-5.0075145450107001</c:v>
                </c:pt>
                <c:pt idx="160">
                  <c:v>-5.0831583778937954</c:v>
                </c:pt>
                <c:pt idx="161">
                  <c:v>-5.1583213264025325</c:v>
                </c:pt>
                <c:pt idx="162">
                  <c:v>-5.2330124766889705</c:v>
                </c:pt>
                <c:pt idx="163">
                  <c:v>-5.3072406871242492</c:v>
                </c:pt>
                <c:pt idx="164">
                  <c:v>-5.3810145958821884</c:v>
                </c:pt>
                <c:pt idx="165">
                  <c:v>-5.4543426282033067</c:v>
                </c:pt>
                <c:pt idx="166">
                  <c:v>-5.5272330033554082</c:v>
                </c:pt>
                <c:pt idx="167">
                  <c:v>-5.5996937413056935</c:v>
                </c:pt>
                <c:pt idx="168">
                  <c:v>-5.6717326691187235</c:v>
                </c:pt>
                <c:pt idx="169">
                  <c:v>-5.7433574270936782</c:v>
                </c:pt>
                <c:pt idx="170">
                  <c:v>-5.8145754746534362</c:v>
                </c:pt>
                <c:pt idx="171">
                  <c:v>-5.8853940959976372</c:v>
                </c:pt>
                <c:pt idx="172">
                  <c:v>-5.9558204055307726</c:v>
                </c:pt>
                <c:pt idx="173">
                  <c:v>-6.0258613530761753</c:v>
                </c:pt>
                <c:pt idx="174">
                  <c:v>-6.0955237288858886</c:v>
                </c:pt>
                <c:pt idx="175">
                  <c:v>-6.1648141684559281</c:v>
                </c:pt>
                <c:pt idx="176">
                  <c:v>-6.2337391571560161</c:v>
                </c:pt>
                <c:pt idx="177">
                  <c:v>-6.3023050346823153</c:v>
                </c:pt>
                <c:pt idx="178">
                  <c:v>-6.3705179993411623</c:v>
                </c:pt>
                <c:pt idx="179">
                  <c:v>-6.4383841121715859</c:v>
                </c:pt>
                <c:pt idx="180">
                  <c:v>-6.5059093009137214</c:v>
                </c:pt>
                <c:pt idx="181">
                  <c:v>-6.5730993638301696</c:v>
                </c:pt>
                <c:pt idx="182">
                  <c:v>-6.6399599733866266</c:v>
                </c:pt>
                <c:pt idx="183">
                  <c:v>-6.7064966797981249</c:v>
                </c:pt>
                <c:pt idx="184">
                  <c:v>-6.7727149144467429</c:v>
                </c:pt>
                <c:pt idx="185">
                  <c:v>-6.8386199931762395</c:v>
                </c:pt>
                <c:pt idx="186">
                  <c:v>-6.9042171194690773</c:v>
                </c:pt>
                <c:pt idx="187">
                  <c:v>-6.9695113875107868</c:v>
                </c:pt>
                <c:pt idx="188">
                  <c:v>-7.0345077851463955</c:v>
                </c:pt>
                <c:pt idx="189">
                  <c:v>-7.0992111967336422</c:v>
                </c:pt>
                <c:pt idx="190">
                  <c:v>-7.1636264058971344</c:v>
                </c:pt>
                <c:pt idx="191">
                  <c:v>-7.2277580981876755</c:v>
                </c:pt>
                <c:pt idx="192">
                  <c:v>-7.2916108636506429</c:v>
                </c:pt>
                <c:pt idx="193">
                  <c:v>-7.3551891993071727</c:v>
                </c:pt>
                <c:pt idx="194">
                  <c:v>-7.4184975115516796</c:v>
                </c:pt>
                <c:pt idx="195">
                  <c:v>-7.4815401184691419</c:v>
                </c:pt>
                <c:pt idx="196">
                  <c:v>-7.5443212520753526</c:v>
                </c:pt>
                <c:pt idx="197">
                  <c:v>-7.6068450604832636</c:v>
                </c:pt>
                <c:pt idx="198">
                  <c:v>-7.6691156099982569</c:v>
                </c:pt>
                <c:pt idx="199">
                  <c:v>-7.7311368871453281</c:v>
                </c:pt>
                <c:pt idx="200">
                  <c:v>-7.7929128006306714</c:v>
                </c:pt>
                <c:pt idx="201">
                  <c:v>-7.854447183240346</c:v>
                </c:pt>
                <c:pt idx="202">
                  <c:v>-7.9157437936784287</c:v>
                </c:pt>
                <c:pt idx="203">
                  <c:v>-7.9768063183469629</c:v>
                </c:pt>
                <c:pt idx="204">
                  <c:v>-8.0376383730699814</c:v>
                </c:pt>
                <c:pt idx="205">
                  <c:v>-8.0982435047636852</c:v>
                </c:pt>
                <c:pt idx="206">
                  <c:v>-8.1586251930548563</c:v>
                </c:pt>
                <c:pt idx="207">
                  <c:v>-8.2187868518494351</c:v>
                </c:pt>
                <c:pt idx="208">
                  <c:v>-8.2787318308531095</c:v>
                </c:pt>
                <c:pt idx="209">
                  <c:v>-8.3384634170457357</c:v>
                </c:pt>
                <c:pt idx="210">
                  <c:v>-8.3979848361112861</c:v>
                </c:pt>
                <c:pt idx="211">
                  <c:v>-8.4572992538249299</c:v>
                </c:pt>
                <c:pt idx="212">
                  <c:v>-8.5164097773988701</c:v>
                </c:pt>
                <c:pt idx="213">
                  <c:v>-8.575319456788387</c:v>
                </c:pt>
                <c:pt idx="214">
                  <c:v>-8.6340312859595567</c:v>
                </c:pt>
                <c:pt idx="215">
                  <c:v>-8.6925482041199853</c:v>
                </c:pt>
                <c:pt idx="216">
                  <c:v>-8.7508730969139439</c:v>
                </c:pt>
                <c:pt idx="217">
                  <c:v>-8.8090087975831093</c:v>
                </c:pt>
                <c:pt idx="218">
                  <c:v>-8.8669580880941599</c:v>
                </c:pt>
                <c:pt idx="219">
                  <c:v>-8.9247237002343791</c:v>
                </c:pt>
                <c:pt idx="220">
                  <c:v>-8.9823083166763844</c:v>
                </c:pt>
                <c:pt idx="221">
                  <c:v>-9.0397145720130876</c:v>
                </c:pt>
                <c:pt idx="222">
                  <c:v>-9.0969450537638501</c:v>
                </c:pt>
                <c:pt idx="223">
                  <c:v>-9.1540023033529199</c:v>
                </c:pt>
                <c:pt idx="224">
                  <c:v>-9.2108888170609777</c:v>
                </c:pt>
                <c:pt idx="225">
                  <c:v>-9.2676070469508538</c:v>
                </c:pt>
                <c:pt idx="226">
                  <c:v>-9.8260433070586206</c:v>
                </c:pt>
                <c:pt idx="227">
                  <c:v>-10.37005195596085</c:v>
                </c:pt>
                <c:pt idx="228">
                  <c:v>-10.901476751053323</c:v>
                </c:pt>
                <c:pt idx="229">
                  <c:v>-11.421870038413289</c:v>
                </c:pt>
                <c:pt idx="230">
                  <c:v>-11.932539984317966</c:v>
                </c:pt>
                <c:pt idx="231">
                  <c:v>-12.434588519680599</c:v>
                </c:pt>
                <c:pt idx="232">
                  <c:v>-12.928942317722822</c:v>
                </c:pt>
                <c:pt idx="233">
                  <c:v>-13.416378463444246</c:v>
                </c:pt>
                <c:pt idx="234">
                  <c:v>-13.897546012141229</c:v>
                </c:pt>
                <c:pt idx="235">
                  <c:v>-14.372984308745711</c:v>
                </c:pt>
                <c:pt idx="236">
                  <c:v>-14.843138708067922</c:v>
                </c:pt>
                <c:pt idx="237">
                  <c:v>-15.308374170162091</c:v>
                </c:pt>
                <c:pt idx="238">
                  <c:v>-15.768987085963031</c:v>
                </c:pt>
                <c:pt idx="239">
                  <c:v>-16.225215602837931</c:v>
                </c:pt>
                <c:pt idx="240">
                  <c:v>-16.677248658393594</c:v>
                </c:pt>
                <c:pt idx="241">
                  <c:v>-17.125233887029172</c:v>
                </c:pt>
                <c:pt idx="242">
                  <c:v>-17.569284532411118</c:v>
                </c:pt>
                <c:pt idx="243">
                  <c:v>-18.009485476662679</c:v>
                </c:pt>
                <c:pt idx="244">
                  <c:v>-18.445898480952362</c:v>
                </c:pt>
                <c:pt idx="245">
                  <c:v>-18.878566720392303</c:v>
                </c:pt>
                <c:pt idx="246">
                  <c:v>-19.307518687312822</c:v>
                </c:pt>
                <c:pt idx="247">
                  <c:v>-19.732771530061065</c:v>
                </c:pt>
                <c:pt idx="248">
                  <c:v>-20.154333888783253</c:v>
                </c:pt>
                <c:pt idx="249">
                  <c:v>-20.572208284722286</c:v>
                </c:pt>
                <c:pt idx="250">
                  <c:v>-20.986393115094138</c:v>
                </c:pt>
                <c:pt idx="251">
                  <c:v>-21.396884301415874</c:v>
                </c:pt>
                <c:pt idx="252">
                  <c:v>-21.803676635147639</c:v>
                </c:pt>
                <c:pt idx="253">
                  <c:v>-22.206764860637858</c:v>
                </c:pt>
                <c:pt idx="254">
                  <c:v>-22.60614453161773</c:v>
                </c:pt>
                <c:pt idx="255">
                  <c:v>-23.00181267388929</c:v>
                </c:pt>
                <c:pt idx="256">
                  <c:v>-23.393768283411497</c:v>
                </c:pt>
                <c:pt idx="257">
                  <c:v>-23.782012685733477</c:v>
                </c:pt>
                <c:pt idx="258">
                  <c:v>-24.166549779673083</c:v>
                </c:pt>
                <c:pt idx="259">
                  <c:v>-24.547386185307708</c:v>
                </c:pt>
                <c:pt idx="260">
                  <c:v>-24.924531313741795</c:v>
                </c:pt>
                <c:pt idx="261">
                  <c:v>-25.297997373745638</c:v>
                </c:pt>
                <c:pt idx="262">
                  <c:v>-25.667799328220827</c:v>
                </c:pt>
                <c:pt idx="263">
                  <c:v>-26.033954811532396</c:v>
                </c:pt>
                <c:pt idx="264">
                  <c:v>-26.396484017047133</c:v>
                </c:pt>
                <c:pt idx="265">
                  <c:v>-26.755409562717773</c:v>
                </c:pt>
                <c:pt idx="266">
                  <c:v>-27.110756341240787</c:v>
                </c:pt>
                <c:pt idx="267">
                  <c:v>-27.462551360174473</c:v>
                </c:pt>
                <c:pt idx="268">
                  <c:v>-27.810823576419072</c:v>
                </c:pt>
                <c:pt idx="269">
                  <c:v>-28.15560372861567</c:v>
                </c:pt>
                <c:pt idx="270">
                  <c:v>-28.496924170299977</c:v>
                </c:pt>
                <c:pt idx="271">
                  <c:v>-28.834818706037385</c:v>
                </c:pt>
                <c:pt idx="272">
                  <c:v>-29.169322432251931</c:v>
                </c:pt>
                <c:pt idx="273">
                  <c:v>-29.500471584033253</c:v>
                </c:pt>
                <c:pt idx="274">
                  <c:v>-29.828303388849609</c:v>
                </c:pt>
                <c:pt idx="275">
                  <c:v>-30.15285592780198</c:v>
                </c:pt>
                <c:pt idx="276">
                  <c:v>-30.47416800481556</c:v>
                </c:pt>
                <c:pt idx="277">
                  <c:v>-30.792279023971446</c:v>
                </c:pt>
                <c:pt idx="278">
                  <c:v>-31.107228875027218</c:v>
                </c:pt>
                <c:pt idx="279">
                  <c:v>-31.41905782705323</c:v>
                </c:pt>
                <c:pt idx="280">
                  <c:v>-31.727806430017225</c:v>
                </c:pt>
                <c:pt idx="281">
                  <c:v>-32.033515424078367</c:v>
                </c:pt>
                <c:pt idx="282">
                  <c:v>-32.336225656298751</c:v>
                </c:pt>
                <c:pt idx="283">
                  <c:v>-32.635978004443565</c:v>
                </c:pt>
                <c:pt idx="284">
                  <c:v>-32.932813307515879</c:v>
                </c:pt>
                <c:pt idx="285">
                  <c:v>-33.22677230265792</c:v>
                </c:pt>
                <c:pt idx="286">
                  <c:v>-33.51789556804394</c:v>
                </c:pt>
                <c:pt idx="287">
                  <c:v>-33.806223471389998</c:v>
                </c:pt>
                <c:pt idx="288">
                  <c:v>-34.091796123710971</c:v>
                </c:pt>
                <c:pt idx="289">
                  <c:v>-34.37465333796397</c:v>
                </c:pt>
                <c:pt idx="290">
                  <c:v>-34.654834592229008</c:v>
                </c:pt>
                <c:pt idx="291">
                  <c:v>-34.932378997091782</c:v>
                </c:pt>
                <c:pt idx="292">
                  <c:v>-35.207325266908548</c:v>
                </c:pt>
                <c:pt idx="293">
                  <c:v>-35.47971169464909</c:v>
                </c:pt>
                <c:pt idx="294">
                  <c:v>-35.749576130030825</c:v>
                </c:pt>
                <c:pt idx="295">
                  <c:v>-36.01695596067345</c:v>
                </c:pt>
                <c:pt idx="296">
                  <c:v>-36.281888096020424</c:v>
                </c:pt>
                <c:pt idx="297">
                  <c:v>-36.544408953790061</c:v>
                </c:pt>
                <c:pt idx="298">
                  <c:v>-36.804554448734784</c:v>
                </c:pt>
                <c:pt idx="299">
                  <c:v>-37.062359983502418</c:v>
                </c:pt>
                <c:pt idx="300">
                  <c:v>-37.317860441408378</c:v>
                </c:pt>
                <c:pt idx="301">
                  <c:v>-37.571090180941319</c:v>
                </c:pt>
                <c:pt idx="302">
                  <c:v>-37.822083031838247</c:v>
                </c:pt>
                <c:pt idx="303">
                  <c:v>-38.070872292577846</c:v>
                </c:pt>
                <c:pt idx="304">
                  <c:v>-38.317490729152034</c:v>
                </c:pt>
                <c:pt idx="305">
                  <c:v>-38.561970574987498</c:v>
                </c:pt>
                <c:pt idx="306">
                  <c:v>-38.804343531898809</c:v>
                </c:pt>
                <c:pt idx="307">
                  <c:v>-39.044640771964666</c:v>
                </c:pt>
                <c:pt idx="308">
                  <c:v>-39.282892940227597</c:v>
                </c:pt>
                <c:pt idx="309">
                  <c:v>-39.519130158126082</c:v>
                </c:pt>
                <c:pt idx="310">
                  <c:v>-39.753382027575469</c:v>
                </c:pt>
                <c:pt idx="311">
                  <c:v>-39.985677635621556</c:v>
                </c:pt>
                <c:pt idx="312">
                  <c:v>-40.216045559597191</c:v>
                </c:pt>
                <c:pt idx="313">
                  <c:v>-40.444513872718247</c:v>
                </c:pt>
                <c:pt idx="314">
                  <c:v>-40.671110150061345</c:v>
                </c:pt>
                <c:pt idx="315">
                  <c:v>-40.895861474870543</c:v>
                </c:pt>
                <c:pt idx="316">
                  <c:v>-41.118794445145149</c:v>
                </c:pt>
                <c:pt idx="317">
                  <c:v>-41.339935180465382</c:v>
                </c:pt>
                <c:pt idx="318">
                  <c:v>-41.559309329016294</c:v>
                </c:pt>
                <c:pt idx="319">
                  <c:v>-41.776942074774482</c:v>
                </c:pt>
                <c:pt idx="320">
                  <c:v>-41.992858144825249</c:v>
                </c:pt>
                <c:pt idx="321">
                  <c:v>-42.207081816781155</c:v>
                </c:pt>
                <c:pt idx="322">
                  <c:v>-42.4196369262757</c:v>
                </c:pt>
                <c:pt idx="323">
                  <c:v>-42.630546874508454</c:v>
                </c:pt>
                <c:pt idx="324">
                  <c:v>-42.83983463582058</c:v>
                </c:pt>
                <c:pt idx="325">
                  <c:v>-43.047522765281549</c:v>
                </c:pt>
                <c:pt idx="326">
                  <c:v>-43.253633406270033</c:v>
                </c:pt>
                <c:pt idx="327">
                  <c:v>-43.458188298034031</c:v>
                </c:pt>
                <c:pt idx="328">
                  <c:v>-43.661208783216324</c:v>
                </c:pt>
                <c:pt idx="329">
                  <c:v>-43.86271581533353</c:v>
                </c:pt>
                <c:pt idx="330">
                  <c:v>-44.06272996619802</c:v>
                </c:pt>
                <c:pt idx="331">
                  <c:v>-44.261271433273492</c:v>
                </c:pt>
                <c:pt idx="332">
                  <c:v>-44.458360046955683</c:v>
                </c:pt>
                <c:pt idx="333">
                  <c:v>-44.654015277771471</c:v>
                </c:pt>
                <c:pt idx="334">
                  <c:v>-44.848256243489729</c:v>
                </c:pt>
                <c:pt idx="335">
                  <c:v>-45.041101716138968</c:v>
                </c:pt>
                <c:pt idx="336">
                  <c:v>-45.232570128926845</c:v>
                </c:pt>
                <c:pt idx="337">
                  <c:v>-45.422679583057928</c:v>
                </c:pt>
                <c:pt idx="338">
                  <c:v>-45.611447854446382</c:v>
                </c:pt>
                <c:pt idx="339">
                  <c:v>-45.798892400320845</c:v>
                </c:pt>
                <c:pt idx="340">
                  <c:v>-45.985030365719552</c:v>
                </c:pt>
                <c:pt idx="341">
                  <c:v>-46.169878589873854</c:v>
                </c:pt>
                <c:pt idx="342">
                  <c:v>-46.353453612479015</c:v>
                </c:pt>
                <c:pt idx="343">
                  <c:v>-46.535771679851472</c:v>
                </c:pt>
                <c:pt idx="344">
                  <c:v>-46.716848750971764</c:v>
                </c:pt>
                <c:pt idx="345">
                  <c:v>-46.896700503413307</c:v>
                </c:pt>
                <c:pt idx="346">
                  <c:v>-47.075342339156883</c:v>
                </c:pt>
                <c:pt idx="347">
                  <c:v>-47.252789390291021</c:v>
                </c:pt>
                <c:pt idx="348">
                  <c:v>-47.429056524599041</c:v>
                </c:pt>
                <c:pt idx="349">
                  <c:v>-47.604158351033384</c:v>
                </c:pt>
                <c:pt idx="350">
                  <c:v>-47.778109225078033</c:v>
                </c:pt>
                <c:pt idx="351">
                  <c:v>-47.950923254000116</c:v>
                </c:pt>
                <c:pt idx="352">
                  <c:v>-48.122614301991987</c:v>
                </c:pt>
                <c:pt idx="353">
                  <c:v>-48.293195995204741</c:v>
                </c:pt>
                <c:pt idx="354">
                  <c:v>-48.462681726674965</c:v>
                </c:pt>
                <c:pt idx="355">
                  <c:v>-48.631084661145785</c:v>
                </c:pt>
                <c:pt idx="356">
                  <c:v>-48.79841773978405</c:v>
                </c:pt>
                <c:pt idx="357">
                  <c:v>-48.964693684795066</c:v>
                </c:pt>
                <c:pt idx="358">
                  <c:v>-49.129925003936592</c:v>
                </c:pt>
                <c:pt idx="359">
                  <c:v>-49.294123994933841</c:v>
                </c:pt>
                <c:pt idx="360">
                  <c:v>-49.457302749797151</c:v>
                </c:pt>
                <c:pt idx="361">
                  <c:v>-49.619473159043963</c:v>
                </c:pt>
                <c:pt idx="362">
                  <c:v>-49.780646915827191</c:v>
                </c:pt>
                <c:pt idx="363">
                  <c:v>-49.940835519971422</c:v>
                </c:pt>
                <c:pt idx="364">
                  <c:v>-50.100050281918946</c:v>
                </c:pt>
                <c:pt idx="365">
                  <c:v>-50.258302326587341</c:v>
                </c:pt>
                <c:pt idx="366">
                  <c:v>-50.415602597140435</c:v>
                </c:pt>
                <c:pt idx="367">
                  <c:v>-50.571961858674321</c:v>
                </c:pt>
                <c:pt idx="368">
                  <c:v>-50.727390701820397</c:v>
                </c:pt>
                <c:pt idx="369">
                  <c:v>-50.881899546267036</c:v>
                </c:pt>
                <c:pt idx="370">
                  <c:v>-51.035498644201652</c:v>
                </c:pt>
                <c:pt idx="371">
                  <c:v>-51.188198083675005</c:v>
                </c:pt>
                <c:pt idx="372">
                  <c:v>-51.340007791889306</c:v>
                </c:pt>
                <c:pt idx="373">
                  <c:v>-51.49093753841197</c:v>
                </c:pt>
                <c:pt idx="374">
                  <c:v>-51.640996938316526</c:v>
                </c:pt>
                <c:pt idx="375">
                  <c:v>-51.790195455252473</c:v>
                </c:pt>
                <c:pt idx="376">
                  <c:v>-51.938542404445599</c:v>
                </c:pt>
                <c:pt idx="377">
                  <c:v>-52.086046955630465</c:v>
                </c:pt>
                <c:pt idx="378">
                  <c:v>-52.232718135916478</c:v>
                </c:pt>
                <c:pt idx="379">
                  <c:v>-52.378564832589248</c:v>
                </c:pt>
                <c:pt idx="380">
                  <c:v>-52.523595795848628</c:v>
                </c:pt>
                <c:pt idx="381">
                  <c:v>-52.667819641484961</c:v>
                </c:pt>
                <c:pt idx="382">
                  <c:v>-52.811244853495012</c:v>
                </c:pt>
                <c:pt idx="383">
                  <c:v>-52.953879786638993</c:v>
                </c:pt>
                <c:pt idx="384">
                  <c:v>-53.095732668940094</c:v>
                </c:pt>
                <c:pt idx="385">
                  <c:v>-53.236811604127794</c:v>
                </c:pt>
                <c:pt idx="386">
                  <c:v>-53.377124574026467</c:v>
                </c:pt>
                <c:pt idx="387">
                  <c:v>-53.516679440890478</c:v>
                </c:pt>
                <c:pt idx="388">
                  <c:v>-53.655483949687024</c:v>
                </c:pt>
                <c:pt idx="389">
                  <c:v>-53.793545730328105</c:v>
                </c:pt>
                <c:pt idx="390">
                  <c:v>-53.93087229985268</c:v>
                </c:pt>
                <c:pt idx="391">
                  <c:v>-54.067471064560394</c:v>
                </c:pt>
                <c:pt idx="392">
                  <c:v>-54.203349322097907</c:v>
                </c:pt>
                <c:pt idx="393">
                  <c:v>-54.338514263498972</c:v>
                </c:pt>
                <c:pt idx="394">
                  <c:v>-54.472972975179495</c:v>
                </c:pt>
                <c:pt idx="395">
                  <c:v>-54.606732440888557</c:v>
                </c:pt>
                <c:pt idx="396">
                  <c:v>-54.73979954361652</c:v>
                </c:pt>
                <c:pt idx="397">
                  <c:v>-54.872181067461185</c:v>
                </c:pt>
                <c:pt idx="398">
                  <c:v>-55.003883699453134</c:v>
                </c:pt>
                <c:pt idx="399">
                  <c:v>-55.134914031341168</c:v>
                </c:pt>
                <c:pt idx="400">
                  <c:v>-55.265278561338732</c:v>
                </c:pt>
                <c:pt idx="401">
                  <c:v>-55.394983695832479</c:v>
                </c:pt>
                <c:pt idx="402">
                  <c:v>-55.524035751053724</c:v>
                </c:pt>
                <c:pt idx="403">
                  <c:v>-55.65244095471364</c:v>
                </c:pt>
                <c:pt idx="404">
                  <c:v>-55.780205447603279</c:v>
                </c:pt>
                <c:pt idx="405">
                  <c:v>-55.907335285159114</c:v>
                </c:pt>
                <c:pt idx="406">
                  <c:v>-56.033836438994875</c:v>
                </c:pt>
                <c:pt idx="407">
                  <c:v>-56.159714798400714</c:v>
                </c:pt>
                <c:pt idx="408">
                  <c:v>-56.284976171810264</c:v>
                </c:pt>
                <c:pt idx="409">
                  <c:v>-56.409626288236474</c:v>
                </c:pt>
                <c:pt idx="410">
                  <c:v>-56.533670798676951</c:v>
                </c:pt>
                <c:pt idx="411">
                  <c:v>-56.657115277489481</c:v>
                </c:pt>
                <c:pt idx="412">
                  <c:v>-56.779965223738664</c:v>
                </c:pt>
                <c:pt idx="413">
                  <c:v>-56.902226062513897</c:v>
                </c:pt>
                <c:pt idx="414">
                  <c:v>-57.023903146219972</c:v>
                </c:pt>
                <c:pt idx="415">
                  <c:v>-57.145001755840468</c:v>
                </c:pt>
                <c:pt idx="416">
                  <c:v>-57.265527102174772</c:v>
                </c:pt>
                <c:pt idx="417">
                  <c:v>-57.385484327049468</c:v>
                </c:pt>
                <c:pt idx="418">
                  <c:v>-57.50487850450439</c:v>
                </c:pt>
                <c:pt idx="419">
                  <c:v>-57.623714641954265</c:v>
                </c:pt>
                <c:pt idx="420">
                  <c:v>-57.741997681326367</c:v>
                </c:pt>
                <c:pt idx="421">
                  <c:v>-57.859732500174673</c:v>
                </c:pt>
                <c:pt idx="422">
                  <c:v>-57.976923912771269</c:v>
                </c:pt>
                <c:pt idx="423">
                  <c:v>-58.093576671175349</c:v>
                </c:pt>
                <c:pt idx="424">
                  <c:v>-58.209695466280458</c:v>
                </c:pt>
                <c:pt idx="425">
                  <c:v>-58.325284928840489</c:v>
                </c:pt>
                <c:pt idx="426">
                  <c:v>-58.440349630474742</c:v>
                </c:pt>
                <c:pt idx="427">
                  <c:v>-58.55489408465283</c:v>
                </c:pt>
                <c:pt idx="428">
                  <c:v>-58.668922747659636</c:v>
                </c:pt>
                <c:pt idx="429">
                  <c:v>-58.782440019540935</c:v>
                </c:pt>
                <c:pt idx="430">
                  <c:v>-58.895450245030112</c:v>
                </c:pt>
                <c:pt idx="431">
                  <c:v>-59.007957714456303</c:v>
                </c:pt>
                <c:pt idx="432">
                  <c:v>-59.119966664634518</c:v>
                </c:pt>
                <c:pt idx="433">
                  <c:v>-59.231481279738119</c:v>
                </c:pt>
                <c:pt idx="434">
                  <c:v>-59.342505692154013</c:v>
                </c:pt>
                <c:pt idx="435">
                  <c:v>-59.453043983320953</c:v>
                </c:pt>
                <c:pt idx="436">
                  <c:v>-59.563100184551459</c:v>
                </c:pt>
                <c:pt idx="437">
                  <c:v>-59.672678277837562</c:v>
                </c:pt>
                <c:pt idx="438">
                  <c:v>-59.781782196640791</c:v>
                </c:pt>
                <c:pt idx="439">
                  <c:v>-59.890415826666874</c:v>
                </c:pt>
                <c:pt idx="440">
                  <c:v>-59.998583006625338</c:v>
                </c:pt>
                <c:pt idx="441">
                  <c:v>-60.106287528974335</c:v>
                </c:pt>
                <c:pt idx="442">
                  <c:v>-60.213533140651315</c:v>
                </c:pt>
                <c:pt idx="443">
                  <c:v>-60.320323543789414</c:v>
                </c:pt>
                <c:pt idx="444">
                  <c:v>-60.426662396420248</c:v>
                </c:pt>
                <c:pt idx="445">
                  <c:v>-60.532553313163277</c:v>
                </c:pt>
                <c:pt idx="446">
                  <c:v>-60.637999865901932</c:v>
                </c:pt>
                <c:pt idx="447">
                  <c:v>-60.743005584447062</c:v>
                </c:pt>
                <c:pt idx="448">
                  <c:v>-60.847573957187706</c:v>
                </c:pt>
                <c:pt idx="449">
                  <c:v>-60.95170843172955</c:v>
                </c:pt>
                <c:pt idx="450">
                  <c:v>-61.055412415521566</c:v>
                </c:pt>
                <c:pt idx="451">
                  <c:v>-61.158689276470682</c:v>
                </c:pt>
                <c:pt idx="452">
                  <c:v>-61.261542343545081</c:v>
                </c:pt>
                <c:pt idx="453">
                  <c:v>-61.363974907366241</c:v>
                </c:pt>
                <c:pt idx="454">
                  <c:v>-61.465990220789983</c:v>
                </c:pt>
                <c:pt idx="455">
                  <c:v>-61.56759149947672</c:v>
                </c:pt>
                <c:pt idx="456">
                  <c:v>-61.668781922451203</c:v>
                </c:pt>
                <c:pt idx="457">
                  <c:v>-61.769564632651999</c:v>
                </c:pt>
                <c:pt idx="458">
                  <c:v>-61.869942737470836</c:v>
                </c:pt>
                <c:pt idx="459">
                  <c:v>-61.969919309282119</c:v>
                </c:pt>
                <c:pt idx="460">
                  <c:v>-62.069497385962755</c:v>
                </c:pt>
                <c:pt idx="461">
                  <c:v>-62.168679971402625</c:v>
                </c:pt>
                <c:pt idx="462">
                  <c:v>-62.267470036005648</c:v>
                </c:pt>
                <c:pt idx="463">
                  <c:v>-62.365870517181975</c:v>
                </c:pt>
                <c:pt idx="464">
                  <c:v>-62.46388431983118</c:v>
                </c:pt>
                <c:pt idx="465">
                  <c:v>-62.561514316816861</c:v>
                </c:pt>
                <c:pt idx="466">
                  <c:v>-62.658763349432704</c:v>
                </c:pt>
                <c:pt idx="467">
                  <c:v>-62.75563422786027</c:v>
                </c:pt>
                <c:pt idx="468">
                  <c:v>-62.852129731618611</c:v>
                </c:pt>
                <c:pt idx="469">
                  <c:v>-62.948252610005937</c:v>
                </c:pt>
                <c:pt idx="470">
                  <c:v>-63.044005582533472</c:v>
                </c:pt>
                <c:pt idx="471">
                  <c:v>-63.139391339351647</c:v>
                </c:pt>
                <c:pt idx="472">
                  <c:v>-63.234412541668839</c:v>
                </c:pt>
                <c:pt idx="473">
                  <c:v>-63.32907182216276</c:v>
                </c:pt>
                <c:pt idx="474">
                  <c:v>-63.423371785384688</c:v>
                </c:pt>
                <c:pt idx="475">
                  <c:v>-63.517315008156601</c:v>
                </c:pt>
                <c:pt idx="476">
                  <c:v>-63.610904039961518</c:v>
                </c:pt>
                <c:pt idx="477">
                  <c:v>-63.704141403326979</c:v>
                </c:pt>
                <c:pt idx="478">
                  <c:v>-63.797029594202044</c:v>
                </c:pt>
                <c:pt idx="479">
                  <c:v>-63.889571082327656</c:v>
                </c:pt>
                <c:pt idx="480">
                  <c:v>-63.981768311600796</c:v>
                </c:pt>
                <c:pt idx="481">
                  <c:v>-64.07362370043235</c:v>
                </c:pt>
                <c:pt idx="482">
                  <c:v>-64.165139642098865</c:v>
                </c:pt>
                <c:pt idx="483">
                  <c:v>-64.256318505088373</c:v>
                </c:pt>
                <c:pt idx="484">
                  <c:v>-64.347162633440334</c:v>
                </c:pt>
                <c:pt idx="485">
                  <c:v>-64.437674347079877</c:v>
                </c:pt>
                <c:pt idx="486">
                  <c:v>-64.527855942146374</c:v>
                </c:pt>
                <c:pt idx="487">
                  <c:v>-64.617709691316477</c:v>
                </c:pt>
                <c:pt idx="488">
                  <c:v>-64.707237844121849</c:v>
                </c:pt>
                <c:pt idx="489">
                  <c:v>-64.796442627261499</c:v>
                </c:pt>
                <c:pt idx="490">
                  <c:v>-64.885326244908995</c:v>
                </c:pt>
                <c:pt idx="491">
                  <c:v>-64.973890879014547</c:v>
                </c:pt>
                <c:pt idx="492">
                  <c:v>-65.062138689602065</c:v>
                </c:pt>
                <c:pt idx="493">
                  <c:v>-65.150071815061381</c:v>
                </c:pt>
                <c:pt idx="494">
                  <c:v>-65.237692372435689</c:v>
                </c:pt>
                <c:pt idx="495">
                  <c:v>-65.325002457704187</c:v>
                </c:pt>
                <c:pt idx="496">
                  <c:v>-65.412004146060127</c:v>
                </c:pt>
                <c:pt idx="497">
                  <c:v>-65.498699492184471</c:v>
                </c:pt>
                <c:pt idx="498">
                  <c:v>-65.585090530514861</c:v>
                </c:pt>
                <c:pt idx="499">
                  <c:v>-65.671179275510468</c:v>
                </c:pt>
                <c:pt idx="500">
                  <c:v>-65.756967721912389</c:v>
                </c:pt>
                <c:pt idx="501">
                  <c:v>-65.842457845000055</c:v>
                </c:pt>
                <c:pt idx="502">
                  <c:v>-65.927651600843248</c:v>
                </c:pt>
                <c:pt idx="503">
                  <c:v>-66.012550926550318</c:v>
                </c:pt>
                <c:pt idx="504">
                  <c:v>-66.097157740512401</c:v>
                </c:pt>
                <c:pt idx="505">
                  <c:v>-66.18147394264362</c:v>
                </c:pt>
                <c:pt idx="506">
                  <c:v>-66.26550141461766</c:v>
                </c:pt>
                <c:pt idx="507">
                  <c:v>-66.349242020100434</c:v>
                </c:pt>
                <c:pt idx="508">
                  <c:v>-66.432697604979211</c:v>
                </c:pt>
                <c:pt idx="509">
                  <c:v>-66.515869997588069</c:v>
                </c:pt>
                <c:pt idx="510">
                  <c:v>-66.598761008929841</c:v>
                </c:pt>
                <c:pt idx="511">
                  <c:v>-66.681372432894577</c:v>
                </c:pt>
                <c:pt idx="512">
                  <c:v>-66.76370604647461</c:v>
                </c:pt>
                <c:pt idx="513">
                  <c:v>-66.84576360997626</c:v>
                </c:pt>
                <c:pt idx="514">
                  <c:v>-66.927546867228344</c:v>
                </c:pt>
                <c:pt idx="515">
                  <c:v>-67.009057545787272</c:v>
                </c:pt>
                <c:pt idx="516">
                  <c:v>-67.090297357139249</c:v>
                </c:pt>
                <c:pt idx="517">
                  <c:v>-67.17126799689909</c:v>
                </c:pt>
                <c:pt idx="518">
                  <c:v>-67.251971145006209</c:v>
                </c:pt>
                <c:pt idx="519">
                  <c:v>-67.332408465917524</c:v>
                </c:pt>
                <c:pt idx="520">
                  <c:v>-67.41258160879741</c:v>
                </c:pt>
                <c:pt idx="521">
                  <c:v>-67.492492207704757</c:v>
                </c:pt>
                <c:pt idx="522">
                  <c:v>-67.57214188177727</c:v>
                </c:pt>
                <c:pt idx="523">
                  <c:v>-67.65153223541293</c:v>
                </c:pt>
                <c:pt idx="524">
                  <c:v>-67.730664858448677</c:v>
                </c:pt>
                <c:pt idx="525">
                  <c:v>-67.809541326336543</c:v>
                </c:pt>
                <c:pt idx="526">
                  <c:v>-67.888163200316981</c:v>
                </c:pt>
                <c:pt idx="527">
                  <c:v>-67.966532027589736</c:v>
                </c:pt>
                <c:pt idx="528">
                  <c:v>-68.044649341482085</c:v>
                </c:pt>
                <c:pt idx="529">
                  <c:v>-68.122516661614696</c:v>
                </c:pt>
                <c:pt idx="530">
                  <c:v>-68.200135494064796</c:v>
                </c:pt>
                <c:pt idx="531">
                  <c:v>-68.277507331527246</c:v>
                </c:pt>
                <c:pt idx="532">
                  <c:v>-68.354633653472945</c:v>
                </c:pt>
                <c:pt idx="533">
                  <c:v>-68.431515926305138</c:v>
                </c:pt>
                <c:pt idx="534">
                  <c:v>-68.508155603513231</c:v>
                </c:pt>
                <c:pt idx="535">
                  <c:v>-68.584554125824567</c:v>
                </c:pt>
                <c:pt idx="536">
                  <c:v>-68.660712921353806</c:v>
                </c:pt>
                <c:pt idx="537">
                  <c:v>-68.73663340575024</c:v>
                </c:pt>
                <c:pt idx="538">
                  <c:v>-68.812316982342963</c:v>
                </c:pt>
                <c:pt idx="539">
                  <c:v>-68.887765042283874</c:v>
                </c:pt>
                <c:pt idx="540">
                  <c:v>-68.962978964688716</c:v>
                </c:pt>
                <c:pt idx="541">
                  <c:v>-69.037960116776048</c:v>
                </c:pt>
                <c:pt idx="542">
                  <c:v>-69.112709854004123</c:v>
                </c:pt>
                <c:pt idx="543">
                  <c:v>-69.187229520206046</c:v>
                </c:pt>
                <c:pt idx="544">
                  <c:v>-69.261520447722745</c:v>
                </c:pt>
                <c:pt idx="545">
                  <c:v>-69.33558395753424</c:v>
                </c:pt>
                <c:pt idx="546">
                  <c:v>-69.409421359388915</c:v>
                </c:pt>
                <c:pt idx="547">
                  <c:v>-69.483033951931063</c:v>
                </c:pt>
                <c:pt idx="548">
                  <c:v>-69.556423022826621</c:v>
                </c:pt>
                <c:pt idx="549">
                  <c:v>-69.629589848886994</c:v>
                </c:pt>
                <c:pt idx="550">
                  <c:v>-69.702535696191433</c:v>
                </c:pt>
                <c:pt idx="551">
                  <c:v>-69.775261820207305</c:v>
                </c:pt>
                <c:pt idx="552">
                  <c:v>-69.84776946590911</c:v>
                </c:pt>
                <c:pt idx="553">
                  <c:v>-69.920059867895489</c:v>
                </c:pt>
                <c:pt idx="554">
                  <c:v>-69.992134250504776</c:v>
                </c:pt>
                <c:pt idx="555">
                  <c:v>-70.063993827928982</c:v>
                </c:pt>
                <c:pt idx="556">
                  <c:v>-70.13563980432609</c:v>
                </c:pt>
                <c:pt idx="557">
                  <c:v>-70.207073373930882</c:v>
                </c:pt>
                <c:pt idx="558">
                  <c:v>-70.27829572116417</c:v>
                </c:pt>
                <c:pt idx="559">
                  <c:v>-70.349308020740693</c:v>
                </c:pt>
                <c:pt idx="560">
                  <c:v>-70.420111437775262</c:v>
                </c:pt>
                <c:pt idx="561">
                  <c:v>-70.490707127887788</c:v>
                </c:pt>
                <c:pt idx="562">
                  <c:v>-70.5610962373066</c:v>
                </c:pt>
                <c:pt idx="563">
                  <c:v>-70.631279902970519</c:v>
                </c:pt>
                <c:pt idx="564">
                  <c:v>-70.701259252629512</c:v>
                </c:pt>
                <c:pt idx="565">
                  <c:v>-70.771035404943959</c:v>
                </c:pt>
                <c:pt idx="566">
                  <c:v>-70.840609469582631</c:v>
                </c:pt>
                <c:pt idx="567">
                  <c:v>-70.909982547319331</c:v>
                </c:pt>
                <c:pt idx="568">
                  <c:v>-70.979155730128213</c:v>
                </c:pt>
                <c:pt idx="569">
                  <c:v>-71.048130101277877</c:v>
                </c:pt>
                <c:pt idx="570">
                  <c:v>-71.116906735424209</c:v>
                </c:pt>
                <c:pt idx="571">
                  <c:v>-71.185486698701922</c:v>
                </c:pt>
                <c:pt idx="572">
                  <c:v>-71.253871048814929</c:v>
                </c:pt>
                <c:pt idx="573">
                  <c:v>-71.322060835125569</c:v>
                </c:pt>
                <c:pt idx="574">
                  <c:v>-71.390057098742574</c:v>
                </c:pt>
                <c:pt idx="575">
                  <c:v>-71.457860872607895</c:v>
                </c:pt>
                <c:pt idx="576">
                  <c:v>-71.525473181582441</c:v>
                </c:pt>
                <c:pt idx="577">
                  <c:v>-71.592895042530643</c:v>
                </c:pt>
                <c:pt idx="578">
                  <c:v>-71.660127464403899</c:v>
                </c:pt>
                <c:pt idx="579">
                  <c:v>-71.727171448323048</c:v>
                </c:pt>
                <c:pt idx="580">
                  <c:v>-71.794027987659589</c:v>
                </c:pt>
                <c:pt idx="581">
                  <c:v>-71.860698068116008</c:v>
                </c:pt>
                <c:pt idx="582">
                  <c:v>-71.927182667805027</c:v>
                </c:pt>
                <c:pt idx="583">
                  <c:v>-71.993482757327712</c:v>
                </c:pt>
                <c:pt idx="584">
                  <c:v>-72.05959929985076</c:v>
                </c:pt>
                <c:pt idx="585">
                  <c:v>-72.125533251182688</c:v>
                </c:pt>
                <c:pt idx="586">
                  <c:v>-72.191285559849078</c:v>
                </c:pt>
                <c:pt idx="587">
                  <c:v>-72.256857167166785</c:v>
                </c:pt>
                <c:pt idx="588">
                  <c:v>-72.322249007317353</c:v>
                </c:pt>
                <c:pt idx="589">
                  <c:v>-72.387462007419359</c:v>
                </c:pt>
                <c:pt idx="590">
                  <c:v>-72.45249708759988</c:v>
                </c:pt>
                <c:pt idx="591">
                  <c:v>-72.517355161065097</c:v>
                </c:pt>
                <c:pt idx="592">
                  <c:v>-72.58203713416998</c:v>
                </c:pt>
                <c:pt idx="593">
                  <c:v>-72.646543906487068</c:v>
                </c:pt>
                <c:pt idx="594">
                  <c:v>-72.710876370874402</c:v>
                </c:pt>
                <c:pt idx="595">
                  <c:v>-72.775035413542696</c:v>
                </c:pt>
                <c:pt idx="596">
                  <c:v>-72.839021914121489</c:v>
                </c:pt>
                <c:pt idx="597">
                  <c:v>-72.902836745724628</c:v>
                </c:pt>
                <c:pt idx="598">
                  <c:v>-72.966480775014887</c:v>
                </c:pt>
                <c:pt idx="599">
                  <c:v>-73.029954862267758</c:v>
                </c:pt>
                <c:pt idx="600">
                  <c:v>-73.093259861434447</c:v>
                </c:pt>
                <c:pt idx="601">
                  <c:v>-73.15639662020422</c:v>
                </c:pt>
                <c:pt idx="602">
                  <c:v>-73.21936598006576</c:v>
                </c:pt>
                <c:pt idx="603">
                  <c:v>-73.282168776367996</c:v>
                </c:pt>
                <c:pt idx="604">
                  <c:v>-73.344805838379997</c:v>
                </c:pt>
                <c:pt idx="605">
                  <c:v>-73.407277989350263</c:v>
                </c:pt>
                <c:pt idx="606">
                  <c:v>-76.337223128881362</c:v>
                </c:pt>
                <c:pt idx="607">
                  <c:v>-78.940909102783337</c:v>
                </c:pt>
                <c:pt idx="608">
                  <c:v>-81.281132844257073</c:v>
                </c:pt>
                <c:pt idx="609">
                  <c:v>-83.404689880805321</c:v>
                </c:pt>
                <c:pt idx="610">
                  <c:v>-85.347376925443598</c:v>
                </c:pt>
                <c:pt idx="611">
                  <c:v>-87.137163752645833</c:v>
                </c:pt>
                <c:pt idx="612">
                  <c:v>-88.796288261032657</c:v>
                </c:pt>
                <c:pt idx="613">
                  <c:v>-90.342689430659604</c:v>
                </c:pt>
                <c:pt idx="614">
                  <c:v>-91.791017196141041</c:v>
                </c:pt>
                <c:pt idx="615">
                  <c:v>-93.153362674159439</c:v>
                </c:pt>
                <c:pt idx="616">
                  <c:v>-94.439797946046994</c:v>
                </c:pt>
                <c:pt idx="617">
                  <c:v>-95.658782666170481</c:v>
                </c:pt>
                <c:pt idx="618">
                  <c:v>-96.127840073039792</c:v>
                </c:pt>
                <c:pt idx="619">
                  <c:v>-96.587679116907708</c:v>
                </c:pt>
                <c:pt idx="620">
                  <c:v>-97.038685364276887</c:v>
                </c:pt>
                <c:pt idx="621">
                  <c:v>-97.481221037765522</c:v>
                </c:pt>
                <c:pt idx="622">
                  <c:v>-97.915626766068712</c:v>
                </c:pt>
                <c:pt idx="623">
                  <c:v>-98.342223179917156</c:v>
                </c:pt>
                <c:pt idx="624">
                  <c:v>-98.761312369759509</c:v>
                </c:pt>
                <c:pt idx="625">
                  <c:v>-99.173179219033329</c:v>
                </c:pt>
                <c:pt idx="626">
                  <c:v>-99.578092625282665</c:v>
                </c:pt>
                <c:pt idx="627">
                  <c:v>-99.976306619986786</c:v>
                </c:pt>
                <c:pt idx="628">
                  <c:v>-100.36806139675299</c:v>
                </c:pt>
                <c:pt idx="629">
                  <c:v>-100.75358425647012</c:v>
                </c:pt>
                <c:pt idx="630">
                  <c:v>-101.13309047709609</c:v>
                </c:pt>
                <c:pt idx="631">
                  <c:v>-101.5067841149414</c:v>
                </c:pt>
                <c:pt idx="632">
                  <c:v>-101.87485874359966</c:v>
                </c:pt>
                <c:pt idx="633">
                  <c:v>-102.23749813604715</c:v>
                </c:pt>
                <c:pt idx="634">
                  <c:v>-102.59487689487906</c:v>
                </c:pt>
                <c:pt idx="635">
                  <c:v>-102.94716103515836</c:v>
                </c:pt>
                <c:pt idx="636">
                  <c:v>-103.2945085239171</c:v>
                </c:pt>
                <c:pt idx="637">
                  <c:v>-103.63706977996196</c:v>
                </c:pt>
                <c:pt idx="638">
                  <c:v>-103.97498813728933</c:v>
                </c:pt>
                <c:pt idx="639">
                  <c:v>-104.30840027510689</c:v>
                </c:pt>
                <c:pt idx="640">
                  <c:v>-104.63743661718172</c:v>
                </c:pt>
                <c:pt idx="641">
                  <c:v>-104.96222170298751</c:v>
                </c:pt>
                <c:pt idx="642">
                  <c:v>-105.28287453289992</c:v>
                </c:pt>
                <c:pt idx="643">
                  <c:v>-105.59950888949091</c:v>
                </c:pt>
                <c:pt idx="644">
                  <c:v>-105.91223363679003</c:v>
                </c:pt>
                <c:pt idx="645">
                  <c:v>-106.22115299922052</c:v>
                </c:pt>
                <c:pt idx="646">
                  <c:v>-106.52636682176944</c:v>
                </c:pt>
                <c:pt idx="647">
                  <c:v>-106.82797081281878</c:v>
                </c:pt>
                <c:pt idx="648">
                  <c:v>-107.12605677094459</c:v>
                </c:pt>
                <c:pt idx="649">
                  <c:v>-107.4207127968812</c:v>
                </c:pt>
                <c:pt idx="650">
                  <c:v>-107.71202349174911</c:v>
                </c:pt>
                <c:pt idx="651">
                  <c:v>-108.000070142555</c:v>
                </c:pt>
                <c:pt idx="652">
                  <c:v>-108.28493089589043</c:v>
                </c:pt>
                <c:pt idx="653">
                  <c:v>-108.56668092068078</c:v>
                </c:pt>
                <c:pt idx="654">
                  <c:v>-108.84539256076891</c:v>
                </c:pt>
                <c:pt idx="655">
                  <c:v>-109.12113547805475</c:v>
                </c:pt>
                <c:pt idx="656">
                  <c:v>-109.39397678685651</c:v>
                </c:pt>
                <c:pt idx="657">
                  <c:v>-109.66398118010656</c:v>
                </c:pt>
                <c:pt idx="658">
                  <c:v>-109.93121104794808</c:v>
                </c:pt>
                <c:pt idx="659">
                  <c:v>-110.19572658925526</c:v>
                </c:pt>
                <c:pt idx="660">
                  <c:v>-110.45758591655938</c:v>
                </c:pt>
                <c:pt idx="661">
                  <c:v>-110.71684515482779</c:v>
                </c:pt>
                <c:pt idx="662">
                  <c:v>-110.97355853450821</c:v>
                </c:pt>
                <c:pt idx="663">
                  <c:v>-111.22777847922082</c:v>
                </c:pt>
                <c:pt idx="664">
                  <c:v>-111.47955568845198</c:v>
                </c:pt>
                <c:pt idx="665">
                  <c:v>-111.72893921557785</c:v>
                </c:pt>
                <c:pt idx="666">
                  <c:v>-111.9759765415216</c:v>
                </c:pt>
                <c:pt idx="667">
                  <c:v>-112.22071364432695</c:v>
                </c:pt>
              </c:numCache>
            </c:numRef>
          </c:yVal>
          <c:smooth val="1"/>
          <c:extLst>
            <c:ext xmlns:c16="http://schemas.microsoft.com/office/drawing/2014/chart" uri="{C3380CC4-5D6E-409C-BE32-E72D297353CC}">
              <c16:uniqueId val="{00000000-BED3-43CF-9D4A-81AF6A44D307}"/>
            </c:ext>
          </c:extLst>
        </c:ser>
        <c:ser>
          <c:idx val="5"/>
          <c:order val="2"/>
          <c:tx>
            <c:v>LC Double Pole</c:v>
          </c:tx>
          <c:spPr>
            <a:ln w="28575">
              <a:solidFill>
                <a:schemeClr val="tx1"/>
              </a:solidFill>
            </a:ln>
          </c:spPr>
          <c:marker>
            <c:symbol val="x"/>
            <c:size val="8"/>
            <c:spPr>
              <a:noFill/>
              <a:ln w="22225">
                <a:solidFill>
                  <a:schemeClr val="tx1"/>
                </a:solidFill>
              </a:ln>
            </c:spPr>
          </c:marker>
          <c:dLbls>
            <c:dLbl>
              <c:idx val="0"/>
              <c:layout>
                <c:manualLayout>
                  <c:x val="5.9616632195422774E-3"/>
                  <c:y val="0"/>
                </c:manualLayout>
              </c:layout>
              <c:dLblPos val="r"/>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1-BED3-43CF-9D4A-81AF6A44D307}"/>
                </c:ext>
              </c:extLst>
            </c:dLbl>
            <c:spPr>
              <a:noFill/>
              <a:ln w="25400">
                <a:noFill/>
              </a:ln>
            </c:spPr>
            <c:txPr>
              <a:bodyPr rot="0"/>
              <a:lstStyle/>
              <a:p>
                <a:pPr algn="ctr" rtl="0">
                  <a:defRPr sz="1000" b="1" i="0" u="none" strike="noStrike" baseline="0">
                    <a:solidFill>
                      <a:srgbClr val="000000"/>
                    </a:solidFill>
                    <a:latin typeface="Arial"/>
                    <a:ea typeface="Arial"/>
                    <a:cs typeface="Arial"/>
                  </a:defRPr>
                </a:pPr>
                <a:endParaRPr lang="en-US"/>
              </a:p>
            </c:txPr>
            <c:dLblPos val="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'Bode Plots Calculations'!$B$683</c:f>
              <c:numCache>
                <c:formatCode>General</c:formatCode>
                <c:ptCount val="1"/>
                <c:pt idx="0">
                  <c:v>9.4209174782096472</c:v>
                </c:pt>
              </c:numCache>
            </c:numRef>
          </c:xVal>
          <c:yVal>
            <c:numRef>
              <c:f>'Bode Plots Calculations'!$BF$683</c:f>
              <c:numCache>
                <c:formatCode>General</c:formatCode>
                <c:ptCount val="1"/>
                <c:pt idx="0">
                  <c:v>22.880952821310622</c:v>
                </c:pt>
              </c:numCache>
            </c:numRef>
          </c:yVal>
          <c:smooth val="1"/>
          <c:extLst>
            <c:ext xmlns:c16="http://schemas.microsoft.com/office/drawing/2014/chart" uri="{C3380CC4-5D6E-409C-BE32-E72D297353CC}">
              <c16:uniqueId val="{00000002-BED3-43CF-9D4A-81AF6A44D307}"/>
            </c:ext>
          </c:extLst>
        </c:ser>
        <c:ser>
          <c:idx val="6"/>
          <c:order val="3"/>
          <c:tx>
            <c:v>Fz1</c:v>
          </c:tx>
          <c:spPr>
            <a:ln w="28575">
              <a:noFill/>
            </a:ln>
          </c:spPr>
          <c:marker>
            <c:symbol val="circle"/>
            <c:size val="8"/>
            <c:spPr>
              <a:noFill/>
              <a:ln w="19050">
                <a:solidFill>
                  <a:srgbClr val="000000"/>
                </a:solidFill>
                <a:prstDash val="solid"/>
              </a:ln>
            </c:spPr>
          </c:marker>
          <c:dLbls>
            <c:dLbl>
              <c:idx val="0"/>
              <c:tx>
                <c:rich>
                  <a:bodyPr/>
                  <a:lstStyle/>
                  <a:p>
                    <a:r>
                      <a:rPr lang="en-US">
                        <a:solidFill>
                          <a:srgbClr val="0000FF"/>
                        </a:solidFill>
                      </a:rPr>
                      <a:t>F</a:t>
                    </a:r>
                    <a:r>
                      <a:rPr lang="en-US" baseline="-25000"/>
                      <a:t>Z1</a:t>
                    </a:r>
                  </a:p>
                </c:rich>
              </c:tx>
              <c:dLblPos val="t"/>
              <c:showLegendKey val="0"/>
              <c:showVal val="0"/>
              <c:showCatName val="0"/>
              <c:showSerName val="1"/>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3-BED3-43CF-9D4A-81AF6A44D307}"/>
                </c:ext>
              </c:extLst>
            </c:dLbl>
            <c:spPr>
              <a:noFill/>
              <a:ln w="25400">
                <a:noFill/>
              </a:ln>
            </c:spPr>
            <c:txPr>
              <a:bodyPr/>
              <a:lstStyle/>
              <a:p>
                <a:pPr>
                  <a:defRPr sz="1000" b="1" i="0" u="none" strike="noStrike" baseline="0">
                    <a:solidFill>
                      <a:srgbClr val="0000FF"/>
                    </a:solidFill>
                    <a:latin typeface="Arial"/>
                    <a:ea typeface="Arial"/>
                    <a:cs typeface="Arial"/>
                  </a:defRPr>
                </a:pPr>
                <a:endParaRPr lang="en-US"/>
              </a:p>
            </c:txPr>
            <c:dLblPos val="t"/>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'Bode Plots Calculations'!$B$684</c:f>
              <c:numCache>
                <c:formatCode>General</c:formatCode>
                <c:ptCount val="1"/>
                <c:pt idx="0">
                  <c:v>1.0655080891327333</c:v>
                </c:pt>
              </c:numCache>
            </c:numRef>
          </c:xVal>
          <c:yVal>
            <c:numRef>
              <c:f>'Bode Plots Calculations'!$BF$684</c:f>
              <c:numCache>
                <c:formatCode>General</c:formatCode>
                <c:ptCount val="1"/>
                <c:pt idx="0">
                  <c:v>13.161191785064927</c:v>
                </c:pt>
              </c:numCache>
            </c:numRef>
          </c:yVal>
          <c:smooth val="1"/>
          <c:extLst>
            <c:ext xmlns:c16="http://schemas.microsoft.com/office/drawing/2014/chart" uri="{C3380CC4-5D6E-409C-BE32-E72D297353CC}">
              <c16:uniqueId val="{00000004-BED3-43CF-9D4A-81AF6A44D307}"/>
            </c:ext>
          </c:extLst>
        </c:ser>
        <c:ser>
          <c:idx val="7"/>
          <c:order val="4"/>
          <c:tx>
            <c:v>Fz2</c:v>
          </c:tx>
          <c:spPr>
            <a:ln w="28575">
              <a:noFill/>
            </a:ln>
          </c:spPr>
          <c:marker>
            <c:symbol val="circle"/>
            <c:size val="8"/>
            <c:spPr>
              <a:noFill/>
              <a:ln w="19050" cap="rnd">
                <a:solidFill>
                  <a:srgbClr val="000000"/>
                </a:solidFill>
                <a:prstDash val="solid"/>
                <a:round/>
              </a:ln>
            </c:spPr>
          </c:marker>
          <c:dLbls>
            <c:dLbl>
              <c:idx val="0"/>
              <c:tx>
                <c:rich>
                  <a:bodyPr/>
                  <a:lstStyle/>
                  <a:p>
                    <a:r>
                      <a:rPr lang="en-US">
                        <a:solidFill>
                          <a:srgbClr val="0000FF"/>
                        </a:solidFill>
                      </a:rPr>
                      <a:t>F</a:t>
                    </a:r>
                    <a:r>
                      <a:rPr lang="en-US" baseline="-25000"/>
                      <a:t>Z2</a:t>
                    </a:r>
                  </a:p>
                </c:rich>
              </c:tx>
              <c:dLblPos val="b"/>
              <c:showLegendKey val="0"/>
              <c:showVal val="0"/>
              <c:showCatName val="0"/>
              <c:showSerName val="1"/>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5-BED3-43CF-9D4A-81AF6A44D307}"/>
                </c:ext>
              </c:extLst>
            </c:dLbl>
            <c:spPr>
              <a:noFill/>
              <a:ln w="25400">
                <a:noFill/>
              </a:ln>
            </c:spPr>
            <c:txPr>
              <a:bodyPr/>
              <a:lstStyle/>
              <a:p>
                <a:pPr>
                  <a:defRPr sz="1000" b="1" i="0" u="none" strike="noStrike" baseline="0">
                    <a:solidFill>
                      <a:srgbClr val="0000FF"/>
                    </a:solidFill>
                    <a:latin typeface="Arial"/>
                    <a:ea typeface="Arial"/>
                    <a:cs typeface="Arial"/>
                  </a:defRPr>
                </a:pPr>
                <a:endParaRPr lang="en-US"/>
              </a:p>
            </c:txPr>
            <c:dLblPos val="b"/>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'Bode Plots Calculations'!$B$685</c:f>
              <c:numCache>
                <c:formatCode>General</c:formatCode>
                <c:ptCount val="1"/>
                <c:pt idx="0">
                  <c:v>7.1602396693190613</c:v>
                </c:pt>
              </c:numCache>
            </c:numRef>
          </c:xVal>
          <c:yVal>
            <c:numRef>
              <c:f>'Bode Plots Calculations'!$BF$685</c:f>
              <c:numCache>
                <c:formatCode>General</c:formatCode>
                <c:ptCount val="1"/>
                <c:pt idx="0">
                  <c:v>18.910600706265747</c:v>
                </c:pt>
              </c:numCache>
            </c:numRef>
          </c:yVal>
          <c:smooth val="1"/>
          <c:extLst>
            <c:ext xmlns:c16="http://schemas.microsoft.com/office/drawing/2014/chart" uri="{C3380CC4-5D6E-409C-BE32-E72D297353CC}">
              <c16:uniqueId val="{00000006-BED3-43CF-9D4A-81AF6A44D307}"/>
            </c:ext>
          </c:extLst>
        </c:ser>
        <c:ser>
          <c:idx val="8"/>
          <c:order val="5"/>
          <c:tx>
            <c:v>Fp1</c:v>
          </c:tx>
          <c:spPr>
            <a:ln w="28575">
              <a:noFill/>
            </a:ln>
          </c:spPr>
          <c:marker>
            <c:symbol val="x"/>
            <c:size val="8"/>
            <c:spPr>
              <a:noFill/>
              <a:ln w="22225">
                <a:solidFill>
                  <a:srgbClr val="000000"/>
                </a:solidFill>
                <a:prstDash val="solid"/>
              </a:ln>
            </c:spPr>
          </c:marker>
          <c:dLbls>
            <c:dLbl>
              <c:idx val="0"/>
              <c:tx>
                <c:rich>
                  <a:bodyPr/>
                  <a:lstStyle/>
                  <a:p>
                    <a:r>
                      <a:rPr lang="en-US">
                        <a:solidFill>
                          <a:srgbClr val="0000FF"/>
                        </a:solidFill>
                      </a:rPr>
                      <a:t>F</a:t>
                    </a:r>
                    <a:r>
                      <a:rPr lang="en-US" baseline="-25000"/>
                      <a:t>P1</a:t>
                    </a:r>
                  </a:p>
                </c:rich>
              </c:tx>
              <c:dLblPos val="r"/>
              <c:showLegendKey val="0"/>
              <c:showVal val="0"/>
              <c:showCatName val="0"/>
              <c:showSerName val="1"/>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7-BED3-43CF-9D4A-81AF6A44D307}"/>
                </c:ext>
              </c:extLst>
            </c:dLbl>
            <c:spPr>
              <a:noFill/>
              <a:ln w="25400">
                <a:noFill/>
              </a:ln>
            </c:spPr>
            <c:txPr>
              <a:bodyPr/>
              <a:lstStyle/>
              <a:p>
                <a:pPr>
                  <a:defRPr sz="1000" b="1" i="0" u="none" strike="noStrike" baseline="0">
                    <a:solidFill>
                      <a:srgbClr val="0000FF"/>
                    </a:solidFill>
                    <a:latin typeface="Arial"/>
                    <a:ea typeface="Arial"/>
                    <a:cs typeface="Arial"/>
                  </a:defRPr>
                </a:pPr>
                <a:endParaRPr lang="en-US"/>
              </a:p>
            </c:txPr>
            <c:dLblPos val="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'Bode Plots Calculations'!$B$686</c:f>
              <c:numCache>
                <c:formatCode>General</c:formatCode>
                <c:ptCount val="1"/>
                <c:pt idx="0">
                  <c:v>253.59296251395213</c:v>
                </c:pt>
              </c:numCache>
            </c:numRef>
          </c:xVal>
          <c:yVal>
            <c:numRef>
              <c:f>'Bode Plots Calculations'!$BF$686</c:f>
              <c:numCache>
                <c:formatCode>General</c:formatCode>
                <c:ptCount val="1"/>
                <c:pt idx="0">
                  <c:v>-23.283844374833535</c:v>
                </c:pt>
              </c:numCache>
            </c:numRef>
          </c:yVal>
          <c:smooth val="1"/>
          <c:extLst>
            <c:ext xmlns:c16="http://schemas.microsoft.com/office/drawing/2014/chart" uri="{C3380CC4-5D6E-409C-BE32-E72D297353CC}">
              <c16:uniqueId val="{00000008-BED3-43CF-9D4A-81AF6A44D307}"/>
            </c:ext>
          </c:extLst>
        </c:ser>
        <c:ser>
          <c:idx val="9"/>
          <c:order val="6"/>
          <c:tx>
            <c:v>Fp2</c:v>
          </c:tx>
          <c:spPr>
            <a:ln w="28575">
              <a:solidFill>
                <a:schemeClr val="tx1"/>
              </a:solidFill>
            </a:ln>
          </c:spPr>
          <c:marker>
            <c:symbol val="x"/>
            <c:size val="8"/>
            <c:spPr>
              <a:noFill/>
              <a:ln w="22225">
                <a:solidFill>
                  <a:schemeClr val="tx1"/>
                </a:solidFill>
              </a:ln>
            </c:spPr>
          </c:marker>
          <c:dLbls>
            <c:dLbl>
              <c:idx val="0"/>
              <c:tx>
                <c:rich>
                  <a:bodyPr/>
                  <a:lstStyle/>
                  <a:p>
                    <a:r>
                      <a:rPr lang="en-US">
                        <a:solidFill>
                          <a:srgbClr val="0000FF"/>
                        </a:solidFill>
                      </a:rPr>
                      <a:t>F</a:t>
                    </a:r>
                    <a:r>
                      <a:rPr lang="en-US" baseline="-25000"/>
                      <a:t>P2</a:t>
                    </a:r>
                  </a:p>
                </c:rich>
              </c:tx>
              <c:dLblPos val="t"/>
              <c:showLegendKey val="0"/>
              <c:showVal val="0"/>
              <c:showCatName val="0"/>
              <c:showSerName val="1"/>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9-BED3-43CF-9D4A-81AF6A44D307}"/>
                </c:ext>
              </c:extLst>
            </c:dLbl>
            <c:spPr>
              <a:noFill/>
              <a:ln w="25400">
                <a:noFill/>
              </a:ln>
            </c:spPr>
            <c:txPr>
              <a:bodyPr/>
              <a:lstStyle/>
              <a:p>
                <a:pPr>
                  <a:defRPr sz="1000" b="1" i="0" u="none" strike="noStrike" baseline="0">
                    <a:solidFill>
                      <a:srgbClr val="0000FF"/>
                    </a:solidFill>
                    <a:latin typeface="Arial"/>
                    <a:ea typeface="Arial"/>
                    <a:cs typeface="Arial"/>
                  </a:defRPr>
                </a:pPr>
                <a:endParaRPr lang="en-US"/>
              </a:p>
            </c:txPr>
            <c:dLblPos val="t"/>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'Bode Plots Calculations'!$B$687</c:f>
              <c:numCache>
                <c:formatCode>General</c:formatCode>
                <c:ptCount val="1"/>
                <c:pt idx="0">
                  <c:v>231.92559406789158</c:v>
                </c:pt>
              </c:numCache>
            </c:numRef>
          </c:xVal>
          <c:yVal>
            <c:numRef>
              <c:f>'Bode Plots Calculations'!$BF$687</c:f>
              <c:numCache>
                <c:formatCode>General</c:formatCode>
                <c:ptCount val="1"/>
                <c:pt idx="0">
                  <c:v>-21.553985927028549</c:v>
                </c:pt>
              </c:numCache>
            </c:numRef>
          </c:yVal>
          <c:smooth val="1"/>
          <c:extLst>
            <c:ext xmlns:c16="http://schemas.microsoft.com/office/drawing/2014/chart" uri="{C3380CC4-5D6E-409C-BE32-E72D297353CC}">
              <c16:uniqueId val="{0000000A-BED3-43CF-9D4A-81AF6A44D307}"/>
            </c:ext>
          </c:extLst>
        </c:ser>
        <c:ser>
          <c:idx val="4"/>
          <c:order val="7"/>
          <c:tx>
            <c:v>F_ESR</c:v>
          </c:tx>
          <c:spPr>
            <a:ln w="28575">
              <a:noFill/>
            </a:ln>
          </c:spPr>
          <c:marker>
            <c:symbol val="circle"/>
            <c:size val="8"/>
            <c:spPr>
              <a:noFill/>
              <a:ln w="19050">
                <a:solidFill>
                  <a:srgbClr val="000000"/>
                </a:solidFill>
                <a:prstDash val="solid"/>
              </a:ln>
            </c:spPr>
          </c:marker>
          <c:dLbls>
            <c:dLbl>
              <c:idx val="0"/>
              <c:tx>
                <c:rich>
                  <a:bodyPr/>
                  <a:lstStyle/>
                  <a:p>
                    <a:r>
                      <a:rPr lang="en-US" b="1"/>
                      <a:t>F</a:t>
                    </a:r>
                    <a:r>
                      <a:rPr lang="en-US" baseline="-25000"/>
                      <a:t>ESR</a:t>
                    </a:r>
                  </a:p>
                </c:rich>
              </c:tx>
              <c:dLblPos val="l"/>
              <c:showLegendKey val="0"/>
              <c:showVal val="0"/>
              <c:showCatName val="0"/>
              <c:showSerName val="1"/>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B-BED3-43CF-9D4A-81AF6A44D307}"/>
                </c:ext>
              </c:extLst>
            </c:dLbl>
            <c:spPr>
              <a:noFill/>
              <a:ln w="25400">
                <a:noFill/>
              </a:ln>
            </c:spPr>
            <c:txPr>
              <a:bodyPr/>
              <a:lstStyle/>
              <a:p>
                <a:pPr>
                  <a:defRPr sz="1000" b="1" i="0" u="none" strike="noStrike" baseline="0">
                    <a:solidFill>
                      <a:srgbClr val="000000"/>
                    </a:solidFill>
                    <a:latin typeface="Arial"/>
                    <a:ea typeface="Arial"/>
                    <a:cs typeface="Arial"/>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'Bode Plots Calculations'!$B$682</c:f>
              <c:numCache>
                <c:formatCode>General</c:formatCode>
                <c:ptCount val="1"/>
                <c:pt idx="0">
                  <c:v>4144.6599810874059</c:v>
                </c:pt>
              </c:numCache>
            </c:numRef>
          </c:xVal>
          <c:yVal>
            <c:numRef>
              <c:f>'Bode Plots Calculations'!$BF$682</c:f>
              <c:numCache>
                <c:formatCode>General</c:formatCode>
                <c:ptCount val="1"/>
                <c:pt idx="0">
                  <c:v>-91.191878737862808</c:v>
                </c:pt>
              </c:numCache>
            </c:numRef>
          </c:yVal>
          <c:smooth val="1"/>
          <c:extLst>
            <c:ext xmlns:c16="http://schemas.microsoft.com/office/drawing/2014/chart" uri="{C3380CC4-5D6E-409C-BE32-E72D297353CC}">
              <c16:uniqueId val="{0000000C-BED3-43CF-9D4A-81AF6A44D307}"/>
            </c:ext>
          </c:extLst>
        </c:ser>
        <c:dLbls>
          <c:showLegendKey val="0"/>
          <c:showVal val="0"/>
          <c:showCatName val="0"/>
          <c:showSerName val="0"/>
          <c:showPercent val="0"/>
          <c:showBubbleSize val="0"/>
        </c:dLbls>
        <c:axId val="315151872"/>
        <c:axId val="315545856"/>
      </c:scatterChart>
      <c:scatterChart>
        <c:scatterStyle val="lineMarker"/>
        <c:varyColors val="0"/>
        <c:ser>
          <c:idx val="3"/>
          <c:order val="1"/>
          <c:tx>
            <c:v>Loop Phase</c:v>
          </c:tx>
          <c:spPr>
            <a:ln w="34925">
              <a:solidFill>
                <a:srgbClr val="002060"/>
              </a:solidFill>
              <a:prstDash val="sysDash"/>
            </a:ln>
          </c:spPr>
          <c:marker>
            <c:symbol val="none"/>
          </c:marker>
          <c:xVal>
            <c:numRef>
              <c:f>'Bode Plots Calculations'!$B$9:$B$676</c:f>
              <c:numCache>
                <c:formatCode>General</c:formatCode>
                <c:ptCount val="668"/>
                <c:pt idx="0">
                  <c:v>1E-3</c:v>
                </c:pt>
                <c:pt idx="1">
                  <c:v>2E-3</c:v>
                </c:pt>
                <c:pt idx="2">
                  <c:v>3.0000000000000001E-3</c:v>
                </c:pt>
                <c:pt idx="3">
                  <c:v>4.0000000000000001E-3</c:v>
                </c:pt>
                <c:pt idx="4">
                  <c:v>5.0000000000000001E-3</c:v>
                </c:pt>
                <c:pt idx="5">
                  <c:v>6.0000000000000001E-3</c:v>
                </c:pt>
                <c:pt idx="6">
                  <c:v>7.0000000000000001E-3</c:v>
                </c:pt>
                <c:pt idx="7">
                  <c:v>8.0000000000000002E-3</c:v>
                </c:pt>
                <c:pt idx="8">
                  <c:v>8.9999999999999993E-3</c:v>
                </c:pt>
                <c:pt idx="9">
                  <c:v>0.01</c:v>
                </c:pt>
                <c:pt idx="10">
                  <c:v>0.02</c:v>
                </c:pt>
                <c:pt idx="11">
                  <c:v>0.03</c:v>
                </c:pt>
                <c:pt idx="12">
                  <c:v>0.04</c:v>
                </c:pt>
                <c:pt idx="13">
                  <c:v>0.05</c:v>
                </c:pt>
                <c:pt idx="14">
                  <c:v>0.06</c:v>
                </c:pt>
                <c:pt idx="15">
                  <c:v>7.0000000000000007E-2</c:v>
                </c:pt>
                <c:pt idx="16">
                  <c:v>0.08</c:v>
                </c:pt>
                <c:pt idx="17">
                  <c:v>0.09</c:v>
                </c:pt>
                <c:pt idx="18">
                  <c:v>0.1</c:v>
                </c:pt>
                <c:pt idx="19">
                  <c:v>0.2</c:v>
                </c:pt>
                <c:pt idx="20">
                  <c:v>0.3</c:v>
                </c:pt>
                <c:pt idx="21">
                  <c:v>0.4</c:v>
                </c:pt>
                <c:pt idx="22">
                  <c:v>0.5</c:v>
                </c:pt>
                <c:pt idx="23">
                  <c:v>0.6</c:v>
                </c:pt>
                <c:pt idx="24">
                  <c:v>0.7</c:v>
                </c:pt>
                <c:pt idx="25">
                  <c:v>0.8</c:v>
                </c:pt>
                <c:pt idx="26">
                  <c:v>0.9</c:v>
                </c:pt>
                <c:pt idx="27">
                  <c:v>1</c:v>
                </c:pt>
                <c:pt idx="28">
                  <c:v>1.5</c:v>
                </c:pt>
                <c:pt idx="29">
                  <c:v>2</c:v>
                </c:pt>
                <c:pt idx="30">
                  <c:v>2.5</c:v>
                </c:pt>
                <c:pt idx="31">
                  <c:v>3</c:v>
                </c:pt>
                <c:pt idx="32">
                  <c:v>3.5</c:v>
                </c:pt>
                <c:pt idx="33">
                  <c:v>4</c:v>
                </c:pt>
                <c:pt idx="34">
                  <c:v>4.5</c:v>
                </c:pt>
                <c:pt idx="35">
                  <c:v>5</c:v>
                </c:pt>
                <c:pt idx="36">
                  <c:v>5.5</c:v>
                </c:pt>
                <c:pt idx="37">
                  <c:v>6</c:v>
                </c:pt>
                <c:pt idx="38">
                  <c:v>6.5</c:v>
                </c:pt>
                <c:pt idx="39">
                  <c:v>7</c:v>
                </c:pt>
                <c:pt idx="40">
                  <c:v>7.5</c:v>
                </c:pt>
                <c:pt idx="41">
                  <c:v>8</c:v>
                </c:pt>
                <c:pt idx="42">
                  <c:v>8.5</c:v>
                </c:pt>
                <c:pt idx="43">
                  <c:v>9</c:v>
                </c:pt>
                <c:pt idx="44">
                  <c:v>9.5</c:v>
                </c:pt>
                <c:pt idx="45">
                  <c:v>10</c:v>
                </c:pt>
                <c:pt idx="46">
                  <c:v>10.5</c:v>
                </c:pt>
                <c:pt idx="47">
                  <c:v>11</c:v>
                </c:pt>
                <c:pt idx="48">
                  <c:v>11.5</c:v>
                </c:pt>
                <c:pt idx="49">
                  <c:v>12</c:v>
                </c:pt>
                <c:pt idx="50">
                  <c:v>12.5</c:v>
                </c:pt>
                <c:pt idx="51">
                  <c:v>13</c:v>
                </c:pt>
                <c:pt idx="52">
                  <c:v>13.5</c:v>
                </c:pt>
                <c:pt idx="53">
                  <c:v>14</c:v>
                </c:pt>
                <c:pt idx="54">
                  <c:v>14.5</c:v>
                </c:pt>
                <c:pt idx="55">
                  <c:v>15</c:v>
                </c:pt>
                <c:pt idx="56">
                  <c:v>15.5</c:v>
                </c:pt>
                <c:pt idx="57">
                  <c:v>16</c:v>
                </c:pt>
                <c:pt idx="58">
                  <c:v>16.5</c:v>
                </c:pt>
                <c:pt idx="59">
                  <c:v>17</c:v>
                </c:pt>
                <c:pt idx="60">
                  <c:v>17.5</c:v>
                </c:pt>
                <c:pt idx="61">
                  <c:v>18</c:v>
                </c:pt>
                <c:pt idx="62">
                  <c:v>18.5</c:v>
                </c:pt>
                <c:pt idx="63">
                  <c:v>19</c:v>
                </c:pt>
                <c:pt idx="64">
                  <c:v>19.5</c:v>
                </c:pt>
                <c:pt idx="65">
                  <c:v>20</c:v>
                </c:pt>
                <c:pt idx="66">
                  <c:v>20.5</c:v>
                </c:pt>
                <c:pt idx="67">
                  <c:v>21</c:v>
                </c:pt>
                <c:pt idx="68">
                  <c:v>21.5</c:v>
                </c:pt>
                <c:pt idx="69">
                  <c:v>22</c:v>
                </c:pt>
                <c:pt idx="70">
                  <c:v>22.5</c:v>
                </c:pt>
                <c:pt idx="71">
                  <c:v>23</c:v>
                </c:pt>
                <c:pt idx="72">
                  <c:v>23.5</c:v>
                </c:pt>
                <c:pt idx="73">
                  <c:v>24</c:v>
                </c:pt>
                <c:pt idx="74">
                  <c:v>24.5</c:v>
                </c:pt>
                <c:pt idx="75">
                  <c:v>25</c:v>
                </c:pt>
                <c:pt idx="76">
                  <c:v>25.5</c:v>
                </c:pt>
                <c:pt idx="77">
                  <c:v>26</c:v>
                </c:pt>
                <c:pt idx="78">
                  <c:v>26.5</c:v>
                </c:pt>
                <c:pt idx="79">
                  <c:v>27</c:v>
                </c:pt>
                <c:pt idx="80">
                  <c:v>27.5</c:v>
                </c:pt>
                <c:pt idx="81">
                  <c:v>28</c:v>
                </c:pt>
                <c:pt idx="82">
                  <c:v>28.5</c:v>
                </c:pt>
                <c:pt idx="83">
                  <c:v>29</c:v>
                </c:pt>
                <c:pt idx="84">
                  <c:v>29.5</c:v>
                </c:pt>
                <c:pt idx="85">
                  <c:v>30</c:v>
                </c:pt>
                <c:pt idx="86">
                  <c:v>30.5</c:v>
                </c:pt>
                <c:pt idx="87">
                  <c:v>31</c:v>
                </c:pt>
                <c:pt idx="88">
                  <c:v>31.5</c:v>
                </c:pt>
                <c:pt idx="89">
                  <c:v>32</c:v>
                </c:pt>
                <c:pt idx="90">
                  <c:v>32.5</c:v>
                </c:pt>
                <c:pt idx="91">
                  <c:v>33</c:v>
                </c:pt>
                <c:pt idx="92">
                  <c:v>33.5</c:v>
                </c:pt>
                <c:pt idx="93">
                  <c:v>34</c:v>
                </c:pt>
                <c:pt idx="94">
                  <c:v>34.5</c:v>
                </c:pt>
                <c:pt idx="95">
                  <c:v>35</c:v>
                </c:pt>
                <c:pt idx="96">
                  <c:v>35.5</c:v>
                </c:pt>
                <c:pt idx="97">
                  <c:v>36</c:v>
                </c:pt>
                <c:pt idx="98">
                  <c:v>36.5</c:v>
                </c:pt>
                <c:pt idx="99">
                  <c:v>37</c:v>
                </c:pt>
                <c:pt idx="100">
                  <c:v>37.5</c:v>
                </c:pt>
                <c:pt idx="101">
                  <c:v>38</c:v>
                </c:pt>
                <c:pt idx="102">
                  <c:v>38.5</c:v>
                </c:pt>
                <c:pt idx="103">
                  <c:v>39</c:v>
                </c:pt>
                <c:pt idx="104">
                  <c:v>39.5</c:v>
                </c:pt>
                <c:pt idx="105">
                  <c:v>40</c:v>
                </c:pt>
                <c:pt idx="106">
                  <c:v>40.5</c:v>
                </c:pt>
                <c:pt idx="107">
                  <c:v>41</c:v>
                </c:pt>
                <c:pt idx="108">
                  <c:v>41.5</c:v>
                </c:pt>
                <c:pt idx="109">
                  <c:v>42</c:v>
                </c:pt>
                <c:pt idx="110">
                  <c:v>42.5</c:v>
                </c:pt>
                <c:pt idx="111">
                  <c:v>43</c:v>
                </c:pt>
                <c:pt idx="112">
                  <c:v>43.5</c:v>
                </c:pt>
                <c:pt idx="113">
                  <c:v>44</c:v>
                </c:pt>
                <c:pt idx="114">
                  <c:v>44.5</c:v>
                </c:pt>
                <c:pt idx="115">
                  <c:v>45</c:v>
                </c:pt>
                <c:pt idx="116">
                  <c:v>45.5</c:v>
                </c:pt>
                <c:pt idx="117">
                  <c:v>46</c:v>
                </c:pt>
                <c:pt idx="118">
                  <c:v>46.5</c:v>
                </c:pt>
                <c:pt idx="119">
                  <c:v>47</c:v>
                </c:pt>
                <c:pt idx="120">
                  <c:v>47.5</c:v>
                </c:pt>
                <c:pt idx="121">
                  <c:v>48</c:v>
                </c:pt>
                <c:pt idx="122">
                  <c:v>48.5</c:v>
                </c:pt>
                <c:pt idx="123">
                  <c:v>49</c:v>
                </c:pt>
                <c:pt idx="124">
                  <c:v>49.5</c:v>
                </c:pt>
                <c:pt idx="125">
                  <c:v>50</c:v>
                </c:pt>
                <c:pt idx="126">
                  <c:v>50.5</c:v>
                </c:pt>
                <c:pt idx="127">
                  <c:v>51</c:v>
                </c:pt>
                <c:pt idx="128">
                  <c:v>51.5</c:v>
                </c:pt>
                <c:pt idx="129">
                  <c:v>52</c:v>
                </c:pt>
                <c:pt idx="130">
                  <c:v>52.5</c:v>
                </c:pt>
                <c:pt idx="131">
                  <c:v>53</c:v>
                </c:pt>
                <c:pt idx="132">
                  <c:v>53.5</c:v>
                </c:pt>
                <c:pt idx="133">
                  <c:v>54</c:v>
                </c:pt>
                <c:pt idx="134">
                  <c:v>54.5</c:v>
                </c:pt>
                <c:pt idx="135">
                  <c:v>55</c:v>
                </c:pt>
                <c:pt idx="136">
                  <c:v>55.5</c:v>
                </c:pt>
                <c:pt idx="137">
                  <c:v>56</c:v>
                </c:pt>
                <c:pt idx="138">
                  <c:v>56.5</c:v>
                </c:pt>
                <c:pt idx="139">
                  <c:v>57</c:v>
                </c:pt>
                <c:pt idx="140">
                  <c:v>57.5</c:v>
                </c:pt>
                <c:pt idx="141">
                  <c:v>58</c:v>
                </c:pt>
                <c:pt idx="142">
                  <c:v>58.5</c:v>
                </c:pt>
                <c:pt idx="143">
                  <c:v>59</c:v>
                </c:pt>
                <c:pt idx="144">
                  <c:v>59.5</c:v>
                </c:pt>
                <c:pt idx="145">
                  <c:v>60</c:v>
                </c:pt>
                <c:pt idx="146">
                  <c:v>60.5</c:v>
                </c:pt>
                <c:pt idx="147">
                  <c:v>61</c:v>
                </c:pt>
                <c:pt idx="148">
                  <c:v>61.5</c:v>
                </c:pt>
                <c:pt idx="149">
                  <c:v>62</c:v>
                </c:pt>
                <c:pt idx="150">
                  <c:v>62.5</c:v>
                </c:pt>
                <c:pt idx="151">
                  <c:v>63</c:v>
                </c:pt>
                <c:pt idx="152">
                  <c:v>63.5</c:v>
                </c:pt>
                <c:pt idx="153">
                  <c:v>64</c:v>
                </c:pt>
                <c:pt idx="154">
                  <c:v>64.5</c:v>
                </c:pt>
                <c:pt idx="155">
                  <c:v>65</c:v>
                </c:pt>
                <c:pt idx="156">
                  <c:v>65.5</c:v>
                </c:pt>
                <c:pt idx="157">
                  <c:v>66</c:v>
                </c:pt>
                <c:pt idx="158">
                  <c:v>66.5</c:v>
                </c:pt>
                <c:pt idx="159">
                  <c:v>67</c:v>
                </c:pt>
                <c:pt idx="160">
                  <c:v>67.5</c:v>
                </c:pt>
                <c:pt idx="161">
                  <c:v>68</c:v>
                </c:pt>
                <c:pt idx="162">
                  <c:v>68.5</c:v>
                </c:pt>
                <c:pt idx="163">
                  <c:v>69</c:v>
                </c:pt>
                <c:pt idx="164">
                  <c:v>69.5</c:v>
                </c:pt>
                <c:pt idx="165">
                  <c:v>70</c:v>
                </c:pt>
                <c:pt idx="166">
                  <c:v>70.5</c:v>
                </c:pt>
                <c:pt idx="167">
                  <c:v>71</c:v>
                </c:pt>
                <c:pt idx="168">
                  <c:v>71.5</c:v>
                </c:pt>
                <c:pt idx="169">
                  <c:v>72</c:v>
                </c:pt>
                <c:pt idx="170">
                  <c:v>72.5</c:v>
                </c:pt>
                <c:pt idx="171">
                  <c:v>73</c:v>
                </c:pt>
                <c:pt idx="172">
                  <c:v>73.5</c:v>
                </c:pt>
                <c:pt idx="173">
                  <c:v>74</c:v>
                </c:pt>
                <c:pt idx="174">
                  <c:v>74.5</c:v>
                </c:pt>
                <c:pt idx="175">
                  <c:v>75</c:v>
                </c:pt>
                <c:pt idx="176">
                  <c:v>75.5</c:v>
                </c:pt>
                <c:pt idx="177">
                  <c:v>76</c:v>
                </c:pt>
                <c:pt idx="178">
                  <c:v>76.5</c:v>
                </c:pt>
                <c:pt idx="179">
                  <c:v>77</c:v>
                </c:pt>
                <c:pt idx="180">
                  <c:v>77.5</c:v>
                </c:pt>
                <c:pt idx="181">
                  <c:v>78</c:v>
                </c:pt>
                <c:pt idx="182">
                  <c:v>78.5</c:v>
                </c:pt>
                <c:pt idx="183">
                  <c:v>79</c:v>
                </c:pt>
                <c:pt idx="184">
                  <c:v>79.5</c:v>
                </c:pt>
                <c:pt idx="185">
                  <c:v>80</c:v>
                </c:pt>
                <c:pt idx="186">
                  <c:v>80.5</c:v>
                </c:pt>
                <c:pt idx="187">
                  <c:v>81</c:v>
                </c:pt>
                <c:pt idx="188">
                  <c:v>81.5</c:v>
                </c:pt>
                <c:pt idx="189">
                  <c:v>82</c:v>
                </c:pt>
                <c:pt idx="190">
                  <c:v>82.5</c:v>
                </c:pt>
                <c:pt idx="191">
                  <c:v>83</c:v>
                </c:pt>
                <c:pt idx="192">
                  <c:v>83.5</c:v>
                </c:pt>
                <c:pt idx="193">
                  <c:v>84</c:v>
                </c:pt>
                <c:pt idx="194">
                  <c:v>84.5</c:v>
                </c:pt>
                <c:pt idx="195">
                  <c:v>85</c:v>
                </c:pt>
                <c:pt idx="196">
                  <c:v>85.5</c:v>
                </c:pt>
                <c:pt idx="197">
                  <c:v>86</c:v>
                </c:pt>
                <c:pt idx="198">
                  <c:v>86.5</c:v>
                </c:pt>
                <c:pt idx="199">
                  <c:v>87</c:v>
                </c:pt>
                <c:pt idx="200">
                  <c:v>87.5</c:v>
                </c:pt>
                <c:pt idx="201">
                  <c:v>88</c:v>
                </c:pt>
                <c:pt idx="202">
                  <c:v>88.5</c:v>
                </c:pt>
                <c:pt idx="203">
                  <c:v>89</c:v>
                </c:pt>
                <c:pt idx="204">
                  <c:v>89.5</c:v>
                </c:pt>
                <c:pt idx="205">
                  <c:v>90</c:v>
                </c:pt>
                <c:pt idx="206">
                  <c:v>90.5</c:v>
                </c:pt>
                <c:pt idx="207">
                  <c:v>91</c:v>
                </c:pt>
                <c:pt idx="208">
                  <c:v>91.5</c:v>
                </c:pt>
                <c:pt idx="209">
                  <c:v>92</c:v>
                </c:pt>
                <c:pt idx="210">
                  <c:v>92.5</c:v>
                </c:pt>
                <c:pt idx="211">
                  <c:v>93</c:v>
                </c:pt>
                <c:pt idx="212">
                  <c:v>93.5</c:v>
                </c:pt>
                <c:pt idx="213">
                  <c:v>94</c:v>
                </c:pt>
                <c:pt idx="214">
                  <c:v>94.5</c:v>
                </c:pt>
                <c:pt idx="215">
                  <c:v>95</c:v>
                </c:pt>
                <c:pt idx="216">
                  <c:v>95.5</c:v>
                </c:pt>
                <c:pt idx="217">
                  <c:v>96</c:v>
                </c:pt>
                <c:pt idx="218">
                  <c:v>96.5</c:v>
                </c:pt>
                <c:pt idx="219">
                  <c:v>97</c:v>
                </c:pt>
                <c:pt idx="220">
                  <c:v>97.5</c:v>
                </c:pt>
                <c:pt idx="221">
                  <c:v>98</c:v>
                </c:pt>
                <c:pt idx="222">
                  <c:v>98.5</c:v>
                </c:pt>
                <c:pt idx="223">
                  <c:v>99</c:v>
                </c:pt>
                <c:pt idx="224">
                  <c:v>99.5</c:v>
                </c:pt>
                <c:pt idx="225">
                  <c:v>100</c:v>
                </c:pt>
                <c:pt idx="226">
                  <c:v>105</c:v>
                </c:pt>
                <c:pt idx="227">
                  <c:v>110</c:v>
                </c:pt>
                <c:pt idx="228">
                  <c:v>115</c:v>
                </c:pt>
                <c:pt idx="229">
                  <c:v>120</c:v>
                </c:pt>
                <c:pt idx="230">
                  <c:v>125</c:v>
                </c:pt>
                <c:pt idx="231">
                  <c:v>130</c:v>
                </c:pt>
                <c:pt idx="232">
                  <c:v>135</c:v>
                </c:pt>
                <c:pt idx="233">
                  <c:v>140</c:v>
                </c:pt>
                <c:pt idx="234">
                  <c:v>145</c:v>
                </c:pt>
                <c:pt idx="235">
                  <c:v>150</c:v>
                </c:pt>
                <c:pt idx="236">
                  <c:v>155</c:v>
                </c:pt>
                <c:pt idx="237">
                  <c:v>160</c:v>
                </c:pt>
                <c:pt idx="238">
                  <c:v>165</c:v>
                </c:pt>
                <c:pt idx="239">
                  <c:v>170</c:v>
                </c:pt>
                <c:pt idx="240">
                  <c:v>175</c:v>
                </c:pt>
                <c:pt idx="241">
                  <c:v>180</c:v>
                </c:pt>
                <c:pt idx="242">
                  <c:v>185</c:v>
                </c:pt>
                <c:pt idx="243">
                  <c:v>190</c:v>
                </c:pt>
                <c:pt idx="244">
                  <c:v>195</c:v>
                </c:pt>
                <c:pt idx="245">
                  <c:v>200</c:v>
                </c:pt>
                <c:pt idx="246">
                  <c:v>205</c:v>
                </c:pt>
                <c:pt idx="247">
                  <c:v>210</c:v>
                </c:pt>
                <c:pt idx="248">
                  <c:v>215</c:v>
                </c:pt>
                <c:pt idx="249">
                  <c:v>220</c:v>
                </c:pt>
                <c:pt idx="250">
                  <c:v>225</c:v>
                </c:pt>
                <c:pt idx="251">
                  <c:v>230</c:v>
                </c:pt>
                <c:pt idx="252">
                  <c:v>235</c:v>
                </c:pt>
                <c:pt idx="253">
                  <c:v>240</c:v>
                </c:pt>
                <c:pt idx="254">
                  <c:v>245</c:v>
                </c:pt>
                <c:pt idx="255">
                  <c:v>250</c:v>
                </c:pt>
                <c:pt idx="256">
                  <c:v>255</c:v>
                </c:pt>
                <c:pt idx="257">
                  <c:v>260</c:v>
                </c:pt>
                <c:pt idx="258">
                  <c:v>265</c:v>
                </c:pt>
                <c:pt idx="259">
                  <c:v>270</c:v>
                </c:pt>
                <c:pt idx="260">
                  <c:v>275</c:v>
                </c:pt>
                <c:pt idx="261">
                  <c:v>280</c:v>
                </c:pt>
                <c:pt idx="262">
                  <c:v>285</c:v>
                </c:pt>
                <c:pt idx="263">
                  <c:v>290</c:v>
                </c:pt>
                <c:pt idx="264">
                  <c:v>295</c:v>
                </c:pt>
                <c:pt idx="265">
                  <c:v>300</c:v>
                </c:pt>
                <c:pt idx="266">
                  <c:v>305</c:v>
                </c:pt>
                <c:pt idx="267">
                  <c:v>310</c:v>
                </c:pt>
                <c:pt idx="268">
                  <c:v>315</c:v>
                </c:pt>
                <c:pt idx="269">
                  <c:v>320</c:v>
                </c:pt>
                <c:pt idx="270">
                  <c:v>325</c:v>
                </c:pt>
                <c:pt idx="271">
                  <c:v>330</c:v>
                </c:pt>
                <c:pt idx="272">
                  <c:v>335</c:v>
                </c:pt>
                <c:pt idx="273">
                  <c:v>340</c:v>
                </c:pt>
                <c:pt idx="274">
                  <c:v>345</c:v>
                </c:pt>
                <c:pt idx="275">
                  <c:v>350</c:v>
                </c:pt>
                <c:pt idx="276">
                  <c:v>355</c:v>
                </c:pt>
                <c:pt idx="277">
                  <c:v>360</c:v>
                </c:pt>
                <c:pt idx="278">
                  <c:v>365</c:v>
                </c:pt>
                <c:pt idx="279">
                  <c:v>370</c:v>
                </c:pt>
                <c:pt idx="280">
                  <c:v>375</c:v>
                </c:pt>
                <c:pt idx="281">
                  <c:v>380</c:v>
                </c:pt>
                <c:pt idx="282">
                  <c:v>385</c:v>
                </c:pt>
                <c:pt idx="283">
                  <c:v>390</c:v>
                </c:pt>
                <c:pt idx="284">
                  <c:v>395</c:v>
                </c:pt>
                <c:pt idx="285">
                  <c:v>400</c:v>
                </c:pt>
                <c:pt idx="286">
                  <c:v>405</c:v>
                </c:pt>
                <c:pt idx="287">
                  <c:v>410</c:v>
                </c:pt>
                <c:pt idx="288">
                  <c:v>415</c:v>
                </c:pt>
                <c:pt idx="289">
                  <c:v>420</c:v>
                </c:pt>
                <c:pt idx="290">
                  <c:v>425</c:v>
                </c:pt>
                <c:pt idx="291">
                  <c:v>430</c:v>
                </c:pt>
                <c:pt idx="292">
                  <c:v>435</c:v>
                </c:pt>
                <c:pt idx="293">
                  <c:v>440</c:v>
                </c:pt>
                <c:pt idx="294">
                  <c:v>445</c:v>
                </c:pt>
                <c:pt idx="295">
                  <c:v>450</c:v>
                </c:pt>
                <c:pt idx="296">
                  <c:v>455</c:v>
                </c:pt>
                <c:pt idx="297">
                  <c:v>460</c:v>
                </c:pt>
                <c:pt idx="298">
                  <c:v>465</c:v>
                </c:pt>
                <c:pt idx="299">
                  <c:v>470</c:v>
                </c:pt>
                <c:pt idx="300">
                  <c:v>475</c:v>
                </c:pt>
                <c:pt idx="301">
                  <c:v>480</c:v>
                </c:pt>
                <c:pt idx="302">
                  <c:v>485</c:v>
                </c:pt>
                <c:pt idx="303">
                  <c:v>490</c:v>
                </c:pt>
                <c:pt idx="304">
                  <c:v>495</c:v>
                </c:pt>
                <c:pt idx="305">
                  <c:v>500</c:v>
                </c:pt>
                <c:pt idx="306">
                  <c:v>505</c:v>
                </c:pt>
                <c:pt idx="307">
                  <c:v>510</c:v>
                </c:pt>
                <c:pt idx="308">
                  <c:v>515</c:v>
                </c:pt>
                <c:pt idx="309">
                  <c:v>520</c:v>
                </c:pt>
                <c:pt idx="310">
                  <c:v>525</c:v>
                </c:pt>
                <c:pt idx="311">
                  <c:v>530</c:v>
                </c:pt>
                <c:pt idx="312">
                  <c:v>535</c:v>
                </c:pt>
                <c:pt idx="313">
                  <c:v>540</c:v>
                </c:pt>
                <c:pt idx="314">
                  <c:v>545</c:v>
                </c:pt>
                <c:pt idx="315">
                  <c:v>550</c:v>
                </c:pt>
                <c:pt idx="316">
                  <c:v>555</c:v>
                </c:pt>
                <c:pt idx="317">
                  <c:v>560</c:v>
                </c:pt>
                <c:pt idx="318">
                  <c:v>565</c:v>
                </c:pt>
                <c:pt idx="319">
                  <c:v>570</c:v>
                </c:pt>
                <c:pt idx="320">
                  <c:v>575</c:v>
                </c:pt>
                <c:pt idx="321">
                  <c:v>580</c:v>
                </c:pt>
                <c:pt idx="322">
                  <c:v>585</c:v>
                </c:pt>
                <c:pt idx="323">
                  <c:v>590</c:v>
                </c:pt>
                <c:pt idx="324">
                  <c:v>595</c:v>
                </c:pt>
                <c:pt idx="325">
                  <c:v>600</c:v>
                </c:pt>
                <c:pt idx="326">
                  <c:v>605</c:v>
                </c:pt>
                <c:pt idx="327">
                  <c:v>610</c:v>
                </c:pt>
                <c:pt idx="328">
                  <c:v>615</c:v>
                </c:pt>
                <c:pt idx="329">
                  <c:v>620</c:v>
                </c:pt>
                <c:pt idx="330">
                  <c:v>625</c:v>
                </c:pt>
                <c:pt idx="331">
                  <c:v>630</c:v>
                </c:pt>
                <c:pt idx="332">
                  <c:v>635</c:v>
                </c:pt>
                <c:pt idx="333">
                  <c:v>640</c:v>
                </c:pt>
                <c:pt idx="334">
                  <c:v>645</c:v>
                </c:pt>
                <c:pt idx="335">
                  <c:v>650</c:v>
                </c:pt>
                <c:pt idx="336">
                  <c:v>655</c:v>
                </c:pt>
                <c:pt idx="337">
                  <c:v>660</c:v>
                </c:pt>
                <c:pt idx="338">
                  <c:v>665</c:v>
                </c:pt>
                <c:pt idx="339">
                  <c:v>670</c:v>
                </c:pt>
                <c:pt idx="340">
                  <c:v>675</c:v>
                </c:pt>
                <c:pt idx="341">
                  <c:v>680</c:v>
                </c:pt>
                <c:pt idx="342">
                  <c:v>685</c:v>
                </c:pt>
                <c:pt idx="343">
                  <c:v>690</c:v>
                </c:pt>
                <c:pt idx="344">
                  <c:v>695</c:v>
                </c:pt>
                <c:pt idx="345">
                  <c:v>700</c:v>
                </c:pt>
                <c:pt idx="346">
                  <c:v>705</c:v>
                </c:pt>
                <c:pt idx="347">
                  <c:v>710</c:v>
                </c:pt>
                <c:pt idx="348">
                  <c:v>715</c:v>
                </c:pt>
                <c:pt idx="349">
                  <c:v>720</c:v>
                </c:pt>
                <c:pt idx="350">
                  <c:v>725</c:v>
                </c:pt>
                <c:pt idx="351">
                  <c:v>730</c:v>
                </c:pt>
                <c:pt idx="352">
                  <c:v>735</c:v>
                </c:pt>
                <c:pt idx="353">
                  <c:v>740</c:v>
                </c:pt>
                <c:pt idx="354">
                  <c:v>745</c:v>
                </c:pt>
                <c:pt idx="355">
                  <c:v>750</c:v>
                </c:pt>
                <c:pt idx="356">
                  <c:v>755</c:v>
                </c:pt>
                <c:pt idx="357">
                  <c:v>760</c:v>
                </c:pt>
                <c:pt idx="358">
                  <c:v>765</c:v>
                </c:pt>
                <c:pt idx="359">
                  <c:v>770</c:v>
                </c:pt>
                <c:pt idx="360">
                  <c:v>775</c:v>
                </c:pt>
                <c:pt idx="361">
                  <c:v>780</c:v>
                </c:pt>
                <c:pt idx="362">
                  <c:v>785</c:v>
                </c:pt>
                <c:pt idx="363">
                  <c:v>790</c:v>
                </c:pt>
                <c:pt idx="364">
                  <c:v>795</c:v>
                </c:pt>
                <c:pt idx="365">
                  <c:v>800</c:v>
                </c:pt>
                <c:pt idx="366">
                  <c:v>805</c:v>
                </c:pt>
                <c:pt idx="367">
                  <c:v>810</c:v>
                </c:pt>
                <c:pt idx="368">
                  <c:v>815</c:v>
                </c:pt>
                <c:pt idx="369">
                  <c:v>820</c:v>
                </c:pt>
                <c:pt idx="370">
                  <c:v>825</c:v>
                </c:pt>
                <c:pt idx="371">
                  <c:v>830</c:v>
                </c:pt>
                <c:pt idx="372">
                  <c:v>835</c:v>
                </c:pt>
                <c:pt idx="373">
                  <c:v>840</c:v>
                </c:pt>
                <c:pt idx="374">
                  <c:v>845</c:v>
                </c:pt>
                <c:pt idx="375">
                  <c:v>850</c:v>
                </c:pt>
                <c:pt idx="376">
                  <c:v>855</c:v>
                </c:pt>
                <c:pt idx="377">
                  <c:v>860</c:v>
                </c:pt>
                <c:pt idx="378">
                  <c:v>865</c:v>
                </c:pt>
                <c:pt idx="379">
                  <c:v>870</c:v>
                </c:pt>
                <c:pt idx="380">
                  <c:v>875</c:v>
                </c:pt>
                <c:pt idx="381">
                  <c:v>880</c:v>
                </c:pt>
                <c:pt idx="382">
                  <c:v>885</c:v>
                </c:pt>
                <c:pt idx="383">
                  <c:v>890</c:v>
                </c:pt>
                <c:pt idx="384">
                  <c:v>895</c:v>
                </c:pt>
                <c:pt idx="385">
                  <c:v>900</c:v>
                </c:pt>
                <c:pt idx="386">
                  <c:v>905</c:v>
                </c:pt>
                <c:pt idx="387">
                  <c:v>910</c:v>
                </c:pt>
                <c:pt idx="388">
                  <c:v>915</c:v>
                </c:pt>
                <c:pt idx="389">
                  <c:v>920</c:v>
                </c:pt>
                <c:pt idx="390">
                  <c:v>925</c:v>
                </c:pt>
                <c:pt idx="391">
                  <c:v>930</c:v>
                </c:pt>
                <c:pt idx="392">
                  <c:v>935</c:v>
                </c:pt>
                <c:pt idx="393">
                  <c:v>940</c:v>
                </c:pt>
                <c:pt idx="394">
                  <c:v>945</c:v>
                </c:pt>
                <c:pt idx="395">
                  <c:v>950</c:v>
                </c:pt>
                <c:pt idx="396">
                  <c:v>955</c:v>
                </c:pt>
                <c:pt idx="397">
                  <c:v>960</c:v>
                </c:pt>
                <c:pt idx="398">
                  <c:v>965</c:v>
                </c:pt>
                <c:pt idx="399">
                  <c:v>970</c:v>
                </c:pt>
                <c:pt idx="400">
                  <c:v>975</c:v>
                </c:pt>
                <c:pt idx="401">
                  <c:v>980</c:v>
                </c:pt>
                <c:pt idx="402">
                  <c:v>985</c:v>
                </c:pt>
                <c:pt idx="403">
                  <c:v>990</c:v>
                </c:pt>
                <c:pt idx="404">
                  <c:v>995</c:v>
                </c:pt>
                <c:pt idx="405">
                  <c:v>1000</c:v>
                </c:pt>
                <c:pt idx="406">
                  <c:v>1005</c:v>
                </c:pt>
                <c:pt idx="407">
                  <c:v>1010</c:v>
                </c:pt>
                <c:pt idx="408">
                  <c:v>1015</c:v>
                </c:pt>
                <c:pt idx="409">
                  <c:v>1020</c:v>
                </c:pt>
                <c:pt idx="410">
                  <c:v>1025</c:v>
                </c:pt>
                <c:pt idx="411">
                  <c:v>1030</c:v>
                </c:pt>
                <c:pt idx="412">
                  <c:v>1035</c:v>
                </c:pt>
                <c:pt idx="413">
                  <c:v>1040</c:v>
                </c:pt>
                <c:pt idx="414">
                  <c:v>1045</c:v>
                </c:pt>
                <c:pt idx="415">
                  <c:v>1050</c:v>
                </c:pt>
                <c:pt idx="416">
                  <c:v>1055</c:v>
                </c:pt>
                <c:pt idx="417">
                  <c:v>1060</c:v>
                </c:pt>
                <c:pt idx="418">
                  <c:v>1065</c:v>
                </c:pt>
                <c:pt idx="419">
                  <c:v>1070</c:v>
                </c:pt>
                <c:pt idx="420">
                  <c:v>1075</c:v>
                </c:pt>
                <c:pt idx="421">
                  <c:v>1080</c:v>
                </c:pt>
                <c:pt idx="422">
                  <c:v>1085</c:v>
                </c:pt>
                <c:pt idx="423">
                  <c:v>1090</c:v>
                </c:pt>
                <c:pt idx="424">
                  <c:v>1095</c:v>
                </c:pt>
                <c:pt idx="425">
                  <c:v>1100</c:v>
                </c:pt>
                <c:pt idx="426">
                  <c:v>1105</c:v>
                </c:pt>
                <c:pt idx="427">
                  <c:v>1110</c:v>
                </c:pt>
                <c:pt idx="428">
                  <c:v>1115</c:v>
                </c:pt>
                <c:pt idx="429">
                  <c:v>1120</c:v>
                </c:pt>
                <c:pt idx="430">
                  <c:v>1125</c:v>
                </c:pt>
                <c:pt idx="431">
                  <c:v>1130</c:v>
                </c:pt>
                <c:pt idx="432">
                  <c:v>1135</c:v>
                </c:pt>
                <c:pt idx="433">
                  <c:v>1140</c:v>
                </c:pt>
                <c:pt idx="434">
                  <c:v>1145</c:v>
                </c:pt>
                <c:pt idx="435">
                  <c:v>1150</c:v>
                </c:pt>
                <c:pt idx="436">
                  <c:v>1155</c:v>
                </c:pt>
                <c:pt idx="437">
                  <c:v>1160</c:v>
                </c:pt>
                <c:pt idx="438">
                  <c:v>1165</c:v>
                </c:pt>
                <c:pt idx="439">
                  <c:v>1170</c:v>
                </c:pt>
                <c:pt idx="440">
                  <c:v>1175</c:v>
                </c:pt>
                <c:pt idx="441">
                  <c:v>1180</c:v>
                </c:pt>
                <c:pt idx="442">
                  <c:v>1185</c:v>
                </c:pt>
                <c:pt idx="443">
                  <c:v>1190</c:v>
                </c:pt>
                <c:pt idx="444">
                  <c:v>1195</c:v>
                </c:pt>
                <c:pt idx="445">
                  <c:v>1200</c:v>
                </c:pt>
                <c:pt idx="446">
                  <c:v>1205</c:v>
                </c:pt>
                <c:pt idx="447">
                  <c:v>1210</c:v>
                </c:pt>
                <c:pt idx="448">
                  <c:v>1215</c:v>
                </c:pt>
                <c:pt idx="449">
                  <c:v>1220</c:v>
                </c:pt>
                <c:pt idx="450">
                  <c:v>1225</c:v>
                </c:pt>
                <c:pt idx="451">
                  <c:v>1230</c:v>
                </c:pt>
                <c:pt idx="452">
                  <c:v>1235</c:v>
                </c:pt>
                <c:pt idx="453">
                  <c:v>1240</c:v>
                </c:pt>
                <c:pt idx="454">
                  <c:v>1245</c:v>
                </c:pt>
                <c:pt idx="455">
                  <c:v>1250</c:v>
                </c:pt>
                <c:pt idx="456">
                  <c:v>1255</c:v>
                </c:pt>
                <c:pt idx="457">
                  <c:v>1260</c:v>
                </c:pt>
                <c:pt idx="458">
                  <c:v>1265</c:v>
                </c:pt>
                <c:pt idx="459">
                  <c:v>1270</c:v>
                </c:pt>
                <c:pt idx="460">
                  <c:v>1275</c:v>
                </c:pt>
                <c:pt idx="461">
                  <c:v>1280</c:v>
                </c:pt>
                <c:pt idx="462">
                  <c:v>1285</c:v>
                </c:pt>
                <c:pt idx="463">
                  <c:v>1290</c:v>
                </c:pt>
                <c:pt idx="464">
                  <c:v>1295</c:v>
                </c:pt>
                <c:pt idx="465">
                  <c:v>1300</c:v>
                </c:pt>
                <c:pt idx="466">
                  <c:v>1305</c:v>
                </c:pt>
                <c:pt idx="467">
                  <c:v>1310</c:v>
                </c:pt>
                <c:pt idx="468">
                  <c:v>1315</c:v>
                </c:pt>
                <c:pt idx="469">
                  <c:v>1320</c:v>
                </c:pt>
                <c:pt idx="470">
                  <c:v>1325</c:v>
                </c:pt>
                <c:pt idx="471">
                  <c:v>1330</c:v>
                </c:pt>
                <c:pt idx="472">
                  <c:v>1335</c:v>
                </c:pt>
                <c:pt idx="473">
                  <c:v>1340</c:v>
                </c:pt>
                <c:pt idx="474">
                  <c:v>1345</c:v>
                </c:pt>
                <c:pt idx="475">
                  <c:v>1350</c:v>
                </c:pt>
                <c:pt idx="476">
                  <c:v>1355</c:v>
                </c:pt>
                <c:pt idx="477">
                  <c:v>1360</c:v>
                </c:pt>
                <c:pt idx="478">
                  <c:v>1365</c:v>
                </c:pt>
                <c:pt idx="479">
                  <c:v>1370</c:v>
                </c:pt>
                <c:pt idx="480">
                  <c:v>1375</c:v>
                </c:pt>
                <c:pt idx="481">
                  <c:v>1380</c:v>
                </c:pt>
                <c:pt idx="482">
                  <c:v>1385</c:v>
                </c:pt>
                <c:pt idx="483">
                  <c:v>1390</c:v>
                </c:pt>
                <c:pt idx="484">
                  <c:v>1395</c:v>
                </c:pt>
                <c:pt idx="485">
                  <c:v>1400</c:v>
                </c:pt>
                <c:pt idx="486">
                  <c:v>1405</c:v>
                </c:pt>
                <c:pt idx="487">
                  <c:v>1410</c:v>
                </c:pt>
                <c:pt idx="488">
                  <c:v>1415</c:v>
                </c:pt>
                <c:pt idx="489">
                  <c:v>1420</c:v>
                </c:pt>
                <c:pt idx="490">
                  <c:v>1425</c:v>
                </c:pt>
                <c:pt idx="491">
                  <c:v>1430</c:v>
                </c:pt>
                <c:pt idx="492">
                  <c:v>1435</c:v>
                </c:pt>
                <c:pt idx="493">
                  <c:v>1440</c:v>
                </c:pt>
                <c:pt idx="494">
                  <c:v>1445</c:v>
                </c:pt>
                <c:pt idx="495">
                  <c:v>1450</c:v>
                </c:pt>
                <c:pt idx="496">
                  <c:v>1455</c:v>
                </c:pt>
                <c:pt idx="497">
                  <c:v>1460</c:v>
                </c:pt>
                <c:pt idx="498">
                  <c:v>1465</c:v>
                </c:pt>
                <c:pt idx="499">
                  <c:v>1470</c:v>
                </c:pt>
                <c:pt idx="500">
                  <c:v>1475</c:v>
                </c:pt>
                <c:pt idx="501">
                  <c:v>1480</c:v>
                </c:pt>
                <c:pt idx="502">
                  <c:v>1485</c:v>
                </c:pt>
                <c:pt idx="503">
                  <c:v>1490</c:v>
                </c:pt>
                <c:pt idx="504">
                  <c:v>1495</c:v>
                </c:pt>
                <c:pt idx="505">
                  <c:v>1500</c:v>
                </c:pt>
                <c:pt idx="506">
                  <c:v>1505</c:v>
                </c:pt>
                <c:pt idx="507">
                  <c:v>1510</c:v>
                </c:pt>
                <c:pt idx="508">
                  <c:v>1515</c:v>
                </c:pt>
                <c:pt idx="509">
                  <c:v>1520</c:v>
                </c:pt>
                <c:pt idx="510">
                  <c:v>1525</c:v>
                </c:pt>
                <c:pt idx="511">
                  <c:v>1530</c:v>
                </c:pt>
                <c:pt idx="512">
                  <c:v>1535</c:v>
                </c:pt>
                <c:pt idx="513">
                  <c:v>1540</c:v>
                </c:pt>
                <c:pt idx="514">
                  <c:v>1545</c:v>
                </c:pt>
                <c:pt idx="515">
                  <c:v>1550</c:v>
                </c:pt>
                <c:pt idx="516">
                  <c:v>1555</c:v>
                </c:pt>
                <c:pt idx="517">
                  <c:v>1560</c:v>
                </c:pt>
                <c:pt idx="518">
                  <c:v>1565</c:v>
                </c:pt>
                <c:pt idx="519">
                  <c:v>1570</c:v>
                </c:pt>
                <c:pt idx="520">
                  <c:v>1575</c:v>
                </c:pt>
                <c:pt idx="521">
                  <c:v>1580</c:v>
                </c:pt>
                <c:pt idx="522">
                  <c:v>1585</c:v>
                </c:pt>
                <c:pt idx="523">
                  <c:v>1590</c:v>
                </c:pt>
                <c:pt idx="524">
                  <c:v>1595</c:v>
                </c:pt>
                <c:pt idx="525">
                  <c:v>1600</c:v>
                </c:pt>
                <c:pt idx="526">
                  <c:v>1605</c:v>
                </c:pt>
                <c:pt idx="527">
                  <c:v>1610</c:v>
                </c:pt>
                <c:pt idx="528">
                  <c:v>1615</c:v>
                </c:pt>
                <c:pt idx="529">
                  <c:v>1620</c:v>
                </c:pt>
                <c:pt idx="530">
                  <c:v>1625</c:v>
                </c:pt>
                <c:pt idx="531">
                  <c:v>1630</c:v>
                </c:pt>
                <c:pt idx="532">
                  <c:v>1635</c:v>
                </c:pt>
                <c:pt idx="533">
                  <c:v>1640</c:v>
                </c:pt>
                <c:pt idx="534">
                  <c:v>1645</c:v>
                </c:pt>
                <c:pt idx="535">
                  <c:v>1650</c:v>
                </c:pt>
                <c:pt idx="536">
                  <c:v>1655</c:v>
                </c:pt>
                <c:pt idx="537">
                  <c:v>1660</c:v>
                </c:pt>
                <c:pt idx="538">
                  <c:v>1665</c:v>
                </c:pt>
                <c:pt idx="539">
                  <c:v>1670</c:v>
                </c:pt>
                <c:pt idx="540">
                  <c:v>1675</c:v>
                </c:pt>
                <c:pt idx="541">
                  <c:v>1680</c:v>
                </c:pt>
                <c:pt idx="542">
                  <c:v>1685</c:v>
                </c:pt>
                <c:pt idx="543">
                  <c:v>1690</c:v>
                </c:pt>
                <c:pt idx="544">
                  <c:v>1695</c:v>
                </c:pt>
                <c:pt idx="545">
                  <c:v>1700</c:v>
                </c:pt>
                <c:pt idx="546">
                  <c:v>1705</c:v>
                </c:pt>
                <c:pt idx="547">
                  <c:v>1710</c:v>
                </c:pt>
                <c:pt idx="548">
                  <c:v>1715</c:v>
                </c:pt>
                <c:pt idx="549">
                  <c:v>1720</c:v>
                </c:pt>
                <c:pt idx="550">
                  <c:v>1725</c:v>
                </c:pt>
                <c:pt idx="551">
                  <c:v>1730</c:v>
                </c:pt>
                <c:pt idx="552">
                  <c:v>1735</c:v>
                </c:pt>
                <c:pt idx="553">
                  <c:v>1740</c:v>
                </c:pt>
                <c:pt idx="554">
                  <c:v>1745</c:v>
                </c:pt>
                <c:pt idx="555">
                  <c:v>1750</c:v>
                </c:pt>
                <c:pt idx="556">
                  <c:v>1755</c:v>
                </c:pt>
                <c:pt idx="557">
                  <c:v>1760</c:v>
                </c:pt>
                <c:pt idx="558">
                  <c:v>1765</c:v>
                </c:pt>
                <c:pt idx="559">
                  <c:v>1770</c:v>
                </c:pt>
                <c:pt idx="560">
                  <c:v>1775</c:v>
                </c:pt>
                <c:pt idx="561">
                  <c:v>1780</c:v>
                </c:pt>
                <c:pt idx="562">
                  <c:v>1785</c:v>
                </c:pt>
                <c:pt idx="563">
                  <c:v>1790</c:v>
                </c:pt>
                <c:pt idx="564">
                  <c:v>1795</c:v>
                </c:pt>
                <c:pt idx="565">
                  <c:v>1800</c:v>
                </c:pt>
                <c:pt idx="566">
                  <c:v>1805</c:v>
                </c:pt>
                <c:pt idx="567">
                  <c:v>1810</c:v>
                </c:pt>
                <c:pt idx="568">
                  <c:v>1815</c:v>
                </c:pt>
                <c:pt idx="569">
                  <c:v>1820</c:v>
                </c:pt>
                <c:pt idx="570">
                  <c:v>1825</c:v>
                </c:pt>
                <c:pt idx="571">
                  <c:v>1830</c:v>
                </c:pt>
                <c:pt idx="572">
                  <c:v>1835</c:v>
                </c:pt>
                <c:pt idx="573">
                  <c:v>1840</c:v>
                </c:pt>
                <c:pt idx="574">
                  <c:v>1845</c:v>
                </c:pt>
                <c:pt idx="575">
                  <c:v>1850</c:v>
                </c:pt>
                <c:pt idx="576">
                  <c:v>1855</c:v>
                </c:pt>
                <c:pt idx="577">
                  <c:v>1860</c:v>
                </c:pt>
                <c:pt idx="578">
                  <c:v>1865</c:v>
                </c:pt>
                <c:pt idx="579">
                  <c:v>1870</c:v>
                </c:pt>
                <c:pt idx="580">
                  <c:v>1875</c:v>
                </c:pt>
                <c:pt idx="581">
                  <c:v>1880</c:v>
                </c:pt>
                <c:pt idx="582">
                  <c:v>1885</c:v>
                </c:pt>
                <c:pt idx="583">
                  <c:v>1890</c:v>
                </c:pt>
                <c:pt idx="584">
                  <c:v>1895</c:v>
                </c:pt>
                <c:pt idx="585">
                  <c:v>1900</c:v>
                </c:pt>
                <c:pt idx="586">
                  <c:v>1905</c:v>
                </c:pt>
                <c:pt idx="587">
                  <c:v>1910</c:v>
                </c:pt>
                <c:pt idx="588">
                  <c:v>1915</c:v>
                </c:pt>
                <c:pt idx="589">
                  <c:v>1920</c:v>
                </c:pt>
                <c:pt idx="590">
                  <c:v>1925</c:v>
                </c:pt>
                <c:pt idx="591">
                  <c:v>1930</c:v>
                </c:pt>
                <c:pt idx="592">
                  <c:v>1935</c:v>
                </c:pt>
                <c:pt idx="593">
                  <c:v>1940</c:v>
                </c:pt>
                <c:pt idx="594">
                  <c:v>1945</c:v>
                </c:pt>
                <c:pt idx="595">
                  <c:v>1950</c:v>
                </c:pt>
                <c:pt idx="596">
                  <c:v>1955</c:v>
                </c:pt>
                <c:pt idx="597">
                  <c:v>1960</c:v>
                </c:pt>
                <c:pt idx="598">
                  <c:v>1965</c:v>
                </c:pt>
                <c:pt idx="599">
                  <c:v>1970</c:v>
                </c:pt>
                <c:pt idx="600">
                  <c:v>1975</c:v>
                </c:pt>
                <c:pt idx="601">
                  <c:v>1980</c:v>
                </c:pt>
                <c:pt idx="602">
                  <c:v>1985</c:v>
                </c:pt>
                <c:pt idx="603">
                  <c:v>1990</c:v>
                </c:pt>
                <c:pt idx="604">
                  <c:v>1995</c:v>
                </c:pt>
                <c:pt idx="605">
                  <c:v>2000</c:v>
                </c:pt>
                <c:pt idx="606">
                  <c:v>2250</c:v>
                </c:pt>
                <c:pt idx="607">
                  <c:v>2500</c:v>
                </c:pt>
                <c:pt idx="608">
                  <c:v>2750</c:v>
                </c:pt>
                <c:pt idx="609">
                  <c:v>3000</c:v>
                </c:pt>
                <c:pt idx="610">
                  <c:v>3250</c:v>
                </c:pt>
                <c:pt idx="611">
                  <c:v>3500</c:v>
                </c:pt>
                <c:pt idx="612">
                  <c:v>3750</c:v>
                </c:pt>
                <c:pt idx="613">
                  <c:v>4000</c:v>
                </c:pt>
                <c:pt idx="614">
                  <c:v>4250</c:v>
                </c:pt>
                <c:pt idx="615">
                  <c:v>4500</c:v>
                </c:pt>
                <c:pt idx="616">
                  <c:v>4750</c:v>
                </c:pt>
                <c:pt idx="617">
                  <c:v>5000</c:v>
                </c:pt>
                <c:pt idx="618">
                  <c:v>5100</c:v>
                </c:pt>
                <c:pt idx="619">
                  <c:v>5200</c:v>
                </c:pt>
                <c:pt idx="620">
                  <c:v>5300</c:v>
                </c:pt>
                <c:pt idx="621">
                  <c:v>5400</c:v>
                </c:pt>
                <c:pt idx="622">
                  <c:v>5500</c:v>
                </c:pt>
                <c:pt idx="623">
                  <c:v>5600</c:v>
                </c:pt>
                <c:pt idx="624">
                  <c:v>5700</c:v>
                </c:pt>
                <c:pt idx="625">
                  <c:v>5800</c:v>
                </c:pt>
                <c:pt idx="626">
                  <c:v>5900</c:v>
                </c:pt>
                <c:pt idx="627">
                  <c:v>6000</c:v>
                </c:pt>
                <c:pt idx="628">
                  <c:v>6100</c:v>
                </c:pt>
                <c:pt idx="629">
                  <c:v>6200</c:v>
                </c:pt>
                <c:pt idx="630">
                  <c:v>6300</c:v>
                </c:pt>
                <c:pt idx="631">
                  <c:v>6400</c:v>
                </c:pt>
                <c:pt idx="632">
                  <c:v>6500</c:v>
                </c:pt>
                <c:pt idx="633">
                  <c:v>6600</c:v>
                </c:pt>
                <c:pt idx="634">
                  <c:v>6700</c:v>
                </c:pt>
                <c:pt idx="635">
                  <c:v>6800</c:v>
                </c:pt>
                <c:pt idx="636">
                  <c:v>6900</c:v>
                </c:pt>
                <c:pt idx="637">
                  <c:v>7000</c:v>
                </c:pt>
                <c:pt idx="638">
                  <c:v>7100</c:v>
                </c:pt>
                <c:pt idx="639">
                  <c:v>7200</c:v>
                </c:pt>
                <c:pt idx="640">
                  <c:v>7300</c:v>
                </c:pt>
                <c:pt idx="641">
                  <c:v>7400</c:v>
                </c:pt>
                <c:pt idx="642">
                  <c:v>7500</c:v>
                </c:pt>
                <c:pt idx="643">
                  <c:v>7600</c:v>
                </c:pt>
                <c:pt idx="644">
                  <c:v>7700</c:v>
                </c:pt>
                <c:pt idx="645">
                  <c:v>7800</c:v>
                </c:pt>
                <c:pt idx="646">
                  <c:v>7900</c:v>
                </c:pt>
                <c:pt idx="647">
                  <c:v>8000</c:v>
                </c:pt>
                <c:pt idx="648">
                  <c:v>8100</c:v>
                </c:pt>
                <c:pt idx="649">
                  <c:v>8200</c:v>
                </c:pt>
                <c:pt idx="650">
                  <c:v>8300</c:v>
                </c:pt>
                <c:pt idx="651">
                  <c:v>8400</c:v>
                </c:pt>
                <c:pt idx="652">
                  <c:v>8500</c:v>
                </c:pt>
                <c:pt idx="653">
                  <c:v>8600</c:v>
                </c:pt>
                <c:pt idx="654">
                  <c:v>8700</c:v>
                </c:pt>
                <c:pt idx="655">
                  <c:v>8800</c:v>
                </c:pt>
                <c:pt idx="656">
                  <c:v>8900</c:v>
                </c:pt>
                <c:pt idx="657">
                  <c:v>9000</c:v>
                </c:pt>
                <c:pt idx="658">
                  <c:v>9100</c:v>
                </c:pt>
                <c:pt idx="659">
                  <c:v>9200</c:v>
                </c:pt>
                <c:pt idx="660">
                  <c:v>9300</c:v>
                </c:pt>
                <c:pt idx="661">
                  <c:v>9400</c:v>
                </c:pt>
                <c:pt idx="662">
                  <c:v>9500</c:v>
                </c:pt>
                <c:pt idx="663">
                  <c:v>9600</c:v>
                </c:pt>
                <c:pt idx="664">
                  <c:v>9700</c:v>
                </c:pt>
                <c:pt idx="665">
                  <c:v>9800</c:v>
                </c:pt>
                <c:pt idx="666">
                  <c:v>9900</c:v>
                </c:pt>
                <c:pt idx="667">
                  <c:v>10000</c:v>
                </c:pt>
              </c:numCache>
            </c:numRef>
          </c:xVal>
          <c:yVal>
            <c:numRef>
              <c:f>'Bode Plots Calculations'!$BG$9:$BG$676</c:f>
              <c:numCache>
                <c:formatCode>General</c:formatCode>
                <c:ptCount val="668"/>
                <c:pt idx="0">
                  <c:v>-81.758392145812948</c:v>
                </c:pt>
                <c:pt idx="1">
                  <c:v>-85.769716063774595</c:v>
                </c:pt>
                <c:pt idx="2">
                  <c:v>-87.07884710258466</c:v>
                </c:pt>
                <c:pt idx="3">
                  <c:v>-87.705183194534499</c:v>
                </c:pt>
                <c:pt idx="4">
                  <c:v>-88.057677864873085</c:v>
                </c:pt>
                <c:pt idx="5">
                  <c:v>-88.273102814802471</c:v>
                </c:pt>
                <c:pt idx="6">
                  <c:v>-88.410158603171595</c:v>
                </c:pt>
                <c:pt idx="7">
                  <c:v>-88.498217915950065</c:v>
                </c:pt>
                <c:pt idx="8">
                  <c:v>-88.553606406650616</c:v>
                </c:pt>
                <c:pt idx="9">
                  <c:v>-88.586122410694728</c:v>
                </c:pt>
                <c:pt idx="10">
                  <c:v>-88.408036513094714</c:v>
                </c:pt>
                <c:pt idx="11">
                  <c:v>-87.955562616611886</c:v>
                </c:pt>
                <c:pt idx="12">
                  <c:v>-87.434721861005727</c:v>
                </c:pt>
                <c:pt idx="13">
                  <c:v>-86.886799250554233</c:v>
                </c:pt>
                <c:pt idx="14">
                  <c:v>-86.325619555873743</c:v>
                </c:pt>
                <c:pt idx="15">
                  <c:v>-85.75716107754748</c:v>
                </c:pt>
                <c:pt idx="16">
                  <c:v>-85.184459232968308</c:v>
                </c:pt>
                <c:pt idx="17">
                  <c:v>-84.609241056010774</c:v>
                </c:pt>
                <c:pt idx="18">
                  <c:v>-84.032578949329491</c:v>
                </c:pt>
                <c:pt idx="19">
                  <c:v>-78.281487086506615</c:v>
                </c:pt>
                <c:pt idx="20">
                  <c:v>-72.679240643065285</c:v>
                </c:pt>
                <c:pt idx="21">
                  <c:v>-67.313787938032803</c:v>
                </c:pt>
                <c:pt idx="22">
                  <c:v>-62.236823620207637</c:v>
                </c:pt>
                <c:pt idx="23">
                  <c:v>-57.477425916877394</c:v>
                </c:pt>
                <c:pt idx="24">
                  <c:v>-53.046489339177413</c:v>
                </c:pt>
                <c:pt idx="25">
                  <c:v>-48.941006559462473</c:v>
                </c:pt>
                <c:pt idx="26">
                  <c:v>-45.148266919676409</c:v>
                </c:pt>
                <c:pt idx="27">
                  <c:v>-41.649514573453864</c:v>
                </c:pt>
                <c:pt idx="28">
                  <c:v>-27.785436612746683</c:v>
                </c:pt>
                <c:pt idx="29">
                  <c:v>-18.174632780703419</c:v>
                </c:pt>
                <c:pt idx="30">
                  <c:v>-11.160059209634516</c:v>
                </c:pt>
                <c:pt idx="31">
                  <c:v>-5.846805698256202</c:v>
                </c:pt>
                <c:pt idx="32">
                  <c:v>-1.7630377346075397</c:v>
                </c:pt>
                <c:pt idx="33">
                  <c:v>1.3379778402416291</c:v>
                </c:pt>
                <c:pt idx="34">
                  <c:v>3.5743547362506276</c:v>
                </c:pt>
                <c:pt idx="35">
                  <c:v>4.9794180958808543</c:v>
                </c:pt>
                <c:pt idx="36">
                  <c:v>5.5174964843562799</c:v>
                </c:pt>
                <c:pt idx="37">
                  <c:v>5.0820673893182464</c:v>
                </c:pt>
                <c:pt idx="38">
                  <c:v>3.4798468190795884</c:v>
                </c:pt>
                <c:pt idx="39">
                  <c:v>0.40297227187591755</c:v>
                </c:pt>
                <c:pt idx="40">
                  <c:v>-4.6000361555767793</c:v>
                </c:pt>
                <c:pt idx="41">
                  <c:v>-12.107007865133957</c:v>
                </c:pt>
                <c:pt idx="42">
                  <c:v>-22.617173505179963</c:v>
                </c:pt>
                <c:pt idx="43">
                  <c:v>-35.957837115271175</c:v>
                </c:pt>
                <c:pt idx="44">
                  <c:v>-50.61132024390232</c:v>
                </c:pt>
                <c:pt idx="45">
                  <c:v>-64.239993905588562</c:v>
                </c:pt>
                <c:pt idx="46">
                  <c:v>-75.313606414496519</c:v>
                </c:pt>
                <c:pt idx="47">
                  <c:v>-83.654040968366985</c:v>
                </c:pt>
                <c:pt idx="48">
                  <c:v>-89.768251920855008</c:v>
                </c:pt>
                <c:pt idx="49">
                  <c:v>-94.250833174120359</c:v>
                </c:pt>
                <c:pt idx="50">
                  <c:v>-97.576554602549024</c:v>
                </c:pt>
                <c:pt idx="51">
                  <c:v>-100.08356555393495</c:v>
                </c:pt>
                <c:pt idx="52">
                  <c:v>-102.00493678034053</c:v>
                </c:pt>
                <c:pt idx="53">
                  <c:v>-103.50107571930083</c:v>
                </c:pt>
                <c:pt idx="54">
                  <c:v>-104.68360435893889</c:v>
                </c:pt>
                <c:pt idx="55">
                  <c:v>-105.6314188701464</c:v>
                </c:pt>
                <c:pt idx="56">
                  <c:v>-106.40122436246983</c:v>
                </c:pt>
                <c:pt idx="57">
                  <c:v>-107.03444561358813</c:v>
                </c:pt>
                <c:pt idx="58">
                  <c:v>-107.56180833834742</c:v>
                </c:pt>
                <c:pt idx="59">
                  <c:v>-108.00642158384527</c:v>
                </c:pt>
                <c:pt idx="60">
                  <c:v>-108.38588573109266</c:v>
                </c:pt>
                <c:pt idx="61">
                  <c:v>-108.71375796148283</c:v>
                </c:pt>
                <c:pt idx="62">
                  <c:v>-109.00058729645063</c:v>
                </c:pt>
                <c:pt idx="63">
                  <c:v>-109.25465665254832</c:v>
                </c:pt>
                <c:pt idx="64">
                  <c:v>-109.48252233262717</c:v>
                </c:pt>
                <c:pt idx="65">
                  <c:v>-109.68941136759744</c:v>
                </c:pt>
                <c:pt idx="66">
                  <c:v>-109.87951769368559</c:v>
                </c:pt>
                <c:pt idx="67">
                  <c:v>-110.05622537948361</c:v>
                </c:pt>
                <c:pt idx="68">
                  <c:v>-110.22227859817936</c:v>
                </c:pt>
                <c:pt idx="69">
                  <c:v>-110.37991227565519</c:v>
                </c:pt>
                <c:pt idx="70">
                  <c:v>-110.53095339035143</c:v>
                </c:pt>
                <c:pt idx="71">
                  <c:v>-110.67690015208561</c:v>
                </c:pt>
                <c:pt idx="72">
                  <c:v>-110.81898435289072</c:v>
                </c:pt>
                <c:pt idx="73">
                  <c:v>-110.95822080606811</c:v>
                </c:pt>
                <c:pt idx="74">
                  <c:v>-111.09544679868978</c:v>
                </c:pt>
                <c:pt idx="75">
                  <c:v>-111.23135376217411</c:v>
                </c:pt>
                <c:pt idx="76">
                  <c:v>-111.36651283642989</c:v>
                </c:pt>
                <c:pt idx="77">
                  <c:v>-111.50139561096981</c:v>
                </c:pt>
                <c:pt idx="78">
                  <c:v>-111.63639103333276</c:v>
                </c:pt>
                <c:pt idx="79">
                  <c:v>-111.77181925432775</c:v>
                </c:pt>
                <c:pt idx="80">
                  <c:v>-111.90794301193876</c:v>
                </c:pt>
                <c:pt idx="81">
                  <c:v>-112.04497702749053</c:v>
                </c:pt>
                <c:pt idx="82">
                  <c:v>-112.18309578892828</c:v>
                </c:pt>
                <c:pt idx="83">
                  <c:v>-112.32244001952989</c:v>
                </c:pt>
                <c:pt idx="84">
                  <c:v>-112.4631220706912</c:v>
                </c:pt>
                <c:pt idx="85">
                  <c:v>-112.60523043062018</c:v>
                </c:pt>
                <c:pt idx="86">
                  <c:v>-112.74883350386378</c:v>
                </c:pt>
                <c:pt idx="87">
                  <c:v>-112.89398278733118</c:v>
                </c:pt>
                <c:pt idx="88">
                  <c:v>-113.04071554516719</c:v>
                </c:pt>
                <c:pt idx="89">
                  <c:v>-113.18905706617123</c:v>
                </c:pt>
                <c:pt idx="90">
                  <c:v>-113.33902257245796</c:v>
                </c:pt>
                <c:pt idx="91">
                  <c:v>-113.49061883594216</c:v>
                </c:pt>
                <c:pt idx="92">
                  <c:v>-113.64384554941361</c:v>
                </c:pt>
                <c:pt idx="93">
                  <c:v>-113.79869649097547</c:v>
                </c:pt>
                <c:pt idx="94">
                  <c:v>-113.95516051409226</c:v>
                </c:pt>
                <c:pt idx="95">
                  <c:v>-114.11322239014339</c:v>
                </c:pt>
                <c:pt idx="96">
                  <c:v>-114.27286352597716</c:v>
                </c:pt>
                <c:pt idx="97">
                  <c:v>-114.43406257532845</c:v>
                </c:pt>
                <c:pt idx="98">
                  <c:v>-114.5967959599579</c:v>
                </c:pt>
                <c:pt idx="99">
                  <c:v>-114.76103831387572</c:v>
                </c:pt>
                <c:pt idx="100">
                  <c:v>-114.92676286193584</c:v>
                </c:pt>
                <c:pt idx="101">
                  <c:v>-115.0939417423526</c:v>
                </c:pt>
                <c:pt idx="102">
                  <c:v>-115.2625462812414</c:v>
                </c:pt>
                <c:pt idx="103">
                  <c:v>-115.43254722606711</c:v>
                </c:pt>
                <c:pt idx="104">
                  <c:v>-115.60391494386215</c:v>
                </c:pt>
                <c:pt idx="105">
                  <c:v>-115.77661958921016</c:v>
                </c:pt>
                <c:pt idx="106">
                  <c:v>-115.95063124626652</c:v>
                </c:pt>
                <c:pt idx="107">
                  <c:v>-116.12592004846728</c:v>
                </c:pt>
                <c:pt idx="108">
                  <c:v>-116.3024562790559</c:v>
                </c:pt>
                <c:pt idx="109">
                  <c:v>-116.4802104551131</c:v>
                </c:pt>
                <c:pt idx="110">
                  <c:v>-116.65915339739593</c:v>
                </c:pt>
                <c:pt idx="111">
                  <c:v>-116.83925628797049</c:v>
                </c:pt>
                <c:pt idx="112">
                  <c:v>-117.02049071734561</c:v>
                </c:pt>
                <c:pt idx="113">
                  <c:v>-117.20282872258051</c:v>
                </c:pt>
                <c:pt idx="114">
                  <c:v>-117.38624281763639</c:v>
                </c:pt>
                <c:pt idx="115">
                  <c:v>-117.57070601706855</c:v>
                </c:pt>
                <c:pt idx="116">
                  <c:v>-117.75619185400733</c:v>
                </c:pt>
                <c:pt idx="117">
                  <c:v>-117.94267439324646</c:v>
                </c:pt>
                <c:pt idx="118">
                  <c:v>-118.13012824014886</c:v>
                </c:pt>
                <c:pt idx="119">
                  <c:v>-118.31852854598273</c:v>
                </c:pt>
                <c:pt idx="120">
                  <c:v>-118.50785101021981</c:v>
                </c:pt>
                <c:pt idx="121">
                  <c:v>-118.69807188025601</c:v>
                </c:pt>
                <c:pt idx="122">
                  <c:v>-118.88916794895289</c:v>
                </c:pt>
                <c:pt idx="123">
                  <c:v>-119.08111655034543</c:v>
                </c:pt>
                <c:pt idx="124">
                  <c:v>-119.27389555381541</c:v>
                </c:pt>
                <c:pt idx="125">
                  <c:v>-119.46748335698916</c:v>
                </c:pt>
                <c:pt idx="126">
                  <c:v>-119.66185887758395</c:v>
                </c:pt>
                <c:pt idx="127">
                  <c:v>-119.85700154439706</c:v>
                </c:pt>
                <c:pt idx="128">
                  <c:v>-120.05289128760533</c:v>
                </c:pt>
                <c:pt idx="129">
                  <c:v>-120.24950852851944</c:v>
                </c:pt>
                <c:pt idx="130">
                  <c:v>-120.44683416891846</c:v>
                </c:pt>
                <c:pt idx="131">
                  <c:v>-120.64484958007178</c:v>
                </c:pt>
                <c:pt idx="132">
                  <c:v>-120.84353659154091</c:v>
                </c:pt>
                <c:pt idx="133">
                  <c:v>-121.04287747984108</c:v>
                </c:pt>
                <c:pt idx="134">
                  <c:v>-121.24285495702944</c:v>
                </c:pt>
                <c:pt idx="135">
                  <c:v>-121.44345215927879</c:v>
                </c:pt>
                <c:pt idx="136">
                  <c:v>-121.64465263548578</c:v>
                </c:pt>
                <c:pt idx="137">
                  <c:v>-121.84644033595477</c:v>
                </c:pt>
                <c:pt idx="138">
                  <c:v>-122.04879960119314</c:v>
                </c:pt>
                <c:pt idx="139">
                  <c:v>-122.25171515084722</c:v>
                </c:pt>
                <c:pt idx="140">
                  <c:v>-122.45517207280294</c:v>
                </c:pt>
                <c:pt idx="141">
                  <c:v>-122.65915581247143</c:v>
                </c:pt>
                <c:pt idx="142">
                  <c:v>-122.86365216227625</c:v>
                </c:pt>
                <c:pt idx="143">
                  <c:v>-123.06864725135443</c:v>
                </c:pt>
                <c:pt idx="144">
                  <c:v>-123.27412753548248</c:v>
                </c:pt>
                <c:pt idx="145">
                  <c:v>-123.48007978723446</c:v>
                </c:pt>
                <c:pt idx="146">
                  <c:v>-123.68649108637821</c:v>
                </c:pt>
                <c:pt idx="147">
                  <c:v>-123.89334881051303</c:v>
                </c:pt>
                <c:pt idx="148">
                  <c:v>-124.10064062595177</c:v>
                </c:pt>
                <c:pt idx="149">
                  <c:v>-124.30835447884807</c:v>
                </c:pt>
                <c:pt idx="150">
                  <c:v>-124.51647858656769</c:v>
                </c:pt>
                <c:pt idx="151">
                  <c:v>-124.72500142930444</c:v>
                </c:pt>
                <c:pt idx="152">
                  <c:v>-124.93391174193683</c:v>
                </c:pt>
                <c:pt idx="153">
                  <c:v>-125.14319850612446</c:v>
                </c:pt>
                <c:pt idx="154">
                  <c:v>-125.35285094263932</c:v>
                </c:pt>
                <c:pt idx="155">
                  <c:v>-125.56285850392983</c:v>
                </c:pt>
                <c:pt idx="156">
                  <c:v>-125.77321086691157</c:v>
                </c:pt>
                <c:pt idx="157">
                  <c:v>-125.98389792598249</c:v>
                </c:pt>
                <c:pt idx="158">
                  <c:v>-126.19490978625574</c:v>
                </c:pt>
                <c:pt idx="159">
                  <c:v>-126.40623675700667</c:v>
                </c:pt>
                <c:pt idx="160">
                  <c:v>-126.61786934532844</c:v>
                </c:pt>
                <c:pt idx="161">
                  <c:v>-126.82979824999065</c:v>
                </c:pt>
                <c:pt idx="162">
                  <c:v>-127.04201435549675</c:v>
                </c:pt>
                <c:pt idx="163">
                  <c:v>-127.254508726334</c:v>
                </c:pt>
                <c:pt idx="164">
                  <c:v>-127.46727260141115</c:v>
                </c:pt>
                <c:pt idx="165">
                  <c:v>-127.68029738867901</c:v>
                </c:pt>
                <c:pt idx="166">
                  <c:v>-127.89357465992752</c:v>
                </c:pt>
                <c:pt idx="167">
                  <c:v>-128.10709614575521</c:v>
                </c:pt>
                <c:pt idx="168">
                  <c:v>-128.32085373070566</c:v>
                </c:pt>
                <c:pt idx="169">
                  <c:v>-128.53483944856595</c:v>
                </c:pt>
                <c:pt idx="170">
                  <c:v>-128.74904547782162</c:v>
                </c:pt>
                <c:pt idx="171">
                  <c:v>-128.9634641372642</c:v>
                </c:pt>
                <c:pt idx="172">
                  <c:v>-129.17808788174585</c:v>
                </c:pt>
                <c:pt idx="173">
                  <c:v>-129.39290929807694</c:v>
                </c:pt>
                <c:pt idx="174">
                  <c:v>-129.60792110106181</c:v>
                </c:pt>
                <c:pt idx="175">
                  <c:v>-129.82311612966802</c:v>
                </c:pt>
                <c:pt idx="176">
                  <c:v>-130.0384873433255</c:v>
                </c:pt>
                <c:pt idx="177">
                  <c:v>-130.25402781835069</c:v>
                </c:pt>
                <c:pt idx="178">
                  <c:v>-130.46973074449227</c:v>
                </c:pt>
                <c:pt idx="179">
                  <c:v>-130.68558942159368</c:v>
                </c:pt>
                <c:pt idx="180">
                  <c:v>-130.90159725636946</c:v>
                </c:pt>
                <c:pt idx="181">
                  <c:v>-131.11774775929109</c:v>
                </c:pt>
                <c:pt idx="182">
                  <c:v>-131.33403454157903</c:v>
                </c:pt>
                <c:pt idx="183">
                  <c:v>-131.55045131229735</c:v>
                </c:pt>
                <c:pt idx="184">
                  <c:v>-131.76699187554738</c:v>
                </c:pt>
                <c:pt idx="185">
                  <c:v>-131.98365012775739</c:v>
                </c:pt>
                <c:pt idx="186">
                  <c:v>-132.20042005506525</c:v>
                </c:pt>
                <c:pt idx="187">
                  <c:v>-132.41729573078996</c:v>
                </c:pt>
                <c:pt idx="188">
                  <c:v>-132.63427131299088</c:v>
                </c:pt>
                <c:pt idx="189">
                  <c:v>-132.85134104210977</c:v>
                </c:pt>
                <c:pt idx="190">
                  <c:v>-133.06849923869439</c:v>
                </c:pt>
                <c:pt idx="191">
                  <c:v>-133.28574030120043</c:v>
                </c:pt>
                <c:pt idx="192">
                  <c:v>-133.5030587038685</c:v>
                </c:pt>
                <c:pt idx="193">
                  <c:v>-133.72044899467511</c:v>
                </c:pt>
                <c:pt idx="194">
                  <c:v>-133.93790579335365</c:v>
                </c:pt>
                <c:pt idx="195">
                  <c:v>-134.15542378948436</c:v>
                </c:pt>
                <c:pt idx="196">
                  <c:v>-134.37299774064991</c:v>
                </c:pt>
                <c:pt idx="197">
                  <c:v>-134.59062247065529</c:v>
                </c:pt>
                <c:pt idx="198">
                  <c:v>-134.8082928678088</c:v>
                </c:pt>
                <c:pt idx="199">
                  <c:v>-135.02600388326385</c:v>
                </c:pt>
                <c:pt idx="200">
                  <c:v>-135.24375052941761</c:v>
                </c:pt>
                <c:pt idx="201">
                  <c:v>-135.46152787836553</c:v>
                </c:pt>
                <c:pt idx="202">
                  <c:v>-135.67933106041062</c:v>
                </c:pt>
                <c:pt idx="203">
                  <c:v>-135.89715526262393</c:v>
                </c:pt>
                <c:pt idx="204">
                  <c:v>-136.11499572745626</c:v>
                </c:pt>
                <c:pt idx="205">
                  <c:v>-136.33284775139825</c:v>
                </c:pt>
                <c:pt idx="206">
                  <c:v>-136.55070668368774</c:v>
                </c:pt>
                <c:pt idx="207">
                  <c:v>-136.76856792506297</c:v>
                </c:pt>
                <c:pt idx="208">
                  <c:v>-136.98642692655955</c:v>
                </c:pt>
                <c:pt idx="209">
                  <c:v>-137.20427918835031</c:v>
                </c:pt>
                <c:pt idx="210">
                  <c:v>-137.42212025862665</c:v>
                </c:pt>
                <c:pt idx="211">
                  <c:v>-137.63994573251921</c:v>
                </c:pt>
                <c:pt idx="212">
                  <c:v>-137.85775125105758</c:v>
                </c:pt>
                <c:pt idx="213">
                  <c:v>-138.07553250016733</c:v>
                </c:pt>
                <c:pt idx="214">
                  <c:v>-138.29328520970279</c:v>
                </c:pt>
                <c:pt idx="215">
                  <c:v>-138.51100515251511</c:v>
                </c:pt>
                <c:pt idx="216">
                  <c:v>-138.72868814355394</c:v>
                </c:pt>
                <c:pt idx="217">
                  <c:v>-138.94633003900159</c:v>
                </c:pt>
                <c:pt idx="218">
                  <c:v>-139.16392673543911</c:v>
                </c:pt>
                <c:pt idx="219">
                  <c:v>-139.38147416904255</c:v>
                </c:pt>
                <c:pt idx="220">
                  <c:v>-139.59896831480901</c:v>
                </c:pt>
                <c:pt idx="221">
                  <c:v>-139.81640518581096</c:v>
                </c:pt>
                <c:pt idx="222">
                  <c:v>-140.0337808324787</c:v>
                </c:pt>
                <c:pt idx="223">
                  <c:v>-140.25109134190876</c:v>
                </c:pt>
                <c:pt idx="224">
                  <c:v>-140.46833283719883</c:v>
                </c:pt>
                <c:pt idx="225">
                  <c:v>-140.68550147680725</c:v>
                </c:pt>
                <c:pt idx="226">
                  <c:v>-142.85235978784561</c:v>
                </c:pt>
                <c:pt idx="227">
                  <c:v>-145.00794841657876</c:v>
                </c:pt>
                <c:pt idx="228">
                  <c:v>-147.14893182522286</c:v>
                </c:pt>
                <c:pt idx="229">
                  <c:v>-149.27223792015627</c:v>
                </c:pt>
                <c:pt idx="230">
                  <c:v>-151.3750368772352</c:v>
                </c:pt>
                <c:pt idx="231">
                  <c:v>-153.45472782075885</c:v>
                </c:pt>
                <c:pt idx="232">
                  <c:v>-155.50893062879047</c:v>
                </c:pt>
                <c:pt idx="233">
                  <c:v>-157.53548083279804</c:v>
                </c:pt>
                <c:pt idx="234">
                  <c:v>-159.53242611067128</c:v>
                </c:pt>
                <c:pt idx="235">
                  <c:v>-161.49802328591028</c:v>
                </c:pt>
                <c:pt idx="236">
                  <c:v>-163.43073507249983</c:v>
                </c:pt>
                <c:pt idx="237">
                  <c:v>-165.32922606447602</c:v>
                </c:pt>
                <c:pt idx="238">
                  <c:v>-167.19235767464366</c:v>
                </c:pt>
                <c:pt idx="239">
                  <c:v>-169.01918188751253</c:v>
                </c:pt>
                <c:pt idx="240">
                  <c:v>-170.80893381415714</c:v>
                </c:pt>
                <c:pt idx="241">
                  <c:v>-172.56102312693471</c:v>
                </c:pt>
                <c:pt idx="242">
                  <c:v>-174.27502451468271</c:v>
                </c:pt>
                <c:pt idx="243">
                  <c:v>-175.95066733859653</c:v>
                </c:pt>
                <c:pt idx="244">
                  <c:v>-177.5878246896163</c:v>
                </c:pt>
                <c:pt idx="245">
                  <c:v>-179.1865020536876</c:v>
                </c:pt>
                <c:pt idx="246">
                  <c:v>-180.74682578524957</c:v>
                </c:pt>
                <c:pt idx="247">
                  <c:v>-182.26903157492259</c:v>
                </c:pt>
                <c:pt idx="248">
                  <c:v>-183.75345307736967</c:v>
                </c:pt>
                <c:pt idx="249">
                  <c:v>-185.20051084202194</c:v>
                </c:pt>
                <c:pt idx="250">
                  <c:v>-186.61070166466777</c:v>
                </c:pt>
                <c:pt idx="251">
                  <c:v>-187.98458845328105</c:v>
                </c:pt>
                <c:pt idx="252">
                  <c:v>-189.32279067798197</c:v>
                </c:pt>
                <c:pt idx="253">
                  <c:v>-190.62597545344153</c:v>
                </c:pt>
                <c:pt idx="254">
                  <c:v>-191.89484928281311</c:v>
                </c:pt>
                <c:pt idx="255">
                  <c:v>-193.13015047564136</c:v>
                </c:pt>
                <c:pt idx="256">
                  <c:v>-194.33264223821337</c:v>
                </c:pt>
                <c:pt idx="257">
                  <c:v>-195.50310642340287</c:v>
                </c:pt>
                <c:pt idx="258">
                  <c:v>-196.64233791804961</c:v>
                </c:pt>
                <c:pt idx="259">
                  <c:v>-197.75113963908279</c:v>
                </c:pt>
                <c:pt idx="260">
                  <c:v>-198.83031810468677</c:v>
                </c:pt>
                <c:pt idx="261">
                  <c:v>-199.88067954354986</c:v>
                </c:pt>
                <c:pt idx="262">
                  <c:v>-200.90302650336633</c:v>
                </c:pt>
                <c:pt idx="263">
                  <c:v>-201.89815491903838</c:v>
                </c:pt>
                <c:pt idx="264">
                  <c:v>-202.86685160120814</c:v>
                </c:pt>
                <c:pt idx="265">
                  <c:v>-203.80989210665192</c:v>
                </c:pt>
                <c:pt idx="266">
                  <c:v>-204.72803895350256</c:v>
                </c:pt>
                <c:pt idx="267">
                  <c:v>-205.62204014608727</c:v>
                </c:pt>
                <c:pt idx="268">
                  <c:v>-206.49262797625084</c:v>
                </c:pt>
                <c:pt idx="269">
                  <c:v>-207.34051807027359</c:v>
                </c:pt>
                <c:pt idx="270">
                  <c:v>-208.16640865280738</c:v>
                </c:pt>
                <c:pt idx="271">
                  <c:v>-208.97098000158169</c:v>
                </c:pt>
                <c:pt idx="272">
                  <c:v>-209.75489406891461</c:v>
                </c:pt>
                <c:pt idx="273">
                  <c:v>-210.51879424827652</c:v>
                </c:pt>
                <c:pt idx="274">
                  <c:v>-211.26330526626035</c:v>
                </c:pt>
                <c:pt idx="275">
                  <c:v>-211.98903318230069</c:v>
                </c:pt>
                <c:pt idx="276">
                  <c:v>-212.69656548033987</c:v>
                </c:pt>
                <c:pt idx="277">
                  <c:v>-213.38647123835909</c:v>
                </c:pt>
                <c:pt idx="278">
                  <c:v>-214.05930136327677</c:v>
                </c:pt>
                <c:pt idx="279">
                  <c:v>-214.71558888016139</c:v>
                </c:pt>
                <c:pt idx="280">
                  <c:v>-215.35584926602533</c:v>
                </c:pt>
                <c:pt idx="281">
                  <c:v>-215.98058081965564</c:v>
                </c:pt>
                <c:pt idx="282">
                  <c:v>-216.59026506001382</c:v>
                </c:pt>
                <c:pt idx="283">
                  <c:v>-217.18536714669909</c:v>
                </c:pt>
                <c:pt idx="284">
                  <c:v>-217.76633631683401</c:v>
                </c:pt>
                <c:pt idx="285">
                  <c:v>-218.33360633349812</c:v>
                </c:pt>
                <c:pt idx="286">
                  <c:v>-218.88759594152054</c:v>
                </c:pt>
                <c:pt idx="287">
                  <c:v>-219.42870932704582</c:v>
                </c:pt>
                <c:pt idx="288">
                  <c:v>-219.95733657782418</c:v>
                </c:pt>
                <c:pt idx="289">
                  <c:v>-220.47385414164503</c:v>
                </c:pt>
                <c:pt idx="290">
                  <c:v>-220.97862528075129</c:v>
                </c:pt>
                <c:pt idx="291">
                  <c:v>-221.47200052042959</c:v>
                </c:pt>
                <c:pt idx="292">
                  <c:v>-221.95431809029162</c:v>
                </c:pt>
                <c:pt idx="293">
                  <c:v>-222.4259043570369</c:v>
                </c:pt>
                <c:pt idx="294">
                  <c:v>-222.88707424772639</c:v>
                </c:pt>
                <c:pt idx="295">
                  <c:v>-223.33813166280558</c:v>
                </c:pt>
                <c:pt idx="296">
                  <c:v>-223.77936987829369</c:v>
                </c:pt>
                <c:pt idx="297">
                  <c:v>-224.21107193670989</c:v>
                </c:pt>
                <c:pt idx="298">
                  <c:v>-224.63351102644185</c:v>
                </c:pt>
                <c:pt idx="299">
                  <c:v>-225.046950849371</c:v>
                </c:pt>
                <c:pt idx="300">
                  <c:v>-225.45164597666891</c:v>
                </c:pt>
                <c:pt idx="301">
                  <c:v>-225.84784219275679</c:v>
                </c:pt>
                <c:pt idx="302">
                  <c:v>-226.2357768274905</c:v>
                </c:pt>
                <c:pt idx="303">
                  <c:v>-226.61567907668839</c:v>
                </c:pt>
                <c:pt idx="304">
                  <c:v>-226.98777031116813</c:v>
                </c:pt>
                <c:pt idx="305">
                  <c:v>-227.35226437449404</c:v>
                </c:pt>
                <c:pt idx="306">
                  <c:v>-227.7093678696711</c:v>
                </c:pt>
                <c:pt idx="307">
                  <c:v>-228.05928043504304</c:v>
                </c:pt>
                <c:pt idx="308">
                  <c:v>-228.40219500967217</c:v>
                </c:pt>
                <c:pt idx="309">
                  <c:v>-228.73829808849396</c:v>
                </c:pt>
                <c:pt idx="310">
                  <c:v>-229.06776996754746</c:v>
                </c:pt>
                <c:pt idx="311">
                  <c:v>-229.39078497959144</c:v>
                </c:pt>
                <c:pt idx="312">
                  <c:v>-229.70751172041827</c:v>
                </c:pt>
                <c:pt idx="313">
                  <c:v>-230.01811326618085</c:v>
                </c:pt>
                <c:pt idx="314">
                  <c:v>-230.32274738204541</c:v>
                </c:pt>
                <c:pt idx="315">
                  <c:v>-230.62156672248159</c:v>
                </c:pt>
                <c:pt idx="316">
                  <c:v>-230.91471902349727</c:v>
                </c:pt>
                <c:pt idx="317">
                  <c:v>-231.20234728712089</c:v>
                </c:pt>
                <c:pt idx="318">
                  <c:v>-231.48458995842603</c:v>
                </c:pt>
                <c:pt idx="319">
                  <c:v>-231.76158109539057</c:v>
                </c:pt>
                <c:pt idx="320">
                  <c:v>-232.03345053186996</c:v>
                </c:pt>
                <c:pt idx="321">
                  <c:v>-232.30032403396129</c:v>
                </c:pt>
                <c:pt idx="322">
                  <c:v>-232.56232345002331</c:v>
                </c:pt>
                <c:pt idx="323">
                  <c:v>-232.8195668546112</c:v>
                </c:pt>
                <c:pt idx="324">
                  <c:v>-233.07216868657551</c:v>
                </c:pt>
                <c:pt idx="325">
                  <c:v>-233.32023988156641</c:v>
                </c:pt>
                <c:pt idx="326">
                  <c:v>-233.56388799917548</c:v>
                </c:pt>
                <c:pt idx="327">
                  <c:v>-233.80321734494024</c:v>
                </c:pt>
                <c:pt idx="328">
                  <c:v>-234.03832908742575</c:v>
                </c:pt>
                <c:pt idx="329">
                  <c:v>-234.26932137059154</c:v>
                </c:pt>
                <c:pt idx="330">
                  <c:v>-234.49628942164281</c:v>
                </c:pt>
                <c:pt idx="331">
                  <c:v>-234.71932565455768</c:v>
                </c:pt>
                <c:pt idx="332">
                  <c:v>-234.9385197694738</c:v>
                </c:pt>
                <c:pt idx="333">
                  <c:v>-235.15395884811056</c:v>
                </c:pt>
                <c:pt idx="334">
                  <c:v>-235.36572744539583</c:v>
                </c:pt>
                <c:pt idx="335">
                  <c:v>-235.57390767745852</c:v>
                </c:pt>
                <c:pt idx="336">
                  <c:v>-235.77857930614263</c:v>
                </c:pt>
                <c:pt idx="337">
                  <c:v>-235.97981982019058</c:v>
                </c:pt>
                <c:pt idx="338">
                  <c:v>-236.17770451323787</c:v>
                </c:pt>
                <c:pt idx="339">
                  <c:v>-236.37230655875496</c:v>
                </c:pt>
                <c:pt idx="340">
                  <c:v>-236.56369708206597</c:v>
                </c:pt>
                <c:pt idx="341">
                  <c:v>-236.75194522956929</c:v>
                </c:pt>
                <c:pt idx="342">
                  <c:v>-236.93711823527775</c:v>
                </c:pt>
                <c:pt idx="343">
                  <c:v>-237.11928148479282</c:v>
                </c:pt>
                <c:pt idx="344">
                  <c:v>-237.29849857682137</c:v>
                </c:pt>
                <c:pt idx="345">
                  <c:v>-237.47483138233812</c:v>
                </c:pt>
                <c:pt idx="346">
                  <c:v>-237.64834010149352</c:v>
                </c:pt>
                <c:pt idx="347">
                  <c:v>-237.81908331836209</c:v>
                </c:pt>
                <c:pt idx="348">
                  <c:v>-237.9871180536212</c:v>
                </c:pt>
                <c:pt idx="349">
                  <c:v>-238.15249981524704</c:v>
                </c:pt>
                <c:pt idx="350">
                  <c:v>-238.31528264731099</c:v>
                </c:pt>
                <c:pt idx="351">
                  <c:v>-238.47551917695483</c:v>
                </c:pt>
                <c:pt idx="352">
                  <c:v>-238.63326065962067</c:v>
                </c:pt>
                <c:pt idx="353">
                  <c:v>-238.78855702260785</c:v>
                </c:pt>
                <c:pt idx="354">
                  <c:v>-238.94145690702524</c:v>
                </c:pt>
                <c:pt idx="355">
                  <c:v>-239.0920077082063</c:v>
                </c:pt>
                <c:pt idx="356">
                  <c:v>-239.24025561464759</c:v>
                </c:pt>
                <c:pt idx="357">
                  <c:v>-239.38624564553373</c:v>
                </c:pt>
                <c:pt idx="358">
                  <c:v>-239.53002168690386</c:v>
                </c:pt>
                <c:pt idx="359">
                  <c:v>-239.67162652651638</c:v>
                </c:pt>
                <c:pt idx="360">
                  <c:v>-239.81110188746405</c:v>
                </c:pt>
                <c:pt idx="361">
                  <c:v>-239.9484884605894</c:v>
                </c:pt>
                <c:pt idx="362">
                  <c:v>-240.08382593574891</c:v>
                </c:pt>
                <c:pt idx="363">
                  <c:v>-240.2171530319722</c:v>
                </c:pt>
                <c:pt idx="364">
                  <c:v>-240.34850752655973</c:v>
                </c:pt>
                <c:pt idx="365">
                  <c:v>-240.47792628316145</c:v>
                </c:pt>
                <c:pt idx="366">
                  <c:v>-240.60544527887657</c:v>
                </c:pt>
                <c:pt idx="367">
                  <c:v>-240.73109963041281</c:v>
                </c:pt>
                <c:pt idx="368">
                  <c:v>-240.85492361934249</c:v>
                </c:pt>
                <c:pt idx="369">
                  <c:v>-240.97695071648988</c:v>
                </c:pt>
                <c:pt idx="370">
                  <c:v>-241.09721360548494</c:v>
                </c:pt>
                <c:pt idx="371">
                  <c:v>-241.21574420551377</c:v>
                </c:pt>
                <c:pt idx="372">
                  <c:v>-241.33257369329908</c:v>
                </c:pt>
                <c:pt idx="373">
                  <c:v>-241.44773252433819</c:v>
                </c:pt>
                <c:pt idx="374">
                  <c:v>-241.56125045342853</c:v>
                </c:pt>
                <c:pt idx="375">
                  <c:v>-241.67315655450633</c:v>
                </c:pt>
                <c:pt idx="376">
                  <c:v>-241.78347923982645</c:v>
                </c:pt>
                <c:pt idx="377">
                  <c:v>-241.89224627850626</c:v>
                </c:pt>
                <c:pt idx="378">
                  <c:v>-241.99948481445864</c:v>
                </c:pt>
                <c:pt idx="379">
                  <c:v>-242.10522138373705</c:v>
                </c:pt>
                <c:pt idx="380">
                  <c:v>-242.20948193131403</c:v>
                </c:pt>
                <c:pt idx="381">
                  <c:v>-242.31229182731451</c:v>
                </c:pt>
                <c:pt idx="382">
                  <c:v>-242.41367588272428</c:v>
                </c:pt>
                <c:pt idx="383">
                  <c:v>-242.51365836459266</c:v>
                </c:pt>
                <c:pt idx="384">
                  <c:v>-242.6122630107478</c:v>
                </c:pt>
                <c:pt idx="385">
                  <c:v>-242.70951304404312</c:v>
                </c:pt>
                <c:pt idx="386">
                  <c:v>-242.80543118615083</c:v>
                </c:pt>
                <c:pt idx="387">
                  <c:v>-242.90003967092059</c:v>
                </c:pt>
                <c:pt idx="388">
                  <c:v>-242.99336025731679</c:v>
                </c:pt>
                <c:pt idx="389">
                  <c:v>-243.08541424195184</c:v>
                </c:pt>
                <c:pt idx="390">
                  <c:v>-243.17622247122824</c:v>
                </c:pt>
                <c:pt idx="391">
                  <c:v>-243.2658053531043</c:v>
                </c:pt>
                <c:pt idx="392">
                  <c:v>-243.35418286849648</c:v>
                </c:pt>
                <c:pt idx="393">
                  <c:v>-243.44137458233115</c:v>
                </c:pt>
                <c:pt idx="394">
                  <c:v>-243.52739965425883</c:v>
                </c:pt>
                <c:pt idx="395">
                  <c:v>-243.61227684904094</c:v>
                </c:pt>
                <c:pt idx="396">
                  <c:v>-243.69602454662299</c:v>
                </c:pt>
                <c:pt idx="397">
                  <c:v>-243.77866075190281</c:v>
                </c:pt>
                <c:pt idx="398">
                  <c:v>-243.86020310420571</c:v>
                </c:pt>
                <c:pt idx="399">
                  <c:v>-243.94066888647629</c:v>
                </c:pt>
                <c:pt idx="400">
                  <c:v>-244.02007503419651</c:v>
                </c:pt>
                <c:pt idx="401">
                  <c:v>-244.09843814403931</c:v>
                </c:pt>
                <c:pt idx="402">
                  <c:v>-244.17577448226737</c:v>
                </c:pt>
                <c:pt idx="403">
                  <c:v>-244.25209999288444</c:v>
                </c:pt>
                <c:pt idx="404">
                  <c:v>-244.32743030554917</c:v>
                </c:pt>
                <c:pt idx="405">
                  <c:v>-244.40178074325777</c:v>
                </c:pt>
                <c:pt idx="406">
                  <c:v>-244.47516632980469</c:v>
                </c:pt>
                <c:pt idx="407">
                  <c:v>-244.54760179702737</c:v>
                </c:pt>
                <c:pt idx="408">
                  <c:v>-244.61910159184347</c:v>
                </c:pt>
                <c:pt idx="409">
                  <c:v>-244.68967988308643</c:v>
                </c:pt>
                <c:pt idx="410">
                  <c:v>-244.75935056814666</c:v>
                </c:pt>
                <c:pt idx="411">
                  <c:v>-244.82812727942422</c:v>
                </c:pt>
                <c:pt idx="412">
                  <c:v>-244.89602339059954</c:v>
                </c:pt>
                <c:pt idx="413">
                  <c:v>-244.96305202272785</c:v>
                </c:pt>
                <c:pt idx="414">
                  <c:v>-245.02922605016317</c:v>
                </c:pt>
                <c:pt idx="415">
                  <c:v>-245.09455810631698</c:v>
                </c:pt>
                <c:pt idx="416">
                  <c:v>-245.15906058925759</c:v>
                </c:pt>
                <c:pt idx="417">
                  <c:v>-245.22274566715436</c:v>
                </c:pt>
                <c:pt idx="418">
                  <c:v>-245.28562528357284</c:v>
                </c:pt>
                <c:pt idx="419">
                  <c:v>-245.34771116262388</c:v>
                </c:pt>
                <c:pt idx="420">
                  <c:v>-245.4090148139737</c:v>
                </c:pt>
                <c:pt idx="421">
                  <c:v>-245.46954753771666</c:v>
                </c:pt>
                <c:pt idx="422">
                  <c:v>-245.52932042911712</c:v>
                </c:pt>
                <c:pt idx="423">
                  <c:v>-245.58834438322322</c:v>
                </c:pt>
                <c:pt idx="424">
                  <c:v>-245.64663009935711</c:v>
                </c:pt>
                <c:pt idx="425">
                  <c:v>-245.70418808548527</c:v>
                </c:pt>
                <c:pt idx="426">
                  <c:v>-245.761028662473</c:v>
                </c:pt>
                <c:pt idx="427">
                  <c:v>-245.81716196822529</c:v>
                </c:pt>
                <c:pt idx="428">
                  <c:v>-245.87259796171995</c:v>
                </c:pt>
                <c:pt idx="429">
                  <c:v>-245.92734642693355</c:v>
                </c:pt>
                <c:pt idx="430">
                  <c:v>-245.98141697666543</c:v>
                </c:pt>
                <c:pt idx="431">
                  <c:v>-246.03481905626211</c:v>
                </c:pt>
                <c:pt idx="432">
                  <c:v>-246.08756194724469</c:v>
                </c:pt>
                <c:pt idx="433">
                  <c:v>-246.13965477084332</c:v>
                </c:pt>
                <c:pt idx="434">
                  <c:v>-246.19110649143968</c:v>
                </c:pt>
                <c:pt idx="435">
                  <c:v>-246.24192591992249</c:v>
                </c:pt>
                <c:pt idx="436">
                  <c:v>-246.29212171695676</c:v>
                </c:pt>
                <c:pt idx="437">
                  <c:v>-246.34170239616958</c:v>
                </c:pt>
                <c:pt idx="438">
                  <c:v>-246.39067632725653</c:v>
                </c:pt>
                <c:pt idx="439">
                  <c:v>-246.43905173900842</c:v>
                </c:pt>
                <c:pt idx="440">
                  <c:v>-246.48683672226304</c:v>
                </c:pt>
                <c:pt idx="441">
                  <c:v>-246.53403923278253</c:v>
                </c:pt>
                <c:pt idx="442">
                  <c:v>-246.58066709405966</c:v>
                </c:pt>
                <c:pt idx="443">
                  <c:v>-246.6267280000537</c:v>
                </c:pt>
                <c:pt idx="444">
                  <c:v>-246.67222951785948</c:v>
                </c:pt>
                <c:pt idx="445">
                  <c:v>-246.7171790903104</c:v>
                </c:pt>
                <c:pt idx="446">
                  <c:v>-246.76158403851761</c:v>
                </c:pt>
                <c:pt idx="447">
                  <c:v>-246.80545156434738</c:v>
                </c:pt>
                <c:pt idx="448">
                  <c:v>-246.84878875283806</c:v>
                </c:pt>
                <c:pt idx="449">
                  <c:v>-246.8916025745585</c:v>
                </c:pt>
                <c:pt idx="450">
                  <c:v>-246.93389988790963</c:v>
                </c:pt>
                <c:pt idx="451">
                  <c:v>-246.97568744137078</c:v>
                </c:pt>
                <c:pt idx="452">
                  <c:v>-247.01697187569189</c:v>
                </c:pt>
                <c:pt idx="453">
                  <c:v>-247.05775972603391</c:v>
                </c:pt>
                <c:pt idx="454">
                  <c:v>-247.098057424058</c:v>
                </c:pt>
                <c:pt idx="455">
                  <c:v>-247.1378712999653</c:v>
                </c:pt>
                <c:pt idx="456">
                  <c:v>-247.17720758448868</c:v>
                </c:pt>
                <c:pt idx="457">
                  <c:v>-247.2160724108378</c:v>
                </c:pt>
                <c:pt idx="458">
                  <c:v>-247.25447181659831</c:v>
                </c:pt>
                <c:pt idx="459">
                  <c:v>-247.2924117455872</c:v>
                </c:pt>
                <c:pt idx="460">
                  <c:v>-247.32989804966485</c:v>
                </c:pt>
                <c:pt idx="461">
                  <c:v>-247.366936490505</c:v>
                </c:pt>
                <c:pt idx="462">
                  <c:v>-247.40353274132428</c:v>
                </c:pt>
                <c:pt idx="463">
                  <c:v>-247.43969238857147</c:v>
                </c:pt>
                <c:pt idx="464">
                  <c:v>-247.47542093357896</c:v>
                </c:pt>
                <c:pt idx="465">
                  <c:v>-247.51072379417556</c:v>
                </c:pt>
                <c:pt idx="466">
                  <c:v>-247.54560630626344</c:v>
                </c:pt>
                <c:pt idx="467">
                  <c:v>-247.58007372535894</c:v>
                </c:pt>
                <c:pt idx="468">
                  <c:v>-247.6141312280991</c:v>
                </c:pt>
                <c:pt idx="469">
                  <c:v>-247.64778391371379</c:v>
                </c:pt>
                <c:pt idx="470">
                  <c:v>-247.68103680546511</c:v>
                </c:pt>
                <c:pt idx="471">
                  <c:v>-247.71389485205503</c:v>
                </c:pt>
                <c:pt idx="472">
                  <c:v>-247.74636292900141</c:v>
                </c:pt>
                <c:pt idx="473">
                  <c:v>-247.77844583998316</c:v>
                </c:pt>
                <c:pt idx="474">
                  <c:v>-247.81014831815691</c:v>
                </c:pt>
                <c:pt idx="475">
                  <c:v>-247.84147502744335</c:v>
                </c:pt>
                <c:pt idx="476">
                  <c:v>-247.87243056378659</c:v>
                </c:pt>
                <c:pt idx="477">
                  <c:v>-247.90301945638501</c:v>
                </c:pt>
                <c:pt idx="478">
                  <c:v>-247.93324616889626</c:v>
                </c:pt>
                <c:pt idx="479">
                  <c:v>-247.9631151006154</c:v>
                </c:pt>
                <c:pt idx="480">
                  <c:v>-247.99263058762804</c:v>
                </c:pt>
                <c:pt idx="481">
                  <c:v>-248.02179690393876</c:v>
                </c:pt>
                <c:pt idx="482">
                  <c:v>-248.0506182625748</c:v>
                </c:pt>
                <c:pt idx="483">
                  <c:v>-248.07909881666671</c:v>
                </c:pt>
                <c:pt idx="484">
                  <c:v>-248.10724266050573</c:v>
                </c:pt>
                <c:pt idx="485">
                  <c:v>-248.13505383057881</c:v>
                </c:pt>
                <c:pt idx="486">
                  <c:v>-248.16253630658161</c:v>
                </c:pt>
                <c:pt idx="487">
                  <c:v>-248.18969401241046</c:v>
                </c:pt>
                <c:pt idx="488">
                  <c:v>-248.21653081713328</c:v>
                </c:pt>
                <c:pt idx="489">
                  <c:v>-248.24305053594014</c:v>
                </c:pt>
                <c:pt idx="490">
                  <c:v>-248.26925693107407</c:v>
                </c:pt>
                <c:pt idx="491">
                  <c:v>-248.29515371274258</c:v>
                </c:pt>
                <c:pt idx="492">
                  <c:v>-248.32074454001031</c:v>
                </c:pt>
                <c:pt idx="493">
                  <c:v>-248.34603302167298</c:v>
                </c:pt>
                <c:pt idx="494">
                  <c:v>-248.37102271711399</c:v>
                </c:pt>
                <c:pt idx="495">
                  <c:v>-248.39571713714258</c:v>
                </c:pt>
                <c:pt idx="496">
                  <c:v>-248.42011974481574</c:v>
                </c:pt>
                <c:pt idx="497">
                  <c:v>-248.44423395624278</c:v>
                </c:pt>
                <c:pt idx="498">
                  <c:v>-248.46806314137382</c:v>
                </c:pt>
                <c:pt idx="499">
                  <c:v>-248.49161062477228</c:v>
                </c:pt>
                <c:pt idx="500">
                  <c:v>-248.51487968637204</c:v>
                </c:pt>
                <c:pt idx="501">
                  <c:v>-248.53787356221869</c:v>
                </c:pt>
                <c:pt idx="502">
                  <c:v>-248.56059544519707</c:v>
                </c:pt>
                <c:pt idx="503">
                  <c:v>-248.58304848574289</c:v>
                </c:pt>
                <c:pt idx="504">
                  <c:v>-248.60523579254161</c:v>
                </c:pt>
                <c:pt idx="505">
                  <c:v>-248.62716043321242</c:v>
                </c:pt>
                <c:pt idx="506">
                  <c:v>-248.64882543497922</c:v>
                </c:pt>
                <c:pt idx="507">
                  <c:v>-248.67023378532804</c:v>
                </c:pt>
                <c:pt idx="508">
                  <c:v>-248.69138843265222</c:v>
                </c:pt>
                <c:pt idx="509">
                  <c:v>-248.71229228688392</c:v>
                </c:pt>
                <c:pt idx="510">
                  <c:v>-248.73294822011439</c:v>
                </c:pt>
                <c:pt idx="511">
                  <c:v>-248.7533590672015</c:v>
                </c:pt>
                <c:pt idx="512">
                  <c:v>-248.77352762636562</c:v>
                </c:pt>
                <c:pt idx="513">
                  <c:v>-248.79345665977414</c:v>
                </c:pt>
                <c:pt idx="514">
                  <c:v>-248.81314889411468</c:v>
                </c:pt>
                <c:pt idx="515">
                  <c:v>-248.83260702115746</c:v>
                </c:pt>
                <c:pt idx="516">
                  <c:v>-248.85183369830622</c:v>
                </c:pt>
                <c:pt idx="517">
                  <c:v>-248.87083154913978</c:v>
                </c:pt>
                <c:pt idx="518">
                  <c:v>-248.88960316394216</c:v>
                </c:pt>
                <c:pt idx="519">
                  <c:v>-248.90815110022345</c:v>
                </c:pt>
                <c:pt idx="520">
                  <c:v>-248.92647788323063</c:v>
                </c:pt>
                <c:pt idx="521">
                  <c:v>-248.94458600644847</c:v>
                </c:pt>
                <c:pt idx="522">
                  <c:v>-248.96247793209136</c:v>
                </c:pt>
                <c:pt idx="523">
                  <c:v>-248.98015609158603</c:v>
                </c:pt>
                <c:pt idx="524">
                  <c:v>-248.99762288604475</c:v>
                </c:pt>
                <c:pt idx="525">
                  <c:v>-249.01488068673038</c:v>
                </c:pt>
                <c:pt idx="526">
                  <c:v>-249.03193183551244</c:v>
                </c:pt>
                <c:pt idx="527">
                  <c:v>-249.04877864531448</c:v>
                </c:pt>
                <c:pt idx="528">
                  <c:v>-249.06542340055412</c:v>
                </c:pt>
                <c:pt idx="529">
                  <c:v>-249.08186835757377</c:v>
                </c:pt>
                <c:pt idx="530">
                  <c:v>-249.0981157450648</c:v>
                </c:pt>
                <c:pt idx="531">
                  <c:v>-249.11416776448266</c:v>
                </c:pt>
                <c:pt idx="532">
                  <c:v>-249.13002659045551</c:v>
                </c:pt>
                <c:pt idx="533">
                  <c:v>-249.14569437118487</c:v>
                </c:pt>
                <c:pt idx="534">
                  <c:v>-249.16117322883923</c:v>
                </c:pt>
                <c:pt idx="535">
                  <c:v>-249.1764652599403</c:v>
                </c:pt>
                <c:pt idx="536">
                  <c:v>-249.19157253574292</c:v>
                </c:pt>
                <c:pt idx="537">
                  <c:v>-249.20649710260716</c:v>
                </c:pt>
                <c:pt idx="538">
                  <c:v>-249.22124098236506</c:v>
                </c:pt>
                <c:pt idx="539">
                  <c:v>-249.23580617267979</c:v>
                </c:pt>
                <c:pt idx="540">
                  <c:v>-249.2501946473989</c:v>
                </c:pt>
                <c:pt idx="541">
                  <c:v>-249.26440835690107</c:v>
                </c:pt>
                <c:pt idx="542">
                  <c:v>-249.27844922843718</c:v>
                </c:pt>
                <c:pt idx="543">
                  <c:v>-249.29231916646475</c:v>
                </c:pt>
                <c:pt idx="544">
                  <c:v>-249.30602005297726</c:v>
                </c:pt>
                <c:pt idx="545">
                  <c:v>-249.31955374782703</c:v>
                </c:pt>
                <c:pt idx="546">
                  <c:v>-249.33292208904288</c:v>
                </c:pt>
                <c:pt idx="547">
                  <c:v>-249.34612689314199</c:v>
                </c:pt>
                <c:pt idx="548">
                  <c:v>-249.35916995543664</c:v>
                </c:pt>
                <c:pt idx="549">
                  <c:v>-249.37205305033558</c:v>
                </c:pt>
                <c:pt idx="550">
                  <c:v>-249.38477793164</c:v>
                </c:pt>
                <c:pt idx="551">
                  <c:v>-249.39734633283456</c:v>
                </c:pt>
                <c:pt idx="552">
                  <c:v>-249.40975996737367</c:v>
                </c:pt>
                <c:pt idx="553">
                  <c:v>-249.42202052896226</c:v>
                </c:pt>
                <c:pt idx="554">
                  <c:v>-249.43412969183248</c:v>
                </c:pt>
                <c:pt idx="555">
                  <c:v>-249.44608911101531</c:v>
                </c:pt>
                <c:pt idx="556">
                  <c:v>-249.45790042260739</c:v>
                </c:pt>
                <c:pt idx="557">
                  <c:v>-249.46956524403416</c:v>
                </c:pt>
                <c:pt idx="558">
                  <c:v>-249.48108517430728</c:v>
                </c:pt>
                <c:pt idx="559">
                  <c:v>-249.49246179427914</c:v>
                </c:pt>
                <c:pt idx="560">
                  <c:v>-249.5036966668919</c:v>
                </c:pt>
                <c:pt idx="561">
                  <c:v>-249.5147913374233</c:v>
                </c:pt>
                <c:pt idx="562">
                  <c:v>-249.52574733372776</c:v>
                </c:pt>
                <c:pt idx="563">
                  <c:v>-249.53656616647385</c:v>
                </c:pt>
                <c:pt idx="564">
                  <c:v>-249.54724932937745</c:v>
                </c:pt>
                <c:pt idx="565">
                  <c:v>-249.55779829943165</c:v>
                </c:pt>
                <c:pt idx="566">
                  <c:v>-249.56821453713226</c:v>
                </c:pt>
                <c:pt idx="567">
                  <c:v>-249.5784994867</c:v>
                </c:pt>
                <c:pt idx="568">
                  <c:v>-249.58865457629889</c:v>
                </c:pt>
                <c:pt idx="569">
                  <c:v>-249.59868121825133</c:v>
                </c:pt>
                <c:pt idx="570">
                  <c:v>-249.60858080924902</c:v>
                </c:pt>
                <c:pt idx="571">
                  <c:v>-249.61835473056152</c:v>
                </c:pt>
                <c:pt idx="572">
                  <c:v>-249.62800434824049</c:v>
                </c:pt>
                <c:pt idx="573">
                  <c:v>-249.637531013321</c:v>
                </c:pt>
                <c:pt idx="574">
                  <c:v>-249.64693606201971</c:v>
                </c:pt>
                <c:pt idx="575">
                  <c:v>-249.65622081592971</c:v>
                </c:pt>
                <c:pt idx="576">
                  <c:v>-249.66538658221234</c:v>
                </c:pt>
                <c:pt idx="577">
                  <c:v>-249.67443465378571</c:v>
                </c:pt>
                <c:pt idx="578">
                  <c:v>-249.6833663095108</c:v>
                </c:pt>
                <c:pt idx="579">
                  <c:v>-249.69218281437409</c:v>
                </c:pt>
                <c:pt idx="580">
                  <c:v>-249.70088541966695</c:v>
                </c:pt>
                <c:pt idx="581">
                  <c:v>-249.70947536316348</c:v>
                </c:pt>
                <c:pt idx="582">
                  <c:v>-249.71795386929449</c:v>
                </c:pt>
                <c:pt idx="583">
                  <c:v>-249.72632214931869</c:v>
                </c:pt>
                <c:pt idx="584">
                  <c:v>-249.73458140149191</c:v>
                </c:pt>
                <c:pt idx="585">
                  <c:v>-249.7427328112334</c:v>
                </c:pt>
                <c:pt idx="586">
                  <c:v>-249.75077755128908</c:v>
                </c:pt>
                <c:pt idx="587">
                  <c:v>-249.75871678189307</c:v>
                </c:pt>
                <c:pt idx="588">
                  <c:v>-249.76655165092592</c:v>
                </c:pt>
                <c:pt idx="589">
                  <c:v>-249.77428329407113</c:v>
                </c:pt>
                <c:pt idx="590">
                  <c:v>-249.78191283496858</c:v>
                </c:pt>
                <c:pt idx="591">
                  <c:v>-249.78944138536633</c:v>
                </c:pt>
                <c:pt idx="592">
                  <c:v>-249.79687004526929</c:v>
                </c:pt>
                <c:pt idx="593">
                  <c:v>-249.80419990308624</c:v>
                </c:pt>
                <c:pt idx="594">
                  <c:v>-249.81143203577452</c:v>
                </c:pt>
                <c:pt idx="595">
                  <c:v>-249.81856750898223</c:v>
                </c:pt>
                <c:pt idx="596">
                  <c:v>-249.8256073771887</c:v>
                </c:pt>
                <c:pt idx="597">
                  <c:v>-249.83255268384227</c:v>
                </c:pt>
                <c:pt idx="598">
                  <c:v>-249.83940446149666</c:v>
                </c:pt>
                <c:pt idx="599">
                  <c:v>-249.84616373194484</c:v>
                </c:pt>
                <c:pt idx="600">
                  <c:v>-249.85283150635115</c:v>
                </c:pt>
                <c:pt idx="601">
                  <c:v>-249.85940878538091</c:v>
                </c:pt>
                <c:pt idx="602">
                  <c:v>-249.86589655932917</c:v>
                </c:pt>
                <c:pt idx="603">
                  <c:v>-249.87229580824638</c:v>
                </c:pt>
                <c:pt idx="604">
                  <c:v>-249.87860750206292</c:v>
                </c:pt>
                <c:pt idx="605">
                  <c:v>-249.88483260071172</c:v>
                </c:pt>
                <c:pt idx="606">
                  <c:v>-250.10430643324909</c:v>
                </c:pt>
                <c:pt idx="607">
                  <c:v>-250.19959024772018</c:v>
                </c:pt>
                <c:pt idx="608">
                  <c:v>-250.22910598772972</c:v>
                </c:pt>
                <c:pt idx="609">
                  <c:v>-250.22946567503871</c:v>
                </c:pt>
                <c:pt idx="610">
                  <c:v>-250.22366359991793</c:v>
                </c:pt>
                <c:pt idx="611">
                  <c:v>-250.22590207257727</c:v>
                </c:pt>
                <c:pt idx="612">
                  <c:v>-250.24458654080291</c:v>
                </c:pt>
                <c:pt idx="613">
                  <c:v>-250.28426119681376</c:v>
                </c:pt>
                <c:pt idx="614">
                  <c:v>-250.34689783788744</c:v>
                </c:pt>
                <c:pt idx="615">
                  <c:v>-250.43277204640765</c:v>
                </c:pt>
                <c:pt idx="616">
                  <c:v>-250.54106651059743</c:v>
                </c:pt>
                <c:pt idx="617">
                  <c:v>-250.67028894143684</c:v>
                </c:pt>
                <c:pt idx="618">
                  <c:v>-250.79428398733927</c:v>
                </c:pt>
                <c:pt idx="619">
                  <c:v>-250.91897146911444</c:v>
                </c:pt>
                <c:pt idx="620">
                  <c:v>-251.04434037552204</c:v>
                </c:pt>
                <c:pt idx="621">
                  <c:v>-251.17036856903931</c:v>
                </c:pt>
                <c:pt idx="622">
                  <c:v>-251.2970247723627</c:v>
                </c:pt>
                <c:pt idx="623">
                  <c:v>-251.42427028971974</c:v>
                </c:pt>
                <c:pt idx="624">
                  <c:v>-251.55206049627833</c:v>
                </c:pt>
                <c:pt idx="625">
                  <c:v>-251.68034612466781</c:v>
                </c:pt>
                <c:pt idx="626">
                  <c:v>-251.80907437393702</c:v>
                </c:pt>
                <c:pt idx="627">
                  <c:v>-251.93818986309259</c:v>
                </c:pt>
                <c:pt idx="628">
                  <c:v>-252.0676354485999</c:v>
                </c:pt>
                <c:pt idx="629">
                  <c:v>-252.19735292283573</c:v>
                </c:pt>
                <c:pt idx="630">
                  <c:v>-252.32728360839315</c:v>
                </c:pt>
                <c:pt idx="631">
                  <c:v>-252.45736886132337</c:v>
                </c:pt>
                <c:pt idx="632">
                  <c:v>-252.5875504948082</c:v>
                </c:pt>
                <c:pt idx="633">
                  <c:v>-252.7177711333666</c:v>
                </c:pt>
                <c:pt idx="634">
                  <c:v>-252.84797450648091</c:v>
                </c:pt>
                <c:pt idx="635">
                  <c:v>-252.97810568945712</c:v>
                </c:pt>
                <c:pt idx="636">
                  <c:v>-253.10811129839578</c:v>
                </c:pt>
                <c:pt idx="637">
                  <c:v>-253.23793964532115</c:v>
                </c:pt>
                <c:pt idx="638">
                  <c:v>-253.36754085879207</c:v>
                </c:pt>
                <c:pt idx="639">
                  <c:v>-253.49686697467385</c:v>
                </c:pt>
                <c:pt idx="640">
                  <c:v>-253.62587200118804</c:v>
                </c:pt>
                <c:pt idx="641">
                  <c:v>-253.75451196185765</c:v>
                </c:pt>
                <c:pt idx="642">
                  <c:v>-253.88274491952527</c:v>
                </c:pt>
                <c:pt idx="643">
                  <c:v>-254.0105309842352</c:v>
                </c:pt>
                <c:pt idx="644">
                  <c:v>-254.13783230742683</c:v>
                </c:pt>
                <c:pt idx="645">
                  <c:v>-254.26461306458356</c:v>
                </c:pt>
                <c:pt idx="646">
                  <c:v>-254.39083942821586</c:v>
                </c:pt>
                <c:pt idx="647">
                  <c:v>-254.51647953282014</c:v>
                </c:pt>
                <c:pt idx="648">
                  <c:v>-254.64150343324732</c:v>
                </c:pt>
                <c:pt idx="649">
                  <c:v>-254.76588305772975</c:v>
                </c:pt>
                <c:pt idx="650">
                  <c:v>-254.88959215665494</c:v>
                </c:pt>
                <c:pt idx="651">
                  <c:v>-255.01260624802859</c:v>
                </c:pt>
                <c:pt idx="652">
                  <c:v>-255.13490256044605</c:v>
                </c:pt>
                <c:pt idx="653">
                  <c:v>-255.25645997427731</c:v>
                </c:pt>
                <c:pt idx="654">
                  <c:v>-255.3772589616735</c:v>
                </c:pt>
                <c:pt idx="655">
                  <c:v>-255.49728152591712</c:v>
                </c:pt>
                <c:pt idx="656">
                  <c:v>-255.6165111405607</c:v>
                </c:pt>
                <c:pt idx="657">
                  <c:v>-255.73493268873281</c:v>
                </c:pt>
                <c:pt idx="658">
                  <c:v>-255.85253240293167</c:v>
                </c:pt>
                <c:pt idx="659">
                  <c:v>-255.96929780557457</c:v>
                </c:pt>
                <c:pt idx="660">
                  <c:v>-256.08521765052626</c:v>
                </c:pt>
                <c:pt idx="661">
                  <c:v>-256.20028186579106</c:v>
                </c:pt>
                <c:pt idx="662">
                  <c:v>-256.31448149751708</c:v>
                </c:pt>
                <c:pt idx="663">
                  <c:v>-256.42780865543364</c:v>
                </c:pt>
                <c:pt idx="664">
                  <c:v>-256.54025645981318</c:v>
                </c:pt>
                <c:pt idx="665">
                  <c:v>-256.6518189900317</c:v>
                </c:pt>
                <c:pt idx="666">
                  <c:v>-256.76249123477481</c:v>
                </c:pt>
                <c:pt idx="667">
                  <c:v>-256.87226904392844</c:v>
                </c:pt>
              </c:numCache>
            </c:numRef>
          </c:yVal>
          <c:smooth val="0"/>
          <c:extLst>
            <c:ext xmlns:c16="http://schemas.microsoft.com/office/drawing/2014/chart" uri="{C3380CC4-5D6E-409C-BE32-E72D297353CC}">
              <c16:uniqueId val="{0000000D-BED3-43CF-9D4A-81AF6A44D307}"/>
            </c:ext>
          </c:extLst>
        </c:ser>
        <c:ser>
          <c:idx val="1"/>
          <c:order val="8"/>
          <c:tx>
            <c:v>Fc1</c:v>
          </c:tx>
          <c:spPr>
            <a:ln w="25400">
              <a:solidFill>
                <a:schemeClr val="tx1">
                  <a:lumMod val="50000"/>
                  <a:lumOff val="50000"/>
                </a:schemeClr>
              </a:solidFill>
              <a:prstDash val="sysDash"/>
            </a:ln>
          </c:spPr>
          <c:marker>
            <c:symbol val="plus"/>
            <c:size val="10"/>
            <c:spPr>
              <a:noFill/>
              <a:ln w="28575">
                <a:solidFill>
                  <a:schemeClr val="tx1"/>
                </a:solidFill>
              </a:ln>
            </c:spPr>
          </c:marker>
          <c:dPt>
            <c:idx val="2"/>
            <c:marker>
              <c:symbol val="none"/>
            </c:marker>
            <c:bubble3D val="0"/>
            <c:extLst>
              <c:ext xmlns:c16="http://schemas.microsoft.com/office/drawing/2014/chart" uri="{C3380CC4-5D6E-409C-BE32-E72D297353CC}">
                <c16:uniqueId val="{0000000E-BED3-43CF-9D4A-81AF6A44D307}"/>
              </c:ext>
            </c:extLst>
          </c:dPt>
          <c:xVal>
            <c:numRef>
              <c:f>'Bode Plots Calculations'!$B$690:$B$691</c:f>
              <c:numCache>
                <c:formatCode>General</c:formatCode>
                <c:ptCount val="2"/>
                <c:pt idx="0">
                  <c:v>40.5</c:v>
                </c:pt>
                <c:pt idx="1">
                  <c:v>40.5</c:v>
                </c:pt>
              </c:numCache>
            </c:numRef>
          </c:xVal>
          <c:yVal>
            <c:numRef>
              <c:f>'Bode Plots Calculations'!$BG$690:$BG$691</c:f>
              <c:numCache>
                <c:formatCode>General</c:formatCode>
                <c:ptCount val="2"/>
                <c:pt idx="0">
                  <c:v>-115.9506312462665</c:v>
                </c:pt>
                <c:pt idx="1">
                  <c:v>-90</c:v>
                </c:pt>
              </c:numCache>
            </c:numRef>
          </c:yVal>
          <c:smooth val="0"/>
          <c:extLst>
            <c:ext xmlns:c16="http://schemas.microsoft.com/office/drawing/2014/chart" uri="{C3380CC4-5D6E-409C-BE32-E72D297353CC}">
              <c16:uniqueId val="{0000000F-BED3-43CF-9D4A-81AF6A44D307}"/>
            </c:ext>
          </c:extLst>
        </c:ser>
        <c:ser>
          <c:idx val="0"/>
          <c:order val="9"/>
          <c:tx>
            <c:v>Fc2</c:v>
          </c:tx>
          <c:spPr>
            <a:ln w="25400">
              <a:solidFill>
                <a:schemeClr val="tx1">
                  <a:lumMod val="50000"/>
                  <a:lumOff val="50000"/>
                </a:schemeClr>
              </a:solidFill>
              <a:prstDash val="sysDash"/>
            </a:ln>
          </c:spPr>
          <c:marker>
            <c:symbol val="none"/>
          </c:marker>
          <c:xVal>
            <c:numRef>
              <c:f>'Bode Plots Calculations'!$B$688:$B$689</c:f>
              <c:numCache>
                <c:formatCode>General</c:formatCode>
                <c:ptCount val="2"/>
                <c:pt idx="0">
                  <c:v>40.5</c:v>
                </c:pt>
                <c:pt idx="1">
                  <c:v>1000</c:v>
                </c:pt>
              </c:numCache>
            </c:numRef>
          </c:xVal>
          <c:yVal>
            <c:numRef>
              <c:f>'Bode Plots Calculations'!$BG$688:$BG$689</c:f>
              <c:numCache>
                <c:formatCode>General</c:formatCode>
                <c:ptCount val="2"/>
                <c:pt idx="0">
                  <c:v>-115.9506312462665</c:v>
                </c:pt>
                <c:pt idx="1">
                  <c:v>-115.9506312462665</c:v>
                </c:pt>
              </c:numCache>
            </c:numRef>
          </c:yVal>
          <c:smooth val="0"/>
          <c:extLst>
            <c:ext xmlns:c16="http://schemas.microsoft.com/office/drawing/2014/chart" uri="{C3380CC4-5D6E-409C-BE32-E72D297353CC}">
              <c16:uniqueId val="{00000010-BED3-43CF-9D4A-81AF6A44D307}"/>
            </c:ext>
          </c:extLst>
        </c:ser>
        <c:dLbls>
          <c:showLegendKey val="0"/>
          <c:showVal val="0"/>
          <c:showCatName val="0"/>
          <c:showSerName val="0"/>
          <c:showPercent val="0"/>
          <c:showBubbleSize val="0"/>
        </c:dLbls>
        <c:axId val="330383744"/>
        <c:axId val="330385280"/>
      </c:scatterChart>
      <c:valAx>
        <c:axId val="315151872"/>
        <c:scaling>
          <c:logBase val="10"/>
          <c:orientation val="minMax"/>
          <c:max val="1000"/>
          <c:min val="1"/>
        </c:scaling>
        <c:delete val="0"/>
        <c:axPos val="b"/>
        <c:majorGridlines>
          <c:spPr>
            <a:ln w="3175">
              <a:solidFill>
                <a:srgbClr val="969696"/>
              </a:solidFill>
              <a:prstDash val="solid"/>
            </a:ln>
          </c:spPr>
        </c:majorGridlines>
        <c:minorGridlines>
          <c:spPr>
            <a:ln w="3175">
              <a:solidFill>
                <a:srgbClr val="969696"/>
              </a:solidFill>
              <a:prstDash val="solid"/>
            </a:ln>
          </c:spPr>
        </c:minorGridlines>
        <c:title>
          <c:tx>
            <c:rich>
              <a:bodyPr/>
              <a:lstStyle/>
              <a:p>
                <a:pPr>
                  <a:defRPr sz="1200" b="1" i="0" u="none" strike="noStrike" baseline="0">
                    <a:solidFill>
                      <a:srgbClr val="000000"/>
                    </a:solidFill>
                    <a:latin typeface="Arial" pitchFamily="34" charset="0"/>
                    <a:ea typeface="Calibri"/>
                    <a:cs typeface="Arial" pitchFamily="34" charset="0"/>
                  </a:defRPr>
                </a:pPr>
                <a:r>
                  <a:rPr lang="en-US" sz="1200">
                    <a:latin typeface="Arial" pitchFamily="34" charset="0"/>
                    <a:cs typeface="Arial" pitchFamily="34" charset="0"/>
                  </a:rPr>
                  <a:t>Frequency (kHz)</a:t>
                </a:r>
              </a:p>
            </c:rich>
          </c:tx>
          <c:layout>
            <c:manualLayout>
              <c:xMode val="edge"/>
              <c:yMode val="edge"/>
              <c:x val="0.43129335085799175"/>
              <c:y val="0.92232197841820085"/>
            </c:manualLayout>
          </c:layout>
          <c:overlay val="0"/>
          <c:spPr>
            <a:noFill/>
            <a:ln w="25400">
              <a:noFill/>
            </a:ln>
          </c:spPr>
        </c:title>
        <c:numFmt formatCode="General" sourceLinked="0"/>
        <c:majorTickMark val="in"/>
        <c:minorTickMark val="in"/>
        <c:tickLblPos val="nextTo"/>
        <c:spPr>
          <a:ln w="3175">
            <a:solidFill>
              <a:srgbClr val="000000"/>
            </a:solidFill>
            <a:prstDash val="solid"/>
          </a:ln>
        </c:spPr>
        <c:txPr>
          <a:bodyPr rot="0" vert="horz"/>
          <a:lstStyle/>
          <a:p>
            <a:pPr>
              <a:defRPr sz="1100" b="1" i="0" u="none" strike="noStrike" baseline="0">
                <a:solidFill>
                  <a:srgbClr val="000000"/>
                </a:solidFill>
                <a:latin typeface="Arial" pitchFamily="34" charset="0"/>
                <a:ea typeface="Calibri"/>
                <a:cs typeface="Arial" pitchFamily="34" charset="0"/>
              </a:defRPr>
            </a:pPr>
            <a:endParaRPr lang="en-US"/>
          </a:p>
        </c:txPr>
        <c:crossAx val="315545856"/>
        <c:crossesAt val="-80"/>
        <c:crossBetween val="midCat"/>
      </c:valAx>
      <c:valAx>
        <c:axId val="315545856"/>
        <c:scaling>
          <c:orientation val="minMax"/>
          <c:max val="40"/>
          <c:min val="-40"/>
        </c:scaling>
        <c:delete val="0"/>
        <c:axPos val="l"/>
        <c:majorGridlines>
          <c:spPr>
            <a:ln w="3175">
              <a:solidFill>
                <a:srgbClr val="969696"/>
              </a:solidFill>
              <a:prstDash val="solid"/>
            </a:ln>
          </c:spPr>
        </c:majorGridlines>
        <c:title>
          <c:tx>
            <c:rich>
              <a:bodyPr/>
              <a:lstStyle/>
              <a:p>
                <a:pPr>
                  <a:defRPr sz="1200" b="1" i="0" u="none" strike="noStrike" baseline="0">
                    <a:solidFill>
                      <a:srgbClr val="FF0000"/>
                    </a:solidFill>
                    <a:latin typeface="Arial" pitchFamily="34" charset="0"/>
                    <a:ea typeface="Calibri"/>
                    <a:cs typeface="Arial" pitchFamily="34" charset="0"/>
                  </a:defRPr>
                </a:pPr>
                <a:r>
                  <a:rPr lang="en-US" sz="1200" u="none">
                    <a:solidFill>
                      <a:srgbClr val="FF0000"/>
                    </a:solidFill>
                    <a:latin typeface="Arial" pitchFamily="34" charset="0"/>
                    <a:cs typeface="Arial" pitchFamily="34" charset="0"/>
                  </a:rPr>
                  <a:t>Gain (dB)</a:t>
                </a:r>
              </a:p>
            </c:rich>
          </c:tx>
          <c:layout>
            <c:manualLayout>
              <c:xMode val="edge"/>
              <c:yMode val="edge"/>
              <c:x val="2.0807805833455456E-2"/>
              <c:y val="0.3954268675117710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1100" b="1" i="0" u="none" strike="noStrike" baseline="0">
                <a:solidFill>
                  <a:srgbClr val="FF0000"/>
                </a:solidFill>
                <a:latin typeface="Arial" pitchFamily="34" charset="0"/>
                <a:ea typeface="Calibri"/>
                <a:cs typeface="Arial" pitchFamily="34" charset="0"/>
              </a:defRPr>
            </a:pPr>
            <a:endParaRPr lang="en-US"/>
          </a:p>
        </c:txPr>
        <c:crossAx val="315151872"/>
        <c:crossesAt val="1"/>
        <c:crossBetween val="midCat"/>
        <c:majorUnit val="10"/>
      </c:valAx>
      <c:valAx>
        <c:axId val="330383744"/>
        <c:scaling>
          <c:logBase val="10"/>
          <c:orientation val="minMax"/>
        </c:scaling>
        <c:delete val="1"/>
        <c:axPos val="b"/>
        <c:numFmt formatCode="General" sourceLinked="1"/>
        <c:majorTickMark val="out"/>
        <c:minorTickMark val="none"/>
        <c:tickLblPos val="none"/>
        <c:crossAx val="330385280"/>
        <c:crosses val="autoZero"/>
        <c:crossBetween val="midCat"/>
      </c:valAx>
      <c:valAx>
        <c:axId val="330385280"/>
        <c:scaling>
          <c:orientation val="minMax"/>
          <c:max val="0"/>
          <c:min val="-180"/>
        </c:scaling>
        <c:delete val="0"/>
        <c:axPos val="r"/>
        <c:title>
          <c:tx>
            <c:rich>
              <a:bodyPr/>
              <a:lstStyle/>
              <a:p>
                <a:pPr>
                  <a:defRPr sz="1200" b="1" i="0" u="none" strike="noStrike" baseline="0">
                    <a:solidFill>
                      <a:srgbClr val="002060"/>
                    </a:solidFill>
                    <a:latin typeface="Arial" pitchFamily="34" charset="0"/>
                    <a:ea typeface="Calibri"/>
                    <a:cs typeface="Arial" pitchFamily="34" charset="0"/>
                  </a:defRPr>
                </a:pPr>
                <a:r>
                  <a:rPr lang="en-US" sz="1200" b="1">
                    <a:solidFill>
                      <a:srgbClr val="002060"/>
                    </a:solidFill>
                    <a:latin typeface="Arial" pitchFamily="34" charset="0"/>
                    <a:cs typeface="Arial" pitchFamily="34" charset="0"/>
                  </a:rPr>
                  <a:t>Phase  (°)</a:t>
                </a:r>
              </a:p>
            </c:rich>
          </c:tx>
          <c:layout>
            <c:manualLayout>
              <c:xMode val="edge"/>
              <c:yMode val="edge"/>
              <c:x val="0.96352677492317973"/>
              <c:y val="0.39364244498015538"/>
            </c:manualLayout>
          </c:layout>
          <c:overlay val="0"/>
          <c:spPr>
            <a:noFill/>
            <a:ln w="25400">
              <a:noFill/>
            </a:ln>
          </c:spPr>
        </c:title>
        <c:numFmt formatCode="General" sourceLinked="1"/>
        <c:majorTickMark val="cross"/>
        <c:minorTickMark val="none"/>
        <c:tickLblPos val="nextTo"/>
        <c:spPr>
          <a:ln w="3175">
            <a:solidFill>
              <a:srgbClr val="000000"/>
            </a:solidFill>
            <a:prstDash val="solid"/>
          </a:ln>
        </c:spPr>
        <c:txPr>
          <a:bodyPr rot="0" vert="horz"/>
          <a:lstStyle/>
          <a:p>
            <a:pPr>
              <a:defRPr sz="1050" b="1" i="0" u="none" strike="noStrike" baseline="0">
                <a:solidFill>
                  <a:srgbClr val="002060"/>
                </a:solidFill>
                <a:latin typeface="Arial" pitchFamily="34" charset="0"/>
                <a:ea typeface="Calibri"/>
                <a:cs typeface="Arial" pitchFamily="34" charset="0"/>
              </a:defRPr>
            </a:pPr>
            <a:endParaRPr lang="en-US"/>
          </a:p>
        </c:txPr>
        <c:crossAx val="330383744"/>
        <c:crosses val="max"/>
        <c:crossBetween val="midCat"/>
        <c:majorUnit val="45"/>
      </c:valAx>
      <c:spPr>
        <a:noFill/>
        <a:ln w="12700">
          <a:solidFill>
            <a:srgbClr val="808080"/>
          </a:solidFill>
          <a:prstDash val="solid"/>
        </a:ln>
      </c:spPr>
    </c:plotArea>
    <c:legend>
      <c:legendPos val="r"/>
      <c:legendEntry>
        <c:idx val="0"/>
        <c:txPr>
          <a:bodyPr/>
          <a:lstStyle/>
          <a:p>
            <a:pPr>
              <a:defRPr sz="1200" b="1" i="0" u="none" strike="noStrike" baseline="0">
                <a:solidFill>
                  <a:srgbClr val="000000"/>
                </a:solidFill>
                <a:latin typeface="Arial" pitchFamily="34" charset="0"/>
                <a:ea typeface="Calibri"/>
                <a:cs typeface="Arial" pitchFamily="34" charset="0"/>
              </a:defRPr>
            </a:pPr>
            <a:endParaRPr lang="en-US"/>
          </a:p>
        </c:txPr>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txPr>
          <a:bodyPr/>
          <a:lstStyle/>
          <a:p>
            <a:pPr>
              <a:defRPr sz="1200" b="1" i="0" u="none" strike="noStrike" baseline="0">
                <a:solidFill>
                  <a:srgbClr val="000000"/>
                </a:solidFill>
                <a:latin typeface="Arial" pitchFamily="34" charset="0"/>
                <a:ea typeface="Calibri"/>
                <a:cs typeface="Arial" pitchFamily="34" charset="0"/>
              </a:defRPr>
            </a:pPr>
            <a:endParaRPr lang="en-US"/>
          </a:p>
        </c:txPr>
      </c:legendEntry>
      <c:legendEntry>
        <c:idx val="8"/>
        <c:delete val="1"/>
      </c:legendEntry>
      <c:legendEntry>
        <c:idx val="9"/>
        <c:delete val="1"/>
      </c:legendEntry>
      <c:layout>
        <c:manualLayout>
          <c:xMode val="edge"/>
          <c:yMode val="edge"/>
          <c:x val="0.295216671637685"/>
          <c:y val="0"/>
          <c:w val="0.59720240253255119"/>
          <c:h val="9.9098873083628289E-2"/>
        </c:manualLayout>
      </c:layout>
      <c:overlay val="0"/>
      <c:spPr>
        <a:noFill/>
        <a:ln w="25400">
          <a:noFill/>
        </a:ln>
      </c:spPr>
      <c:txPr>
        <a:bodyPr/>
        <a:lstStyle/>
        <a:p>
          <a:pPr>
            <a:defRPr sz="1200" b="1" i="0" u="none" strike="noStrike" baseline="0">
              <a:solidFill>
                <a:srgbClr val="000000"/>
              </a:solidFill>
              <a:latin typeface="Arial" pitchFamily="34" charset="0"/>
              <a:ea typeface="Calibri"/>
              <a:cs typeface="Arial" pitchFamily="34" charset="0"/>
            </a:defRPr>
          </a:pPr>
          <a:endParaRPr lang="en-US"/>
        </a:p>
      </c:txPr>
    </c:legend>
    <c:plotVisOnly val="1"/>
    <c:dispBlanksAs val="span"/>
    <c:showDLblsOverMax val="0"/>
  </c:chart>
  <c:spPr>
    <a:noFill/>
    <a:ln w="9525">
      <a:solidFill>
        <a:srgbClr val="808080"/>
      </a:solidFill>
    </a:ln>
  </c:spPr>
  <c:txPr>
    <a:bodyPr/>
    <a:lstStyle/>
    <a:p>
      <a:pPr>
        <a:defRPr sz="1000" b="1" i="0" u="none" strike="noStrike" baseline="0">
          <a:solidFill>
            <a:srgbClr val="000000"/>
          </a:solidFill>
          <a:latin typeface="Arial"/>
          <a:ea typeface="Arial"/>
          <a:cs typeface="Arial"/>
        </a:defRPr>
      </a:pPr>
      <a:endParaRPr lang="en-US"/>
    </a:p>
  </c:txPr>
  <c:printSettings>
    <c:headerFooter alignWithMargins="0"/>
    <c:pageMargins b="1" l="0.75000000000000622" r="0.75000000000000622" t="1" header="0.5" footer="0.5"/>
    <c:pageSetup orientation="landscape"/>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marL="0" marR="0" indent="0" algn="ctr" defTabSz="914400" rtl="0" eaLnBrk="1" fontAlgn="auto" latinLnBrk="0" hangingPunct="1">
              <a:lnSpc>
                <a:spcPct val="100000"/>
              </a:lnSpc>
              <a:spcBef>
                <a:spcPts val="0"/>
              </a:spcBef>
              <a:spcAft>
                <a:spcPts val="0"/>
              </a:spcAft>
              <a:buClrTx/>
              <a:buSzTx/>
              <a:buFontTx/>
              <a:buNone/>
              <a:tabLst/>
              <a:defRPr sz="1800" b="1" i="0" u="none" strike="noStrike" kern="1200" baseline="0">
                <a:solidFill>
                  <a:srgbClr val="000000"/>
                </a:solidFill>
                <a:latin typeface="Arial" pitchFamily="34" charset="0"/>
                <a:ea typeface="Calibri"/>
                <a:cs typeface="Arial" pitchFamily="34" charset="0"/>
              </a:defRPr>
            </a:pPr>
            <a:r>
              <a:rPr lang="en-US" sz="1800" b="1" i="0" baseline="0">
                <a:effectLst/>
                <a:sym typeface="Symbol"/>
              </a:rPr>
              <a:t></a:t>
            </a:r>
            <a:r>
              <a:rPr lang="en-US" sz="1800" b="1" i="0" baseline="0">
                <a:effectLst/>
              </a:rPr>
              <a:t>, V</a:t>
            </a:r>
            <a:r>
              <a:rPr lang="en-US" sz="1800" b="1" i="0" baseline="-25000">
                <a:effectLst/>
              </a:rPr>
              <a:t>IN</a:t>
            </a:r>
            <a:r>
              <a:rPr lang="en-US" sz="1800" b="1" i="0" baseline="0">
                <a:effectLst/>
              </a:rPr>
              <a:t> = V</a:t>
            </a:r>
            <a:r>
              <a:rPr lang="en-US" sz="1800" b="1" i="0" baseline="-25000">
                <a:effectLst/>
              </a:rPr>
              <a:t>IN(nom)</a:t>
            </a:r>
            <a:endParaRPr lang="en-US">
              <a:effectLst/>
            </a:endParaRPr>
          </a:p>
        </c:rich>
      </c:tx>
      <c:layout>
        <c:manualLayout>
          <c:xMode val="edge"/>
          <c:yMode val="edge"/>
          <c:x val="8.2586704916618195E-2"/>
          <c:y val="1.8363289746112718E-2"/>
        </c:manualLayout>
      </c:layout>
      <c:overlay val="0"/>
      <c:spPr>
        <a:noFill/>
        <a:ln w="25400">
          <a:noFill/>
        </a:ln>
      </c:spPr>
    </c:title>
    <c:autoTitleDeleted val="0"/>
    <c:plotArea>
      <c:layout>
        <c:manualLayout>
          <c:layoutTarget val="inner"/>
          <c:xMode val="edge"/>
          <c:yMode val="edge"/>
          <c:x val="7.6761884085804283E-2"/>
          <c:y val="0.12133523343001466"/>
          <c:w val="0.82579990228506128"/>
          <c:h val="0.7558980268938309"/>
        </c:manualLayout>
      </c:layout>
      <c:lineChart>
        <c:grouping val="standard"/>
        <c:varyColors val="0"/>
        <c:ser>
          <c:idx val="0"/>
          <c:order val="0"/>
          <c:tx>
            <c:v>Efficiency</c:v>
          </c:tx>
          <c:spPr>
            <a:ln w="38100">
              <a:solidFill>
                <a:srgbClr val="FF0000"/>
              </a:solidFill>
              <a:prstDash val="solid"/>
            </a:ln>
          </c:spPr>
          <c:marker>
            <c:symbol val="none"/>
          </c:marker>
          <c:cat>
            <c:numRef>
              <c:f>'Power Calculations'!$H$9:$H$209</c:f>
              <c:numCache>
                <c:formatCode>General</c:formatCode>
                <c:ptCount val="201"/>
                <c:pt idx="0">
                  <c:v>0</c:v>
                </c:pt>
                <c:pt idx="1">
                  <c:v>0.01</c:v>
                </c:pt>
                <c:pt idx="2">
                  <c:v>0.02</c:v>
                </c:pt>
                <c:pt idx="3">
                  <c:v>0.03</c:v>
                </c:pt>
                <c:pt idx="4">
                  <c:v>0.04</c:v>
                </c:pt>
                <c:pt idx="5">
                  <c:v>0.05</c:v>
                </c:pt>
                <c:pt idx="6">
                  <c:v>0.06</c:v>
                </c:pt>
                <c:pt idx="7">
                  <c:v>7.0000000000000007E-2</c:v>
                </c:pt>
                <c:pt idx="8">
                  <c:v>0.08</c:v>
                </c:pt>
                <c:pt idx="9">
                  <c:v>0.09</c:v>
                </c:pt>
                <c:pt idx="10">
                  <c:v>0.1</c:v>
                </c:pt>
                <c:pt idx="11">
                  <c:v>0.11</c:v>
                </c:pt>
                <c:pt idx="12">
                  <c:v>0.12</c:v>
                </c:pt>
                <c:pt idx="13">
                  <c:v>0.13</c:v>
                </c:pt>
                <c:pt idx="14">
                  <c:v>0.14000000000000001</c:v>
                </c:pt>
                <c:pt idx="15">
                  <c:v>0.15</c:v>
                </c:pt>
                <c:pt idx="16">
                  <c:v>0.16</c:v>
                </c:pt>
                <c:pt idx="17">
                  <c:v>0.17</c:v>
                </c:pt>
                <c:pt idx="18">
                  <c:v>0.18</c:v>
                </c:pt>
                <c:pt idx="19">
                  <c:v>0.19</c:v>
                </c:pt>
                <c:pt idx="20">
                  <c:v>0.2</c:v>
                </c:pt>
                <c:pt idx="21">
                  <c:v>0.21</c:v>
                </c:pt>
                <c:pt idx="22">
                  <c:v>0.22</c:v>
                </c:pt>
                <c:pt idx="23">
                  <c:v>0.23</c:v>
                </c:pt>
                <c:pt idx="24">
                  <c:v>0.24</c:v>
                </c:pt>
                <c:pt idx="25">
                  <c:v>0.25</c:v>
                </c:pt>
                <c:pt idx="26">
                  <c:v>0.26</c:v>
                </c:pt>
                <c:pt idx="27">
                  <c:v>0.27</c:v>
                </c:pt>
                <c:pt idx="28">
                  <c:v>0.28000000000000003</c:v>
                </c:pt>
                <c:pt idx="29">
                  <c:v>0.28999999999999998</c:v>
                </c:pt>
                <c:pt idx="30">
                  <c:v>0.3</c:v>
                </c:pt>
                <c:pt idx="31">
                  <c:v>0.31</c:v>
                </c:pt>
                <c:pt idx="32">
                  <c:v>0.32</c:v>
                </c:pt>
                <c:pt idx="33">
                  <c:v>0.33</c:v>
                </c:pt>
                <c:pt idx="34">
                  <c:v>0.34</c:v>
                </c:pt>
                <c:pt idx="35">
                  <c:v>0.35</c:v>
                </c:pt>
                <c:pt idx="36">
                  <c:v>0.36</c:v>
                </c:pt>
                <c:pt idx="37">
                  <c:v>0.37</c:v>
                </c:pt>
                <c:pt idx="38">
                  <c:v>0.38</c:v>
                </c:pt>
                <c:pt idx="39">
                  <c:v>0.39</c:v>
                </c:pt>
                <c:pt idx="40">
                  <c:v>0.4</c:v>
                </c:pt>
                <c:pt idx="41">
                  <c:v>0.41</c:v>
                </c:pt>
                <c:pt idx="42">
                  <c:v>0.42</c:v>
                </c:pt>
                <c:pt idx="43">
                  <c:v>0.43</c:v>
                </c:pt>
                <c:pt idx="44">
                  <c:v>0.44</c:v>
                </c:pt>
                <c:pt idx="45">
                  <c:v>0.45</c:v>
                </c:pt>
                <c:pt idx="46">
                  <c:v>0.46</c:v>
                </c:pt>
                <c:pt idx="47">
                  <c:v>0.47</c:v>
                </c:pt>
                <c:pt idx="48">
                  <c:v>0.48</c:v>
                </c:pt>
                <c:pt idx="49">
                  <c:v>0.49</c:v>
                </c:pt>
                <c:pt idx="50">
                  <c:v>0.5</c:v>
                </c:pt>
                <c:pt idx="51">
                  <c:v>0.51</c:v>
                </c:pt>
                <c:pt idx="52">
                  <c:v>0.52</c:v>
                </c:pt>
                <c:pt idx="53">
                  <c:v>0.53</c:v>
                </c:pt>
                <c:pt idx="54">
                  <c:v>0.54</c:v>
                </c:pt>
                <c:pt idx="55">
                  <c:v>0.55000000000000004</c:v>
                </c:pt>
                <c:pt idx="56">
                  <c:v>0.56000000000000005</c:v>
                </c:pt>
                <c:pt idx="57">
                  <c:v>0.56999999999999995</c:v>
                </c:pt>
                <c:pt idx="58">
                  <c:v>0.57999999999999996</c:v>
                </c:pt>
                <c:pt idx="59">
                  <c:v>0.59</c:v>
                </c:pt>
                <c:pt idx="60">
                  <c:v>0.6</c:v>
                </c:pt>
                <c:pt idx="61">
                  <c:v>0.61</c:v>
                </c:pt>
                <c:pt idx="62">
                  <c:v>0.62</c:v>
                </c:pt>
                <c:pt idx="63">
                  <c:v>0.63</c:v>
                </c:pt>
                <c:pt idx="64">
                  <c:v>0.64</c:v>
                </c:pt>
                <c:pt idx="65">
                  <c:v>0.65</c:v>
                </c:pt>
                <c:pt idx="66">
                  <c:v>0.66</c:v>
                </c:pt>
                <c:pt idx="67">
                  <c:v>0.67</c:v>
                </c:pt>
                <c:pt idx="68">
                  <c:v>0.68</c:v>
                </c:pt>
                <c:pt idx="69">
                  <c:v>0.69</c:v>
                </c:pt>
                <c:pt idx="70">
                  <c:v>0.7</c:v>
                </c:pt>
                <c:pt idx="71">
                  <c:v>0.71</c:v>
                </c:pt>
                <c:pt idx="72">
                  <c:v>0.72</c:v>
                </c:pt>
                <c:pt idx="73">
                  <c:v>0.73</c:v>
                </c:pt>
                <c:pt idx="74">
                  <c:v>0.74</c:v>
                </c:pt>
                <c:pt idx="75">
                  <c:v>0.75</c:v>
                </c:pt>
                <c:pt idx="76">
                  <c:v>0.76</c:v>
                </c:pt>
                <c:pt idx="77">
                  <c:v>0.77</c:v>
                </c:pt>
                <c:pt idx="78">
                  <c:v>0.78</c:v>
                </c:pt>
                <c:pt idx="79">
                  <c:v>0.79</c:v>
                </c:pt>
                <c:pt idx="80">
                  <c:v>0.8</c:v>
                </c:pt>
                <c:pt idx="81">
                  <c:v>0.81</c:v>
                </c:pt>
                <c:pt idx="82">
                  <c:v>0.82</c:v>
                </c:pt>
                <c:pt idx="83">
                  <c:v>0.83</c:v>
                </c:pt>
                <c:pt idx="84">
                  <c:v>0.84</c:v>
                </c:pt>
                <c:pt idx="85">
                  <c:v>0.85</c:v>
                </c:pt>
                <c:pt idx="86">
                  <c:v>0.86</c:v>
                </c:pt>
                <c:pt idx="87">
                  <c:v>0.87</c:v>
                </c:pt>
                <c:pt idx="88">
                  <c:v>0.88</c:v>
                </c:pt>
                <c:pt idx="89">
                  <c:v>0.89</c:v>
                </c:pt>
                <c:pt idx="90">
                  <c:v>0.9</c:v>
                </c:pt>
                <c:pt idx="91">
                  <c:v>0.91</c:v>
                </c:pt>
                <c:pt idx="92">
                  <c:v>0.92</c:v>
                </c:pt>
                <c:pt idx="93">
                  <c:v>0.93</c:v>
                </c:pt>
                <c:pt idx="94">
                  <c:v>0.94</c:v>
                </c:pt>
                <c:pt idx="95">
                  <c:v>0.95</c:v>
                </c:pt>
                <c:pt idx="96">
                  <c:v>0.96</c:v>
                </c:pt>
                <c:pt idx="97">
                  <c:v>0.97</c:v>
                </c:pt>
                <c:pt idx="98">
                  <c:v>0.98</c:v>
                </c:pt>
                <c:pt idx="99">
                  <c:v>0.99</c:v>
                </c:pt>
                <c:pt idx="100">
                  <c:v>1</c:v>
                </c:pt>
                <c:pt idx="101">
                  <c:v>1.01</c:v>
                </c:pt>
                <c:pt idx="102">
                  <c:v>1.02</c:v>
                </c:pt>
                <c:pt idx="103">
                  <c:v>1.03</c:v>
                </c:pt>
                <c:pt idx="104">
                  <c:v>1.04</c:v>
                </c:pt>
                <c:pt idx="105">
                  <c:v>1.05</c:v>
                </c:pt>
                <c:pt idx="106">
                  <c:v>1.06</c:v>
                </c:pt>
                <c:pt idx="107">
                  <c:v>1.07</c:v>
                </c:pt>
                <c:pt idx="108">
                  <c:v>1.08</c:v>
                </c:pt>
                <c:pt idx="109">
                  <c:v>1.0900000000000001</c:v>
                </c:pt>
                <c:pt idx="110">
                  <c:v>1.1000000000000001</c:v>
                </c:pt>
                <c:pt idx="111">
                  <c:v>1.1100000000000001</c:v>
                </c:pt>
                <c:pt idx="112">
                  <c:v>1.1200000000000001</c:v>
                </c:pt>
                <c:pt idx="113">
                  <c:v>1.1299999999999999</c:v>
                </c:pt>
                <c:pt idx="114">
                  <c:v>1.1399999999999999</c:v>
                </c:pt>
                <c:pt idx="115">
                  <c:v>1.1499999999999999</c:v>
                </c:pt>
                <c:pt idx="116">
                  <c:v>1.1599999999999999</c:v>
                </c:pt>
                <c:pt idx="117">
                  <c:v>1.17</c:v>
                </c:pt>
                <c:pt idx="118">
                  <c:v>1.18</c:v>
                </c:pt>
                <c:pt idx="119">
                  <c:v>1.19</c:v>
                </c:pt>
                <c:pt idx="120">
                  <c:v>1.2</c:v>
                </c:pt>
                <c:pt idx="121">
                  <c:v>1.21</c:v>
                </c:pt>
                <c:pt idx="122">
                  <c:v>1.22</c:v>
                </c:pt>
                <c:pt idx="123">
                  <c:v>1.23</c:v>
                </c:pt>
                <c:pt idx="124">
                  <c:v>1.24</c:v>
                </c:pt>
                <c:pt idx="125">
                  <c:v>1.25</c:v>
                </c:pt>
                <c:pt idx="126">
                  <c:v>1.26</c:v>
                </c:pt>
                <c:pt idx="127">
                  <c:v>1.27</c:v>
                </c:pt>
                <c:pt idx="128">
                  <c:v>1.28</c:v>
                </c:pt>
                <c:pt idx="129">
                  <c:v>1.29</c:v>
                </c:pt>
                <c:pt idx="130">
                  <c:v>1.3</c:v>
                </c:pt>
                <c:pt idx="131">
                  <c:v>1.31</c:v>
                </c:pt>
                <c:pt idx="132">
                  <c:v>1.32</c:v>
                </c:pt>
                <c:pt idx="133">
                  <c:v>1.33</c:v>
                </c:pt>
                <c:pt idx="134">
                  <c:v>1.34</c:v>
                </c:pt>
                <c:pt idx="135">
                  <c:v>1.35</c:v>
                </c:pt>
                <c:pt idx="136">
                  <c:v>1.36</c:v>
                </c:pt>
                <c:pt idx="137">
                  <c:v>1.37</c:v>
                </c:pt>
                <c:pt idx="138">
                  <c:v>1.38</c:v>
                </c:pt>
                <c:pt idx="139">
                  <c:v>1.39</c:v>
                </c:pt>
                <c:pt idx="140">
                  <c:v>1.4</c:v>
                </c:pt>
                <c:pt idx="141">
                  <c:v>1.41</c:v>
                </c:pt>
                <c:pt idx="142">
                  <c:v>1.42</c:v>
                </c:pt>
                <c:pt idx="143">
                  <c:v>1.43</c:v>
                </c:pt>
                <c:pt idx="144">
                  <c:v>1.44</c:v>
                </c:pt>
                <c:pt idx="145">
                  <c:v>1.45</c:v>
                </c:pt>
                <c:pt idx="146">
                  <c:v>1.46</c:v>
                </c:pt>
                <c:pt idx="147">
                  <c:v>1.47</c:v>
                </c:pt>
                <c:pt idx="148">
                  <c:v>1.48</c:v>
                </c:pt>
                <c:pt idx="149">
                  <c:v>1.49</c:v>
                </c:pt>
                <c:pt idx="150">
                  <c:v>1.5</c:v>
                </c:pt>
                <c:pt idx="151">
                  <c:v>1.51</c:v>
                </c:pt>
                <c:pt idx="152">
                  <c:v>1.52</c:v>
                </c:pt>
                <c:pt idx="153">
                  <c:v>1.53</c:v>
                </c:pt>
                <c:pt idx="154">
                  <c:v>1.54</c:v>
                </c:pt>
                <c:pt idx="155">
                  <c:v>1.55</c:v>
                </c:pt>
                <c:pt idx="156">
                  <c:v>1.56</c:v>
                </c:pt>
                <c:pt idx="157">
                  <c:v>1.57</c:v>
                </c:pt>
                <c:pt idx="158">
                  <c:v>1.58</c:v>
                </c:pt>
                <c:pt idx="159">
                  <c:v>1.59</c:v>
                </c:pt>
                <c:pt idx="160">
                  <c:v>1.6</c:v>
                </c:pt>
                <c:pt idx="161">
                  <c:v>1.61</c:v>
                </c:pt>
                <c:pt idx="162">
                  <c:v>1.62</c:v>
                </c:pt>
                <c:pt idx="163">
                  <c:v>1.63</c:v>
                </c:pt>
                <c:pt idx="164">
                  <c:v>1.64</c:v>
                </c:pt>
                <c:pt idx="165">
                  <c:v>1.65</c:v>
                </c:pt>
                <c:pt idx="166">
                  <c:v>1.66</c:v>
                </c:pt>
                <c:pt idx="167">
                  <c:v>1.67</c:v>
                </c:pt>
                <c:pt idx="168">
                  <c:v>1.68</c:v>
                </c:pt>
                <c:pt idx="169">
                  <c:v>1.69</c:v>
                </c:pt>
                <c:pt idx="170">
                  <c:v>1.7</c:v>
                </c:pt>
                <c:pt idx="171">
                  <c:v>1.71</c:v>
                </c:pt>
                <c:pt idx="172">
                  <c:v>1.72</c:v>
                </c:pt>
                <c:pt idx="173">
                  <c:v>1.73</c:v>
                </c:pt>
                <c:pt idx="174">
                  <c:v>1.74</c:v>
                </c:pt>
                <c:pt idx="175">
                  <c:v>1.75</c:v>
                </c:pt>
                <c:pt idx="176">
                  <c:v>1.76</c:v>
                </c:pt>
                <c:pt idx="177">
                  <c:v>1.77</c:v>
                </c:pt>
                <c:pt idx="178">
                  <c:v>1.78</c:v>
                </c:pt>
                <c:pt idx="179">
                  <c:v>1.79</c:v>
                </c:pt>
                <c:pt idx="180">
                  <c:v>1.8</c:v>
                </c:pt>
                <c:pt idx="181">
                  <c:v>1.81</c:v>
                </c:pt>
                <c:pt idx="182">
                  <c:v>1.82</c:v>
                </c:pt>
                <c:pt idx="183">
                  <c:v>1.83</c:v>
                </c:pt>
                <c:pt idx="184">
                  <c:v>1.84</c:v>
                </c:pt>
                <c:pt idx="185">
                  <c:v>1.85</c:v>
                </c:pt>
                <c:pt idx="186">
                  <c:v>1.86</c:v>
                </c:pt>
                <c:pt idx="187">
                  <c:v>1.87</c:v>
                </c:pt>
                <c:pt idx="188">
                  <c:v>1.88</c:v>
                </c:pt>
                <c:pt idx="189">
                  <c:v>1.89</c:v>
                </c:pt>
                <c:pt idx="190">
                  <c:v>1.9</c:v>
                </c:pt>
                <c:pt idx="191">
                  <c:v>1.91</c:v>
                </c:pt>
                <c:pt idx="192">
                  <c:v>1.92</c:v>
                </c:pt>
                <c:pt idx="193">
                  <c:v>1.93</c:v>
                </c:pt>
                <c:pt idx="194">
                  <c:v>1.94</c:v>
                </c:pt>
                <c:pt idx="195">
                  <c:v>1.95</c:v>
                </c:pt>
                <c:pt idx="196">
                  <c:v>1.96</c:v>
                </c:pt>
                <c:pt idx="197">
                  <c:v>1.97</c:v>
                </c:pt>
                <c:pt idx="198">
                  <c:v>1.98</c:v>
                </c:pt>
                <c:pt idx="199">
                  <c:v>1.99</c:v>
                </c:pt>
                <c:pt idx="200">
                  <c:v>2</c:v>
                </c:pt>
              </c:numCache>
            </c:numRef>
          </c:cat>
          <c:val>
            <c:numRef>
              <c:f>'Power Calculations'!$AU$9:$AU$209</c:f>
              <c:numCache>
                <c:formatCode>General</c:formatCode>
                <c:ptCount val="201"/>
                <c:pt idx="0">
                  <c:v>0</c:v>
                </c:pt>
                <c:pt idx="1">
                  <c:v>10.623243488551479</c:v>
                </c:pt>
                <c:pt idx="2">
                  <c:v>19.155967300554163</c:v>
                </c:pt>
                <c:pt idx="3">
                  <c:v>26.159723663284378</c:v>
                </c:pt>
                <c:pt idx="4">
                  <c:v>32.011468991701548</c:v>
                </c:pt>
                <c:pt idx="5">
                  <c:v>36.97365510809648</c:v>
                </c:pt>
                <c:pt idx="6">
                  <c:v>41.234638096868601</c:v>
                </c:pt>
                <c:pt idx="7">
                  <c:v>44.933102912806866</c:v>
                </c:pt>
                <c:pt idx="8">
                  <c:v>48.173424076867612</c:v>
                </c:pt>
                <c:pt idx="9">
                  <c:v>51.035658081811263</c:v>
                </c:pt>
                <c:pt idx="10">
                  <c:v>53.582235842315526</c:v>
                </c:pt>
                <c:pt idx="11">
                  <c:v>55.862560290839028</c:v>
                </c:pt>
                <c:pt idx="12">
                  <c:v>57.916236201457949</c:v>
                </c:pt>
                <c:pt idx="13">
                  <c:v>59.775384541788782</c:v>
                </c:pt>
                <c:pt idx="14">
                  <c:v>61.466330428676372</c:v>
                </c:pt>
                <c:pt idx="15">
                  <c:v>63.010853945474999</c:v>
                </c:pt>
                <c:pt idx="16">
                  <c:v>64.427130432001562</c:v>
                </c:pt>
                <c:pt idx="17">
                  <c:v>65.730446613548722</c:v>
                </c:pt>
                <c:pt idx="18">
                  <c:v>66.933752531939248</c:v>
                </c:pt>
                <c:pt idx="19">
                  <c:v>68.048091584824249</c:v>
                </c:pt>
                <c:pt idx="20">
                  <c:v>69.082938964142699</c:v>
                </c:pt>
                <c:pt idx="21">
                  <c:v>70.046470476746705</c:v>
                </c:pt>
                <c:pt idx="22">
                  <c:v>70.945777900755957</c:v>
                </c:pt>
                <c:pt idx="23">
                  <c:v>71.804366674708589</c:v>
                </c:pt>
                <c:pt idx="24">
                  <c:v>72.62545311581917</c:v>
                </c:pt>
                <c:pt idx="25">
                  <c:v>73.397225599508005</c:v>
                </c:pt>
                <c:pt idx="26">
                  <c:v>74.123953015293537</c:v>
                </c:pt>
                <c:pt idx="27">
                  <c:v>74.809425360016078</c:v>
                </c:pt>
                <c:pt idx="28">
                  <c:v>75.457019059644338</c:v>
                </c:pt>
                <c:pt idx="29">
                  <c:v>76.069751883006347</c:v>
                </c:pt>
                <c:pt idx="30">
                  <c:v>76.650329332165029</c:v>
                </c:pt>
                <c:pt idx="31">
                  <c:v>77.201184013948676</c:v>
                </c:pt>
                <c:pt idx="32">
                  <c:v>77.724509201102549</c:v>
                </c:pt>
                <c:pt idx="33">
                  <c:v>78.222287559445803</c:v>
                </c:pt>
                <c:pt idx="34">
                  <c:v>78.696315834301146</c:v>
                </c:pt>
                <c:pt idx="35">
                  <c:v>79.148226144099837</c:v>
                </c:pt>
                <c:pt idx="36">
                  <c:v>79.579504412995021</c:v>
                </c:pt>
                <c:pt idx="37">
                  <c:v>79.991506381128318</c:v>
                </c:pt>
                <c:pt idx="38">
                  <c:v>80.385471555981283</c:v>
                </c:pt>
                <c:pt idx="39">
                  <c:v>80.762535407235177</c:v>
                </c:pt>
                <c:pt idx="40">
                  <c:v>81.123740057838006</c:v>
                </c:pt>
                <c:pt idx="41">
                  <c:v>81.470043683266695</c:v>
                </c:pt>
                <c:pt idx="42">
                  <c:v>81.802328797493701</c:v>
                </c:pt>
                <c:pt idx="43">
                  <c:v>82.121409576521216</c:v>
                </c:pt>
                <c:pt idx="44">
                  <c:v>82.428038347426465</c:v>
                </c:pt>
                <c:pt idx="45">
                  <c:v>82.722911351784902</c:v>
                </c:pt>
                <c:pt idx="46">
                  <c:v>83.006673876404136</c:v>
                </c:pt>
                <c:pt idx="47">
                  <c:v>83.279924830942704</c:v>
                </c:pt>
                <c:pt idx="48">
                  <c:v>83.543220840752028</c:v>
                </c:pt>
                <c:pt idx="49">
                  <c:v>83.797079913798072</c:v>
                </c:pt>
                <c:pt idx="50">
                  <c:v>84.041984732491088</c:v>
                </c:pt>
                <c:pt idx="51">
                  <c:v>84.278385614436687</c:v>
                </c:pt>
                <c:pt idx="52">
                  <c:v>84.506703180315938</c:v>
                </c:pt>
                <c:pt idx="53">
                  <c:v>84.727330762144618</c:v>
                </c:pt>
                <c:pt idx="54">
                  <c:v>84.940636580916859</c:v>
                </c:pt>
                <c:pt idx="55">
                  <c:v>85.146965718992789</c:v>
                </c:pt>
                <c:pt idx="56">
                  <c:v>85.346641909452018</c:v>
                </c:pt>
                <c:pt idx="57">
                  <c:v>85.539969161927445</c:v>
                </c:pt>
                <c:pt idx="58">
                  <c:v>85.727233242091572</c:v>
                </c:pt>
                <c:pt idx="59">
                  <c:v>85.908703019936866</c:v>
                </c:pt>
                <c:pt idx="60">
                  <c:v>86.084631700227632</c:v>
                </c:pt>
                <c:pt idx="61">
                  <c:v>86.25525794696442</c:v>
                </c:pt>
                <c:pt idx="62">
                  <c:v>86.420806912361172</c:v>
                </c:pt>
                <c:pt idx="63">
                  <c:v>86.581491179663061</c:v>
                </c:pt>
                <c:pt idx="64">
                  <c:v>86.737511628106091</c:v>
                </c:pt>
                <c:pt idx="65">
                  <c:v>86.889058227417607</c:v>
                </c:pt>
                <c:pt idx="66">
                  <c:v>87.03631076846429</c:v>
                </c:pt>
                <c:pt idx="67">
                  <c:v>87.179439535955467</c:v>
                </c:pt>
                <c:pt idx="68">
                  <c:v>87.318605928493056</c:v>
                </c:pt>
                <c:pt idx="69">
                  <c:v>87.453963030714178</c:v>
                </c:pt>
                <c:pt idx="70">
                  <c:v>87.585656141790295</c:v>
                </c:pt>
                <c:pt idx="71">
                  <c:v>87.713823264117821</c:v>
                </c:pt>
                <c:pt idx="72">
                  <c:v>87.838595555655246</c:v>
                </c:pt>
                <c:pt idx="73">
                  <c:v>87.960097749023134</c:v>
                </c:pt>
                <c:pt idx="74">
                  <c:v>88.078448540181881</c:v>
                </c:pt>
                <c:pt idx="75">
                  <c:v>88.193760949232555</c:v>
                </c:pt>
                <c:pt idx="76">
                  <c:v>88.306142655646397</c:v>
                </c:pt>
                <c:pt idx="77">
                  <c:v>88.415696310012038</c:v>
                </c:pt>
                <c:pt idx="78">
                  <c:v>88.522519824197971</c:v>
                </c:pt>
                <c:pt idx="79">
                  <c:v>88.626706641653442</c:v>
                </c:pt>
                <c:pt idx="80">
                  <c:v>88.728345989416297</c:v>
                </c:pt>
                <c:pt idx="81">
                  <c:v>88.827523113255907</c:v>
                </c:pt>
                <c:pt idx="82">
                  <c:v>88.924319497253478</c:v>
                </c:pt>
                <c:pt idx="83">
                  <c:v>89.018813069007962</c:v>
                </c:pt>
                <c:pt idx="84">
                  <c:v>89.111078391554159</c:v>
                </c:pt>
                <c:pt idx="85">
                  <c:v>89.201186842985408</c:v>
                </c:pt>
                <c:pt idx="86">
                  <c:v>89.289206784690847</c:v>
                </c:pt>
                <c:pt idx="87">
                  <c:v>89.375203719039774</c:v>
                </c:pt>
                <c:pt idx="88">
                  <c:v>89.459240437277927</c:v>
                </c:pt>
                <c:pt idx="89">
                  <c:v>89.541377158336815</c:v>
                </c:pt>
                <c:pt idx="90">
                  <c:v>89.621671659201112</c:v>
                </c:pt>
                <c:pt idx="91">
                  <c:v>89.700179397427277</c:v>
                </c:pt>
                <c:pt idx="92">
                  <c:v>89.77695362635852</c:v>
                </c:pt>
                <c:pt idx="93">
                  <c:v>89.85204550354004</c:v>
                </c:pt>
                <c:pt idx="94">
                  <c:v>89.925504192797206</c:v>
                </c:pt>
                <c:pt idx="95">
                  <c:v>89.997376960405447</c:v>
                </c:pt>
                <c:pt idx="96">
                  <c:v>90.067709265746416</c:v>
                </c:pt>
                <c:pt idx="97">
                  <c:v>90.136544846816207</c:v>
                </c:pt>
                <c:pt idx="98">
                  <c:v>90.203925800923074</c:v>
                </c:pt>
                <c:pt idx="99">
                  <c:v>90.269892660887706</c:v>
                </c:pt>
                <c:pt idx="100">
                  <c:v>90.334484467035864</c:v>
                </c:pt>
                <c:pt idx="101">
                  <c:v>90.397738835251559</c:v>
                </c:pt>
                <c:pt idx="102">
                  <c:v>90.45969202134053</c:v>
                </c:pt>
                <c:pt idx="103">
                  <c:v>90.520378981934854</c:v>
                </c:pt>
                <c:pt idx="104">
                  <c:v>90.579833432154004</c:v>
                </c:pt>
                <c:pt idx="105">
                  <c:v>90.638087900221791</c:v>
                </c:pt>
                <c:pt idx="106">
                  <c:v>90.695173779225286</c:v>
                </c:pt>
                <c:pt idx="107">
                  <c:v>90.751121376188479</c:v>
                </c:pt>
                <c:pt idx="108">
                  <c:v>90.805959958622068</c:v>
                </c:pt>
                <c:pt idx="109">
                  <c:v>90.859717798699364</c:v>
                </c:pt>
                <c:pt idx="110">
                  <c:v>90.912422215198262</c:v>
                </c:pt>
                <c:pt idx="111">
                  <c:v>90.964099613340238</c:v>
                </c:pt>
                <c:pt idx="112">
                  <c:v>91.014775522648208</c:v>
                </c:pt>
                <c:pt idx="113">
                  <c:v>91.064474632937163</c:v>
                </c:pt>
                <c:pt idx="114">
                  <c:v>91.113220828544385</c:v>
                </c:pt>
                <c:pt idx="115">
                  <c:v>91.161037220898649</c:v>
                </c:pt>
                <c:pt idx="116">
                  <c:v>91.207946179521812</c:v>
                </c:pt>
                <c:pt idx="117">
                  <c:v>91.25396936155019</c:v>
                </c:pt>
                <c:pt idx="118">
                  <c:v>91.299127739857283</c:v>
                </c:pt>
                <c:pt idx="119">
                  <c:v>91.343441629854865</c:v>
                </c:pt>
                <c:pt idx="120">
                  <c:v>91.386930715044031</c:v>
                </c:pt>
                <c:pt idx="121">
                  <c:v>91.429614071383924</c:v>
                </c:pt>
                <c:pt idx="122">
                  <c:v>91.47151019054138</c:v>
                </c:pt>
                <c:pt idx="123">
                  <c:v>91.512637002081078</c:v>
                </c:pt>
                <c:pt idx="124">
                  <c:v>91.553011894651831</c:v>
                </c:pt>
                <c:pt idx="125">
                  <c:v>91.592651736222081</c:v>
                </c:pt>
                <c:pt idx="126">
                  <c:v>91.631572893413477</c:v>
                </c:pt>
                <c:pt idx="127">
                  <c:v>91.669791249979582</c:v>
                </c:pt>
                <c:pt idx="128">
                  <c:v>91.707322224473046</c:v>
                </c:pt>
                <c:pt idx="129">
                  <c:v>91.74418078714281</c:v>
                </c:pt>
                <c:pt idx="130">
                  <c:v>91.780381476100189</c:v>
                </c:pt>
                <c:pt idx="131">
                  <c:v>91.815938412790317</c:v>
                </c:pt>
                <c:pt idx="132">
                  <c:v>91.850865316803635</c:v>
                </c:pt>
                <c:pt idx="133">
                  <c:v>91.88517552006013</c:v>
                </c:pt>
                <c:pt idx="134">
                  <c:v>91.918881980396804</c:v>
                </c:pt>
                <c:pt idx="135">
                  <c:v>91.951997294587855</c:v>
                </c:pt>
                <c:pt idx="136">
                  <c:v>91.98453371082465</c:v>
                </c:pt>
                <c:pt idx="137">
                  <c:v>92.01650314068165</c:v>
                </c:pt>
                <c:pt idx="138">
                  <c:v>92.047917170592896</c:v>
                </c:pt>
                <c:pt idx="139">
                  <c:v>92.078787072861985</c:v>
                </c:pt>
                <c:pt idx="140">
                  <c:v>92.109123816227694</c:v>
                </c:pt>
                <c:pt idx="141">
                  <c:v>92.138938076006184</c:v>
                </c:pt>
                <c:pt idx="142">
                  <c:v>92.168240243829004</c:v>
                </c:pt>
                <c:pt idx="143">
                  <c:v>92.197040436996076</c:v>
                </c:pt>
                <c:pt idx="144">
                  <c:v>92.225348507460893</c:v>
                </c:pt>
                <c:pt idx="145">
                  <c:v>92.253174050464992</c:v>
                </c:pt>
                <c:pt idx="146">
                  <c:v>92.280526412837347</c:v>
                </c:pt>
                <c:pt idx="147">
                  <c:v>92.307414700973879</c:v>
                </c:pt>
                <c:pt idx="148">
                  <c:v>92.333847788511406</c:v>
                </c:pt>
                <c:pt idx="149">
                  <c:v>92.359834323709407</c:v>
                </c:pt>
                <c:pt idx="150">
                  <c:v>92.385382736552785</c:v>
                </c:pt>
                <c:pt idx="151">
                  <c:v>92.410501245587611</c:v>
                </c:pt>
                <c:pt idx="152">
                  <c:v>92.435197864501518</c:v>
                </c:pt>
                <c:pt idx="153">
                  <c:v>92.459480408459996</c:v>
                </c:pt>
                <c:pt idx="154">
                  <c:v>92.483356500208885</c:v>
                </c:pt>
                <c:pt idx="155">
                  <c:v>92.506833575953067</c:v>
                </c:pt>
                <c:pt idx="156">
                  <c:v>92.529918891021069</c:v>
                </c:pt>
                <c:pt idx="157">
                  <c:v>92.552619525324459</c:v>
                </c:pt>
                <c:pt idx="158">
                  <c:v>92.574942388620556</c:v>
                </c:pt>
                <c:pt idx="159">
                  <c:v>92.59689422558705</c:v>
                </c:pt>
                <c:pt idx="160">
                  <c:v>92.618481620715826</c:v>
                </c:pt>
                <c:pt idx="161">
                  <c:v>92.639711003033923</c:v>
                </c:pt>
                <c:pt idx="162">
                  <c:v>92.660588650658354</c:v>
                </c:pt>
                <c:pt idx="163">
                  <c:v>92.681120695191879</c:v>
                </c:pt>
                <c:pt idx="164">
                  <c:v>92.701313125965811</c:v>
                </c:pt>
                <c:pt idx="165">
                  <c:v>92.721171794136495</c:v>
                </c:pt>
                <c:pt idx="166">
                  <c:v>92.74070241664073</c:v>
                </c:pt>
                <c:pt idx="167">
                  <c:v>92.759910580016438</c:v>
                </c:pt>
                <c:pt idx="168">
                  <c:v>92.778801744093215</c:v>
                </c:pt>
                <c:pt idx="169">
                  <c:v>92.797381245558569</c:v>
                </c:pt>
                <c:pt idx="170">
                  <c:v>92.815654301404152</c:v>
                </c:pt>
                <c:pt idx="171">
                  <c:v>92.833626012256971</c:v>
                </c:pt>
                <c:pt idx="172">
                  <c:v>92.851301365600008</c:v>
                </c:pt>
                <c:pt idx="173">
                  <c:v>92.868685238886371</c:v>
                </c:pt>
                <c:pt idx="174">
                  <c:v>92.885782402551243</c:v>
                </c:pt>
                <c:pt idx="175">
                  <c:v>92.902597522925419</c:v>
                </c:pt>
                <c:pt idx="176">
                  <c:v>92.919135165054001</c:v>
                </c:pt>
                <c:pt idx="177">
                  <c:v>92.935399795424317</c:v>
                </c:pt>
                <c:pt idx="178">
                  <c:v>92.951395784605836</c:v>
                </c:pt>
                <c:pt idx="179">
                  <c:v>92.967127409805911</c:v>
                </c:pt>
                <c:pt idx="180">
                  <c:v>92.982598857344044</c:v>
                </c:pt>
                <c:pt idx="181">
                  <c:v>92.997814225048018</c:v>
                </c:pt>
                <c:pt idx="182">
                  <c:v>93.012777524574631</c:v>
                </c:pt>
                <c:pt idx="183">
                  <c:v>93.02749268365757</c:v>
                </c:pt>
                <c:pt idx="184">
                  <c:v>93.041963548285551</c:v>
                </c:pt>
                <c:pt idx="185">
                  <c:v>93.056193884812771</c:v>
                </c:pt>
                <c:pt idx="186">
                  <c:v>93.070187382004505</c:v>
                </c:pt>
                <c:pt idx="187">
                  <c:v>93.083947653019621</c:v>
                </c:pt>
                <c:pt idx="188">
                  <c:v>93.097478237333064</c:v>
                </c:pt>
                <c:pt idx="189">
                  <c:v>93.110782602599613</c:v>
                </c:pt>
                <c:pt idx="190">
                  <c:v>93.123864146461557</c:v>
                </c:pt>
                <c:pt idx="191">
                  <c:v>93.136726198301929</c:v>
                </c:pt>
                <c:pt idx="192">
                  <c:v>93.149372020945364</c:v>
                </c:pt>
                <c:pt idx="193">
                  <c:v>93.16180481230839</c:v>
                </c:pt>
                <c:pt idx="194">
                  <c:v>93.174027707000732</c:v>
                </c:pt>
                <c:pt idx="195">
                  <c:v>93.186043777879604</c:v>
                </c:pt>
                <c:pt idx="196">
                  <c:v>93.197856037558282</c:v>
                </c:pt>
                <c:pt idx="197">
                  <c:v>93.20946743987075</c:v>
                </c:pt>
                <c:pt idx="198">
                  <c:v>93.220880881293823</c:v>
                </c:pt>
                <c:pt idx="199">
                  <c:v>93.232099202328115</c:v>
                </c:pt>
                <c:pt idx="200">
                  <c:v>93.243125188839358</c:v>
                </c:pt>
              </c:numCache>
            </c:numRef>
          </c:val>
          <c:smooth val="0"/>
          <c:extLst>
            <c:ext xmlns:c16="http://schemas.microsoft.com/office/drawing/2014/chart" uri="{C3380CC4-5D6E-409C-BE32-E72D297353CC}">
              <c16:uniqueId val="{00000000-7890-472B-AAE1-D1CB0E55BFDF}"/>
            </c:ext>
          </c:extLst>
        </c:ser>
        <c:dLbls>
          <c:showLegendKey val="0"/>
          <c:showVal val="0"/>
          <c:showCatName val="0"/>
          <c:showSerName val="0"/>
          <c:showPercent val="0"/>
          <c:showBubbleSize val="0"/>
        </c:dLbls>
        <c:marker val="1"/>
        <c:smooth val="0"/>
        <c:axId val="308580352"/>
        <c:axId val="308582272"/>
      </c:lineChart>
      <c:lineChart>
        <c:grouping val="standard"/>
        <c:varyColors val="0"/>
        <c:ser>
          <c:idx val="3"/>
          <c:order val="1"/>
          <c:tx>
            <c:v> Inductor Copper &amp; Core Loss</c:v>
          </c:tx>
          <c:spPr>
            <a:ln w="38100">
              <a:solidFill>
                <a:srgbClr val="800080"/>
              </a:solidFill>
              <a:prstDash val="dash"/>
            </a:ln>
          </c:spPr>
          <c:marker>
            <c:symbol val="none"/>
          </c:marker>
          <c:cat>
            <c:numRef>
              <c:f>'Power Calculations'!$H$9:$H$209</c:f>
              <c:numCache>
                <c:formatCode>General</c:formatCode>
                <c:ptCount val="201"/>
                <c:pt idx="0">
                  <c:v>0</c:v>
                </c:pt>
                <c:pt idx="1">
                  <c:v>0.01</c:v>
                </c:pt>
                <c:pt idx="2">
                  <c:v>0.02</c:v>
                </c:pt>
                <c:pt idx="3">
                  <c:v>0.03</c:v>
                </c:pt>
                <c:pt idx="4">
                  <c:v>0.04</c:v>
                </c:pt>
                <c:pt idx="5">
                  <c:v>0.05</c:v>
                </c:pt>
                <c:pt idx="6">
                  <c:v>0.06</c:v>
                </c:pt>
                <c:pt idx="7">
                  <c:v>7.0000000000000007E-2</c:v>
                </c:pt>
                <c:pt idx="8">
                  <c:v>0.08</c:v>
                </c:pt>
                <c:pt idx="9">
                  <c:v>0.09</c:v>
                </c:pt>
                <c:pt idx="10">
                  <c:v>0.1</c:v>
                </c:pt>
                <c:pt idx="11">
                  <c:v>0.11</c:v>
                </c:pt>
                <c:pt idx="12">
                  <c:v>0.12</c:v>
                </c:pt>
                <c:pt idx="13">
                  <c:v>0.13</c:v>
                </c:pt>
                <c:pt idx="14">
                  <c:v>0.14000000000000001</c:v>
                </c:pt>
                <c:pt idx="15">
                  <c:v>0.15</c:v>
                </c:pt>
                <c:pt idx="16">
                  <c:v>0.16</c:v>
                </c:pt>
                <c:pt idx="17">
                  <c:v>0.17</c:v>
                </c:pt>
                <c:pt idx="18">
                  <c:v>0.18</c:v>
                </c:pt>
                <c:pt idx="19">
                  <c:v>0.19</c:v>
                </c:pt>
                <c:pt idx="20">
                  <c:v>0.2</c:v>
                </c:pt>
                <c:pt idx="21">
                  <c:v>0.21</c:v>
                </c:pt>
                <c:pt idx="22">
                  <c:v>0.22</c:v>
                </c:pt>
                <c:pt idx="23">
                  <c:v>0.23</c:v>
                </c:pt>
                <c:pt idx="24">
                  <c:v>0.24</c:v>
                </c:pt>
                <c:pt idx="25">
                  <c:v>0.25</c:v>
                </c:pt>
                <c:pt idx="26">
                  <c:v>0.26</c:v>
                </c:pt>
                <c:pt idx="27">
                  <c:v>0.27</c:v>
                </c:pt>
                <c:pt idx="28">
                  <c:v>0.28000000000000003</c:v>
                </c:pt>
                <c:pt idx="29">
                  <c:v>0.28999999999999998</c:v>
                </c:pt>
                <c:pt idx="30">
                  <c:v>0.3</c:v>
                </c:pt>
                <c:pt idx="31">
                  <c:v>0.31</c:v>
                </c:pt>
                <c:pt idx="32">
                  <c:v>0.32</c:v>
                </c:pt>
                <c:pt idx="33">
                  <c:v>0.33</c:v>
                </c:pt>
                <c:pt idx="34">
                  <c:v>0.34</c:v>
                </c:pt>
                <c:pt idx="35">
                  <c:v>0.35</c:v>
                </c:pt>
                <c:pt idx="36">
                  <c:v>0.36</c:v>
                </c:pt>
                <c:pt idx="37">
                  <c:v>0.37</c:v>
                </c:pt>
                <c:pt idx="38">
                  <c:v>0.38</c:v>
                </c:pt>
                <c:pt idx="39">
                  <c:v>0.39</c:v>
                </c:pt>
                <c:pt idx="40">
                  <c:v>0.4</c:v>
                </c:pt>
                <c:pt idx="41">
                  <c:v>0.41</c:v>
                </c:pt>
                <c:pt idx="42">
                  <c:v>0.42</c:v>
                </c:pt>
                <c:pt idx="43">
                  <c:v>0.43</c:v>
                </c:pt>
                <c:pt idx="44">
                  <c:v>0.44</c:v>
                </c:pt>
                <c:pt idx="45">
                  <c:v>0.45</c:v>
                </c:pt>
                <c:pt idx="46">
                  <c:v>0.46</c:v>
                </c:pt>
                <c:pt idx="47">
                  <c:v>0.47</c:v>
                </c:pt>
                <c:pt idx="48">
                  <c:v>0.48</c:v>
                </c:pt>
                <c:pt idx="49">
                  <c:v>0.49</c:v>
                </c:pt>
                <c:pt idx="50">
                  <c:v>0.5</c:v>
                </c:pt>
                <c:pt idx="51">
                  <c:v>0.51</c:v>
                </c:pt>
                <c:pt idx="52">
                  <c:v>0.52</c:v>
                </c:pt>
                <c:pt idx="53">
                  <c:v>0.53</c:v>
                </c:pt>
                <c:pt idx="54">
                  <c:v>0.54</c:v>
                </c:pt>
                <c:pt idx="55">
                  <c:v>0.55000000000000004</c:v>
                </c:pt>
                <c:pt idx="56">
                  <c:v>0.56000000000000005</c:v>
                </c:pt>
                <c:pt idx="57">
                  <c:v>0.56999999999999995</c:v>
                </c:pt>
                <c:pt idx="58">
                  <c:v>0.57999999999999996</c:v>
                </c:pt>
                <c:pt idx="59">
                  <c:v>0.59</c:v>
                </c:pt>
                <c:pt idx="60">
                  <c:v>0.6</c:v>
                </c:pt>
                <c:pt idx="61">
                  <c:v>0.61</c:v>
                </c:pt>
                <c:pt idx="62">
                  <c:v>0.62</c:v>
                </c:pt>
                <c:pt idx="63">
                  <c:v>0.63</c:v>
                </c:pt>
                <c:pt idx="64">
                  <c:v>0.64</c:v>
                </c:pt>
                <c:pt idx="65">
                  <c:v>0.65</c:v>
                </c:pt>
                <c:pt idx="66">
                  <c:v>0.66</c:v>
                </c:pt>
                <c:pt idx="67">
                  <c:v>0.67</c:v>
                </c:pt>
                <c:pt idx="68">
                  <c:v>0.68</c:v>
                </c:pt>
                <c:pt idx="69">
                  <c:v>0.69</c:v>
                </c:pt>
                <c:pt idx="70">
                  <c:v>0.7</c:v>
                </c:pt>
                <c:pt idx="71">
                  <c:v>0.71</c:v>
                </c:pt>
                <c:pt idx="72">
                  <c:v>0.72</c:v>
                </c:pt>
                <c:pt idx="73">
                  <c:v>0.73</c:v>
                </c:pt>
                <c:pt idx="74">
                  <c:v>0.74</c:v>
                </c:pt>
                <c:pt idx="75">
                  <c:v>0.75</c:v>
                </c:pt>
                <c:pt idx="76">
                  <c:v>0.76</c:v>
                </c:pt>
                <c:pt idx="77">
                  <c:v>0.77</c:v>
                </c:pt>
                <c:pt idx="78">
                  <c:v>0.78</c:v>
                </c:pt>
                <c:pt idx="79">
                  <c:v>0.79</c:v>
                </c:pt>
                <c:pt idx="80">
                  <c:v>0.8</c:v>
                </c:pt>
                <c:pt idx="81">
                  <c:v>0.81</c:v>
                </c:pt>
                <c:pt idx="82">
                  <c:v>0.82</c:v>
                </c:pt>
                <c:pt idx="83">
                  <c:v>0.83</c:v>
                </c:pt>
                <c:pt idx="84">
                  <c:v>0.84</c:v>
                </c:pt>
                <c:pt idx="85">
                  <c:v>0.85</c:v>
                </c:pt>
                <c:pt idx="86">
                  <c:v>0.86</c:v>
                </c:pt>
                <c:pt idx="87">
                  <c:v>0.87</c:v>
                </c:pt>
                <c:pt idx="88">
                  <c:v>0.88</c:v>
                </c:pt>
                <c:pt idx="89">
                  <c:v>0.89</c:v>
                </c:pt>
                <c:pt idx="90">
                  <c:v>0.9</c:v>
                </c:pt>
                <c:pt idx="91">
                  <c:v>0.91</c:v>
                </c:pt>
                <c:pt idx="92">
                  <c:v>0.92</c:v>
                </c:pt>
                <c:pt idx="93">
                  <c:v>0.93</c:v>
                </c:pt>
                <c:pt idx="94">
                  <c:v>0.94</c:v>
                </c:pt>
                <c:pt idx="95">
                  <c:v>0.95</c:v>
                </c:pt>
                <c:pt idx="96">
                  <c:v>0.96</c:v>
                </c:pt>
                <c:pt idx="97">
                  <c:v>0.97</c:v>
                </c:pt>
                <c:pt idx="98">
                  <c:v>0.98</c:v>
                </c:pt>
                <c:pt idx="99">
                  <c:v>0.99</c:v>
                </c:pt>
                <c:pt idx="100">
                  <c:v>1</c:v>
                </c:pt>
                <c:pt idx="101">
                  <c:v>1.01</c:v>
                </c:pt>
                <c:pt idx="102">
                  <c:v>1.02</c:v>
                </c:pt>
                <c:pt idx="103">
                  <c:v>1.03</c:v>
                </c:pt>
                <c:pt idx="104">
                  <c:v>1.04</c:v>
                </c:pt>
                <c:pt idx="105">
                  <c:v>1.05</c:v>
                </c:pt>
                <c:pt idx="106">
                  <c:v>1.06</c:v>
                </c:pt>
                <c:pt idx="107">
                  <c:v>1.07</c:v>
                </c:pt>
                <c:pt idx="108">
                  <c:v>1.08</c:v>
                </c:pt>
                <c:pt idx="109">
                  <c:v>1.0900000000000001</c:v>
                </c:pt>
                <c:pt idx="110">
                  <c:v>1.1000000000000001</c:v>
                </c:pt>
                <c:pt idx="111">
                  <c:v>1.1100000000000001</c:v>
                </c:pt>
                <c:pt idx="112">
                  <c:v>1.1200000000000001</c:v>
                </c:pt>
                <c:pt idx="113">
                  <c:v>1.1299999999999999</c:v>
                </c:pt>
                <c:pt idx="114">
                  <c:v>1.1399999999999999</c:v>
                </c:pt>
                <c:pt idx="115">
                  <c:v>1.1499999999999999</c:v>
                </c:pt>
                <c:pt idx="116">
                  <c:v>1.1599999999999999</c:v>
                </c:pt>
                <c:pt idx="117">
                  <c:v>1.17</c:v>
                </c:pt>
                <c:pt idx="118">
                  <c:v>1.18</c:v>
                </c:pt>
                <c:pt idx="119">
                  <c:v>1.19</c:v>
                </c:pt>
                <c:pt idx="120">
                  <c:v>1.2</c:v>
                </c:pt>
                <c:pt idx="121">
                  <c:v>1.21</c:v>
                </c:pt>
                <c:pt idx="122">
                  <c:v>1.22</c:v>
                </c:pt>
                <c:pt idx="123">
                  <c:v>1.23</c:v>
                </c:pt>
                <c:pt idx="124">
                  <c:v>1.24</c:v>
                </c:pt>
                <c:pt idx="125">
                  <c:v>1.25</c:v>
                </c:pt>
                <c:pt idx="126">
                  <c:v>1.26</c:v>
                </c:pt>
                <c:pt idx="127">
                  <c:v>1.27</c:v>
                </c:pt>
                <c:pt idx="128">
                  <c:v>1.28</c:v>
                </c:pt>
                <c:pt idx="129">
                  <c:v>1.29</c:v>
                </c:pt>
                <c:pt idx="130">
                  <c:v>1.3</c:v>
                </c:pt>
                <c:pt idx="131">
                  <c:v>1.31</c:v>
                </c:pt>
                <c:pt idx="132">
                  <c:v>1.32</c:v>
                </c:pt>
                <c:pt idx="133">
                  <c:v>1.33</c:v>
                </c:pt>
                <c:pt idx="134">
                  <c:v>1.34</c:v>
                </c:pt>
                <c:pt idx="135">
                  <c:v>1.35</c:v>
                </c:pt>
                <c:pt idx="136">
                  <c:v>1.36</c:v>
                </c:pt>
                <c:pt idx="137">
                  <c:v>1.37</c:v>
                </c:pt>
                <c:pt idx="138">
                  <c:v>1.38</c:v>
                </c:pt>
                <c:pt idx="139">
                  <c:v>1.39</c:v>
                </c:pt>
                <c:pt idx="140">
                  <c:v>1.4</c:v>
                </c:pt>
                <c:pt idx="141">
                  <c:v>1.41</c:v>
                </c:pt>
                <c:pt idx="142">
                  <c:v>1.42</c:v>
                </c:pt>
                <c:pt idx="143">
                  <c:v>1.43</c:v>
                </c:pt>
                <c:pt idx="144">
                  <c:v>1.44</c:v>
                </c:pt>
                <c:pt idx="145">
                  <c:v>1.45</c:v>
                </c:pt>
                <c:pt idx="146">
                  <c:v>1.46</c:v>
                </c:pt>
                <c:pt idx="147">
                  <c:v>1.47</c:v>
                </c:pt>
                <c:pt idx="148">
                  <c:v>1.48</c:v>
                </c:pt>
                <c:pt idx="149">
                  <c:v>1.49</c:v>
                </c:pt>
                <c:pt idx="150">
                  <c:v>1.5</c:v>
                </c:pt>
                <c:pt idx="151">
                  <c:v>1.51</c:v>
                </c:pt>
                <c:pt idx="152">
                  <c:v>1.52</c:v>
                </c:pt>
                <c:pt idx="153">
                  <c:v>1.53</c:v>
                </c:pt>
                <c:pt idx="154">
                  <c:v>1.54</c:v>
                </c:pt>
                <c:pt idx="155">
                  <c:v>1.55</c:v>
                </c:pt>
                <c:pt idx="156">
                  <c:v>1.56</c:v>
                </c:pt>
                <c:pt idx="157">
                  <c:v>1.57</c:v>
                </c:pt>
                <c:pt idx="158">
                  <c:v>1.58</c:v>
                </c:pt>
                <c:pt idx="159">
                  <c:v>1.59</c:v>
                </c:pt>
                <c:pt idx="160">
                  <c:v>1.6</c:v>
                </c:pt>
                <c:pt idx="161">
                  <c:v>1.61</c:v>
                </c:pt>
                <c:pt idx="162">
                  <c:v>1.62</c:v>
                </c:pt>
                <c:pt idx="163">
                  <c:v>1.63</c:v>
                </c:pt>
                <c:pt idx="164">
                  <c:v>1.64</c:v>
                </c:pt>
                <c:pt idx="165">
                  <c:v>1.65</c:v>
                </c:pt>
                <c:pt idx="166">
                  <c:v>1.66</c:v>
                </c:pt>
                <c:pt idx="167">
                  <c:v>1.67</c:v>
                </c:pt>
                <c:pt idx="168">
                  <c:v>1.68</c:v>
                </c:pt>
                <c:pt idx="169">
                  <c:v>1.69</c:v>
                </c:pt>
                <c:pt idx="170">
                  <c:v>1.7</c:v>
                </c:pt>
                <c:pt idx="171">
                  <c:v>1.71</c:v>
                </c:pt>
                <c:pt idx="172">
                  <c:v>1.72</c:v>
                </c:pt>
                <c:pt idx="173">
                  <c:v>1.73</c:v>
                </c:pt>
                <c:pt idx="174">
                  <c:v>1.74</c:v>
                </c:pt>
                <c:pt idx="175">
                  <c:v>1.75</c:v>
                </c:pt>
                <c:pt idx="176">
                  <c:v>1.76</c:v>
                </c:pt>
                <c:pt idx="177">
                  <c:v>1.77</c:v>
                </c:pt>
                <c:pt idx="178">
                  <c:v>1.78</c:v>
                </c:pt>
                <c:pt idx="179">
                  <c:v>1.79</c:v>
                </c:pt>
                <c:pt idx="180">
                  <c:v>1.8</c:v>
                </c:pt>
                <c:pt idx="181">
                  <c:v>1.81</c:v>
                </c:pt>
                <c:pt idx="182">
                  <c:v>1.82</c:v>
                </c:pt>
                <c:pt idx="183">
                  <c:v>1.83</c:v>
                </c:pt>
                <c:pt idx="184">
                  <c:v>1.84</c:v>
                </c:pt>
                <c:pt idx="185">
                  <c:v>1.85</c:v>
                </c:pt>
                <c:pt idx="186">
                  <c:v>1.86</c:v>
                </c:pt>
                <c:pt idx="187">
                  <c:v>1.87</c:v>
                </c:pt>
                <c:pt idx="188">
                  <c:v>1.88</c:v>
                </c:pt>
                <c:pt idx="189">
                  <c:v>1.89</c:v>
                </c:pt>
                <c:pt idx="190">
                  <c:v>1.9</c:v>
                </c:pt>
                <c:pt idx="191">
                  <c:v>1.91</c:v>
                </c:pt>
                <c:pt idx="192">
                  <c:v>1.92</c:v>
                </c:pt>
                <c:pt idx="193">
                  <c:v>1.93</c:v>
                </c:pt>
                <c:pt idx="194">
                  <c:v>1.94</c:v>
                </c:pt>
                <c:pt idx="195">
                  <c:v>1.95</c:v>
                </c:pt>
                <c:pt idx="196">
                  <c:v>1.96</c:v>
                </c:pt>
                <c:pt idx="197">
                  <c:v>1.97</c:v>
                </c:pt>
                <c:pt idx="198">
                  <c:v>1.98</c:v>
                </c:pt>
                <c:pt idx="199">
                  <c:v>1.99</c:v>
                </c:pt>
                <c:pt idx="200">
                  <c:v>2</c:v>
                </c:pt>
              </c:numCache>
            </c:numRef>
          </c:cat>
          <c:val>
            <c:numRef>
              <c:f>'Power Calculations'!$Q$9:$Q$209</c:f>
              <c:numCache>
                <c:formatCode>0.0000</c:formatCode>
                <c:ptCount val="201"/>
                <c:pt idx="0">
                  <c:v>0.20041460621540902</c:v>
                </c:pt>
                <c:pt idx="1">
                  <c:v>0.2004171490634078</c:v>
                </c:pt>
                <c:pt idx="2">
                  <c:v>0.20042463225249391</c:v>
                </c:pt>
                <c:pt idx="3">
                  <c:v>0.20043705580041213</c:v>
                </c:pt>
                <c:pt idx="4">
                  <c:v>0.20045441973662231</c:v>
                </c:pt>
                <c:pt idx="5">
                  <c:v>0.20047672410229958</c:v>
                </c:pt>
                <c:pt idx="6">
                  <c:v>0.20050396895033451</c:v>
                </c:pt>
                <c:pt idx="7">
                  <c:v>0.20053615434533356</c:v>
                </c:pt>
                <c:pt idx="8">
                  <c:v>0.20057328036361929</c:v>
                </c:pt>
                <c:pt idx="9">
                  <c:v>0.20061534709323101</c:v>
                </c:pt>
                <c:pt idx="10">
                  <c:v>0.20066235463392507</c:v>
                </c:pt>
                <c:pt idx="11">
                  <c:v>0.20071430309717569</c:v>
                </c:pt>
                <c:pt idx="12">
                  <c:v>0.20077119260617549</c:v>
                </c:pt>
                <c:pt idx="13">
                  <c:v>0.20083302329583616</c:v>
                </c:pt>
                <c:pt idx="14">
                  <c:v>0.2008997953127894</c:v>
                </c:pt>
                <c:pt idx="15">
                  <c:v>0.20097150881538772</c:v>
                </c:pt>
                <c:pt idx="16">
                  <c:v>0.2010481639737054</c:v>
                </c:pt>
                <c:pt idx="17">
                  <c:v>0.20112976096953947</c:v>
                </c:pt>
                <c:pt idx="18">
                  <c:v>0.2012162999964108</c:v>
                </c:pt>
                <c:pt idx="19">
                  <c:v>0.20130778125956528</c:v>
                </c:pt>
                <c:pt idx="20">
                  <c:v>0.20140420497597492</c:v>
                </c:pt>
                <c:pt idx="21">
                  <c:v>0.20150557137433933</c:v>
                </c:pt>
                <c:pt idx="22">
                  <c:v>0.20161188069508695</c:v>
                </c:pt>
                <c:pt idx="23">
                  <c:v>0.20172313319037644</c:v>
                </c:pt>
                <c:pt idx="24">
                  <c:v>0.20183932912409827</c:v>
                </c:pt>
                <c:pt idx="25">
                  <c:v>0.20196046877187626</c:v>
                </c:pt>
                <c:pt idx="26">
                  <c:v>0.20208655242106918</c:v>
                </c:pt>
                <c:pt idx="27">
                  <c:v>0.20221758037077248</c:v>
                </c:pt>
                <c:pt idx="28">
                  <c:v>0.20235355293182003</c:v>
                </c:pt>
                <c:pt idx="29">
                  <c:v>0.20249447042678609</c:v>
                </c:pt>
                <c:pt idx="30">
                  <c:v>0.20264033318998703</c:v>
                </c:pt>
                <c:pt idx="31">
                  <c:v>0.20279114156748343</c:v>
                </c:pt>
                <c:pt idx="32">
                  <c:v>0.20294689591708218</c:v>
                </c:pt>
                <c:pt idx="33">
                  <c:v>0.20310759660833841</c:v>
                </c:pt>
                <c:pt idx="34">
                  <c:v>0.20327324402255795</c:v>
                </c:pt>
                <c:pt idx="35">
                  <c:v>0.20344383855279935</c:v>
                </c:pt>
                <c:pt idx="36">
                  <c:v>0.20361938060387635</c:v>
                </c:pt>
                <c:pt idx="37">
                  <c:v>0.20379987059236029</c:v>
                </c:pt>
                <c:pt idx="38">
                  <c:v>0.20398530894658246</c:v>
                </c:pt>
                <c:pt idx="39">
                  <c:v>0.20417569610663677</c:v>
                </c:pt>
                <c:pt idx="40">
                  <c:v>0.2043710325243823</c:v>
                </c:pt>
                <c:pt idx="41">
                  <c:v>0.20457131866344597</c:v>
                </c:pt>
                <c:pt idx="42">
                  <c:v>0.20477655499922537</c:v>
                </c:pt>
                <c:pt idx="43">
                  <c:v>0.20498674201889153</c:v>
                </c:pt>
                <c:pt idx="44">
                  <c:v>0.20520188022139171</c:v>
                </c:pt>
                <c:pt idx="45">
                  <c:v>0.20542197011745261</c:v>
                </c:pt>
                <c:pt idx="46">
                  <c:v>0.20564701222958315</c:v>
                </c:pt>
                <c:pt idx="47">
                  <c:v>0.20587700709207771</c:v>
                </c:pt>
                <c:pt idx="48">
                  <c:v>0.2061119552510193</c:v>
                </c:pt>
                <c:pt idx="49">
                  <c:v>0.20635185726428276</c:v>
                </c:pt>
                <c:pt idx="50">
                  <c:v>0.20659671370153807</c:v>
                </c:pt>
                <c:pt idx="51">
                  <c:v>0.20684652514425375</c:v>
                </c:pt>
                <c:pt idx="52">
                  <c:v>0.20710129218570034</c:v>
                </c:pt>
                <c:pt idx="53">
                  <c:v>0.20736101543095392</c:v>
                </c:pt>
                <c:pt idx="54">
                  <c:v>0.20762569549689966</c:v>
                </c:pt>
                <c:pt idx="55">
                  <c:v>0.20789533301223553</c:v>
                </c:pt>
                <c:pt idx="56">
                  <c:v>0.20816992861747596</c:v>
                </c:pt>
                <c:pt idx="57">
                  <c:v>0.20844948296495583</c:v>
                </c:pt>
                <c:pt idx="58">
                  <c:v>0.20873399671883408</c:v>
                </c:pt>
                <c:pt idx="59">
                  <c:v>0.2090234705550979</c:v>
                </c:pt>
                <c:pt idx="60">
                  <c:v>0.20931790516156665</c:v>
                </c:pt>
                <c:pt idx="61">
                  <c:v>0.20961730123789588</c:v>
                </c:pt>
                <c:pt idx="62">
                  <c:v>0.20992165949558161</c:v>
                </c:pt>
                <c:pt idx="63">
                  <c:v>0.2102309806579645</c:v>
                </c:pt>
                <c:pt idx="64">
                  <c:v>0.21054526546023419</c:v>
                </c:pt>
                <c:pt idx="65">
                  <c:v>0.21086451464943362</c:v>
                </c:pt>
                <c:pt idx="66">
                  <c:v>0.2111887289844635</c:v>
                </c:pt>
                <c:pt idx="67">
                  <c:v>0.21151790923608682</c:v>
                </c:pt>
                <c:pt idx="68">
                  <c:v>0.21185205618693345</c:v>
                </c:pt>
                <c:pt idx="69">
                  <c:v>0.21219117063150481</c:v>
                </c:pt>
                <c:pt idx="70">
                  <c:v>0.21253525337617854</c:v>
                </c:pt>
                <c:pt idx="71">
                  <c:v>0.21288430523921337</c:v>
                </c:pt>
                <c:pt idx="72">
                  <c:v>0.21323832705075393</c:v>
                </c:pt>
                <c:pt idx="73">
                  <c:v>0.21359731965283577</c:v>
                </c:pt>
                <c:pt idx="74">
                  <c:v>0.21396128389939023</c:v>
                </c:pt>
                <c:pt idx="75">
                  <c:v>0.21433022065624971</c:v>
                </c:pt>
                <c:pt idx="76">
                  <c:v>0.21470413080115267</c:v>
                </c:pt>
                <c:pt idx="77">
                  <c:v>0.21508301522374898</c:v>
                </c:pt>
                <c:pt idx="78">
                  <c:v>0.21546687482560514</c:v>
                </c:pt>
                <c:pt idx="79">
                  <c:v>0.21585571052020966</c:v>
                </c:pt>
                <c:pt idx="80">
                  <c:v>0.21624952323297852</c:v>
                </c:pt>
                <c:pt idx="81">
                  <c:v>0.21664831390126071</c:v>
                </c:pt>
                <c:pt idx="82">
                  <c:v>0.21705208347434379</c:v>
                </c:pt>
                <c:pt idx="83">
                  <c:v>0.2174608329134595</c:v>
                </c:pt>
                <c:pt idx="84">
                  <c:v>0.21787456319178958</c:v>
                </c:pt>
                <c:pt idx="85">
                  <c:v>0.21829327529447154</c:v>
                </c:pt>
                <c:pt idx="86">
                  <c:v>0.21871697021860448</c:v>
                </c:pt>
                <c:pt idx="87">
                  <c:v>0.21914564897325517</c:v>
                </c:pt>
                <c:pt idx="88">
                  <c:v>0.21957931257946389</c:v>
                </c:pt>
                <c:pt idx="89">
                  <c:v>0.22001796207025068</c:v>
                </c:pt>
                <c:pt idx="90">
                  <c:v>0.22046159849062141</c:v>
                </c:pt>
                <c:pt idx="91">
                  <c:v>0.22091022289757409</c:v>
                </c:pt>
                <c:pt idx="92">
                  <c:v>0.22136383636010507</c:v>
                </c:pt>
                <c:pt idx="93">
                  <c:v>0.22182243995921552</c:v>
                </c:pt>
                <c:pt idx="94">
                  <c:v>0.22228603478791786</c:v>
                </c:pt>
                <c:pt idx="95">
                  <c:v>0.22275462195124229</c:v>
                </c:pt>
                <c:pt idx="96">
                  <c:v>0.22322820256624337</c:v>
                </c:pt>
                <c:pt idx="97">
                  <c:v>0.22370677776200668</c:v>
                </c:pt>
                <c:pt idx="98">
                  <c:v>0.22419034867965562</c:v>
                </c:pt>
                <c:pt idx="99">
                  <c:v>0.22467891647235819</c:v>
                </c:pt>
                <c:pt idx="100">
                  <c:v>0.22517248230533385</c:v>
                </c:pt>
                <c:pt idx="101">
                  <c:v>0.22567104735586063</c:v>
                </c:pt>
                <c:pt idx="102">
                  <c:v>0.22617461281328191</c:v>
                </c:pt>
                <c:pt idx="103">
                  <c:v>0.22668317987901385</c:v>
                </c:pt>
                <c:pt idx="104">
                  <c:v>0.22719674976655227</c:v>
                </c:pt>
                <c:pt idx="105">
                  <c:v>0.22771532370148018</c:v>
                </c:pt>
                <c:pt idx="106">
                  <c:v>0.22823890292147481</c:v>
                </c:pt>
                <c:pt idx="107">
                  <c:v>0.22876748867631538</c:v>
                </c:pt>
                <c:pt idx="108">
                  <c:v>0.22930108222789028</c:v>
                </c:pt>
                <c:pt idx="109">
                  <c:v>0.2298396848502047</c:v>
                </c:pt>
                <c:pt idx="110">
                  <c:v>0.23038329782938841</c:v>
                </c:pt>
                <c:pt idx="111">
                  <c:v>0.23093192246370323</c:v>
                </c:pt>
                <c:pt idx="112">
                  <c:v>0.23148556006355095</c:v>
                </c:pt>
                <c:pt idx="113">
                  <c:v>0.23204421195148117</c:v>
                </c:pt>
                <c:pt idx="114">
                  <c:v>0.23260787946219919</c:v>
                </c:pt>
                <c:pt idx="115">
                  <c:v>0.23317656394257397</c:v>
                </c:pt>
                <c:pt idx="116">
                  <c:v>0.23375026675164634</c:v>
                </c:pt>
                <c:pt idx="117">
                  <c:v>0.234328989260637</c:v>
                </c:pt>
                <c:pt idx="118">
                  <c:v>0.23491273285295483</c:v>
                </c:pt>
                <c:pt idx="119">
                  <c:v>0.23550149892420508</c:v>
                </c:pt>
                <c:pt idx="120">
                  <c:v>0.23609528888219794</c:v>
                </c:pt>
                <c:pt idx="121">
                  <c:v>0.23669410414695682</c:v>
                </c:pt>
                <c:pt idx="122">
                  <c:v>0.23729794615072689</c:v>
                </c:pt>
                <c:pt idx="123">
                  <c:v>0.23790681633798369</c:v>
                </c:pt>
                <c:pt idx="124">
                  <c:v>0.2385207161654419</c:v>
                </c:pt>
                <c:pt idx="125">
                  <c:v>0.23913964710206392</c:v>
                </c:pt>
                <c:pt idx="126">
                  <c:v>0.23976361062906881</c:v>
                </c:pt>
                <c:pt idx="127">
                  <c:v>0.24039260823994119</c:v>
                </c:pt>
                <c:pt idx="128">
                  <c:v>0.24102664144044011</c:v>
                </c:pt>
                <c:pt idx="129">
                  <c:v>0.24166571174860821</c:v>
                </c:pt>
                <c:pt idx="130">
                  <c:v>0.24230982069478077</c:v>
                </c:pt>
                <c:pt idx="131">
                  <c:v>0.24295896982159504</c:v>
                </c:pt>
                <c:pt idx="132">
                  <c:v>0.24361316068399924</c:v>
                </c:pt>
                <c:pt idx="133">
                  <c:v>0.2442723948492623</c:v>
                </c:pt>
                <c:pt idx="134">
                  <c:v>0.24493667389698295</c:v>
                </c:pt>
                <c:pt idx="135">
                  <c:v>0.24560599941909941</c:v>
                </c:pt>
                <c:pt idx="136">
                  <c:v>0.24628037301989886</c:v>
                </c:pt>
                <c:pt idx="137">
                  <c:v>0.24695979631602727</c:v>
                </c:pt>
                <c:pt idx="138">
                  <c:v>0.24764427093649891</c:v>
                </c:pt>
                <c:pt idx="139">
                  <c:v>0.24833379852270634</c:v>
                </c:pt>
                <c:pt idx="140">
                  <c:v>0.24902838072843028</c:v>
                </c:pt>
                <c:pt idx="141">
                  <c:v>0.24972801921984944</c:v>
                </c:pt>
                <c:pt idx="142">
                  <c:v>0.2504327156755507</c:v>
                </c:pt>
                <c:pt idx="143">
                  <c:v>0.25114247178653915</c:v>
                </c:pt>
                <c:pt idx="144">
                  <c:v>0.25185728925624845</c:v>
                </c:pt>
                <c:pt idx="145">
                  <c:v>0.25257716980055078</c:v>
                </c:pt>
                <c:pt idx="146">
                  <c:v>0.25330211514776751</c:v>
                </c:pt>
                <c:pt idx="147">
                  <c:v>0.25403212703867956</c:v>
                </c:pt>
                <c:pt idx="148">
                  <c:v>0.25476720722653773</c:v>
                </c:pt>
                <c:pt idx="149">
                  <c:v>0.25550735747707348</c:v>
                </c:pt>
                <c:pt idx="150">
                  <c:v>0.25625257956850955</c:v>
                </c:pt>
                <c:pt idx="151">
                  <c:v>0.25700287529157068</c:v>
                </c:pt>
                <c:pt idx="152">
                  <c:v>0.25775824644949441</c:v>
                </c:pt>
                <c:pt idx="153">
                  <c:v>0.25851869485804191</c:v>
                </c:pt>
                <c:pt idx="154">
                  <c:v>0.25928422234550924</c:v>
                </c:pt>
                <c:pt idx="155">
                  <c:v>0.26005483075273811</c:v>
                </c:pt>
                <c:pt idx="156">
                  <c:v>0.26083052193312706</c:v>
                </c:pt>
                <c:pt idx="157">
                  <c:v>0.26161129775264275</c:v>
                </c:pt>
                <c:pt idx="158">
                  <c:v>0.26239716008983138</c:v>
                </c:pt>
                <c:pt idx="159">
                  <c:v>0.26318811083582971</c:v>
                </c:pt>
                <c:pt idx="160">
                  <c:v>0.26398415189437696</c:v>
                </c:pt>
                <c:pt idx="161">
                  <c:v>0.26478528518182576</c:v>
                </c:pt>
                <c:pt idx="162">
                  <c:v>0.26559151262715441</c:v>
                </c:pt>
                <c:pt idx="163">
                  <c:v>0.26640283617197813</c:v>
                </c:pt>
                <c:pt idx="164">
                  <c:v>0.26721925777056094</c:v>
                </c:pt>
                <c:pt idx="165">
                  <c:v>0.26804077938982757</c:v>
                </c:pt>
                <c:pt idx="166">
                  <c:v>0.26886740300937523</c:v>
                </c:pt>
                <c:pt idx="167">
                  <c:v>0.26969913062148587</c:v>
                </c:pt>
                <c:pt idx="168">
                  <c:v>0.27053596423113818</c:v>
                </c:pt>
                <c:pt idx="169">
                  <c:v>0.27137790585601951</c:v>
                </c:pt>
                <c:pt idx="170">
                  <c:v>0.27222495752653847</c:v>
                </c:pt>
                <c:pt idx="171">
                  <c:v>0.27307712128583705</c:v>
                </c:pt>
                <c:pt idx="172">
                  <c:v>0.27393439918980322</c:v>
                </c:pt>
                <c:pt idx="173">
                  <c:v>0.27479679330708312</c:v>
                </c:pt>
                <c:pt idx="174">
                  <c:v>0.275664305719094</c:v>
                </c:pt>
                <c:pt idx="175">
                  <c:v>0.27653693852003658</c:v>
                </c:pt>
                <c:pt idx="176">
                  <c:v>0.27741469381690786</c:v>
                </c:pt>
                <c:pt idx="177">
                  <c:v>0.27829757372951419</c:v>
                </c:pt>
                <c:pt idx="178">
                  <c:v>0.27918558039048375</c:v>
                </c:pt>
                <c:pt idx="179">
                  <c:v>0.28007871594527989</c:v>
                </c:pt>
                <c:pt idx="180">
                  <c:v>0.28097698255221382</c:v>
                </c:pt>
                <c:pt idx="181">
                  <c:v>0.28188038238245833</c:v>
                </c:pt>
                <c:pt idx="182">
                  <c:v>0.28278891762006042</c:v>
                </c:pt>
                <c:pt idx="183">
                  <c:v>0.28370259046195501</c:v>
                </c:pt>
                <c:pt idx="184">
                  <c:v>0.28462140311797807</c:v>
                </c:pt>
                <c:pt idx="185">
                  <c:v>0.28554535781088036</c:v>
                </c:pt>
                <c:pt idx="186">
                  <c:v>0.28647445677634076</c:v>
                </c:pt>
                <c:pt idx="187">
                  <c:v>0.28740870226297993</c:v>
                </c:pt>
                <c:pt idx="188">
                  <c:v>0.28834809653237436</c:v>
                </c:pt>
                <c:pt idx="189">
                  <c:v>0.28929264185906978</c:v>
                </c:pt>
                <c:pt idx="190">
                  <c:v>0.29024234053059517</c:v>
                </c:pt>
                <c:pt idx="191">
                  <c:v>0.2911971948474768</c:v>
                </c:pt>
                <c:pt idx="192">
                  <c:v>0.29215720712325238</c:v>
                </c:pt>
                <c:pt idx="193">
                  <c:v>0.29312237968448496</c:v>
                </c:pt>
                <c:pt idx="194">
                  <c:v>0.29409271487077737</c:v>
                </c:pt>
                <c:pt idx="195">
                  <c:v>0.29506821503478647</c:v>
                </c:pt>
                <c:pt idx="196">
                  <c:v>0.29604888254223749</c:v>
                </c:pt>
                <c:pt idx="197">
                  <c:v>0.29703471977193852</c:v>
                </c:pt>
                <c:pt idx="198">
                  <c:v>0.29802572911579522</c:v>
                </c:pt>
                <c:pt idx="199">
                  <c:v>0.29902191297882535</c:v>
                </c:pt>
                <c:pt idx="200">
                  <c:v>0.30002327377917348</c:v>
                </c:pt>
              </c:numCache>
            </c:numRef>
          </c:val>
          <c:smooth val="0"/>
          <c:extLst>
            <c:ext xmlns:c16="http://schemas.microsoft.com/office/drawing/2014/chart" uri="{C3380CC4-5D6E-409C-BE32-E72D297353CC}">
              <c16:uniqueId val="{00000001-7890-472B-AAE1-D1CB0E55BFDF}"/>
            </c:ext>
          </c:extLst>
        </c:ser>
        <c:ser>
          <c:idx val="2"/>
          <c:order val="2"/>
          <c:tx>
            <c:v> High-Side MOSFET Loss</c:v>
          </c:tx>
          <c:spPr>
            <a:ln w="38100">
              <a:solidFill>
                <a:srgbClr val="808000"/>
              </a:solidFill>
              <a:prstDash val="sysDash"/>
            </a:ln>
          </c:spPr>
          <c:marker>
            <c:symbol val="none"/>
          </c:marker>
          <c:cat>
            <c:numRef>
              <c:f>'Power Calculations'!$H$9:$H$209</c:f>
              <c:numCache>
                <c:formatCode>General</c:formatCode>
                <c:ptCount val="201"/>
                <c:pt idx="0">
                  <c:v>0</c:v>
                </c:pt>
                <c:pt idx="1">
                  <c:v>0.01</c:v>
                </c:pt>
                <c:pt idx="2">
                  <c:v>0.02</c:v>
                </c:pt>
                <c:pt idx="3">
                  <c:v>0.03</c:v>
                </c:pt>
                <c:pt idx="4">
                  <c:v>0.04</c:v>
                </c:pt>
                <c:pt idx="5">
                  <c:v>0.05</c:v>
                </c:pt>
                <c:pt idx="6">
                  <c:v>0.06</c:v>
                </c:pt>
                <c:pt idx="7">
                  <c:v>7.0000000000000007E-2</c:v>
                </c:pt>
                <c:pt idx="8">
                  <c:v>0.08</c:v>
                </c:pt>
                <c:pt idx="9">
                  <c:v>0.09</c:v>
                </c:pt>
                <c:pt idx="10">
                  <c:v>0.1</c:v>
                </c:pt>
                <c:pt idx="11">
                  <c:v>0.11</c:v>
                </c:pt>
                <c:pt idx="12">
                  <c:v>0.12</c:v>
                </c:pt>
                <c:pt idx="13">
                  <c:v>0.13</c:v>
                </c:pt>
                <c:pt idx="14">
                  <c:v>0.14000000000000001</c:v>
                </c:pt>
                <c:pt idx="15">
                  <c:v>0.15</c:v>
                </c:pt>
                <c:pt idx="16">
                  <c:v>0.16</c:v>
                </c:pt>
                <c:pt idx="17">
                  <c:v>0.17</c:v>
                </c:pt>
                <c:pt idx="18">
                  <c:v>0.18</c:v>
                </c:pt>
                <c:pt idx="19">
                  <c:v>0.19</c:v>
                </c:pt>
                <c:pt idx="20">
                  <c:v>0.2</c:v>
                </c:pt>
                <c:pt idx="21">
                  <c:v>0.21</c:v>
                </c:pt>
                <c:pt idx="22">
                  <c:v>0.22</c:v>
                </c:pt>
                <c:pt idx="23">
                  <c:v>0.23</c:v>
                </c:pt>
                <c:pt idx="24">
                  <c:v>0.24</c:v>
                </c:pt>
                <c:pt idx="25">
                  <c:v>0.25</c:v>
                </c:pt>
                <c:pt idx="26">
                  <c:v>0.26</c:v>
                </c:pt>
                <c:pt idx="27">
                  <c:v>0.27</c:v>
                </c:pt>
                <c:pt idx="28">
                  <c:v>0.28000000000000003</c:v>
                </c:pt>
                <c:pt idx="29">
                  <c:v>0.28999999999999998</c:v>
                </c:pt>
                <c:pt idx="30">
                  <c:v>0.3</c:v>
                </c:pt>
                <c:pt idx="31">
                  <c:v>0.31</c:v>
                </c:pt>
                <c:pt idx="32">
                  <c:v>0.32</c:v>
                </c:pt>
                <c:pt idx="33">
                  <c:v>0.33</c:v>
                </c:pt>
                <c:pt idx="34">
                  <c:v>0.34</c:v>
                </c:pt>
                <c:pt idx="35">
                  <c:v>0.35</c:v>
                </c:pt>
                <c:pt idx="36">
                  <c:v>0.36</c:v>
                </c:pt>
                <c:pt idx="37">
                  <c:v>0.37</c:v>
                </c:pt>
                <c:pt idx="38">
                  <c:v>0.38</c:v>
                </c:pt>
                <c:pt idx="39">
                  <c:v>0.39</c:v>
                </c:pt>
                <c:pt idx="40">
                  <c:v>0.4</c:v>
                </c:pt>
                <c:pt idx="41">
                  <c:v>0.41</c:v>
                </c:pt>
                <c:pt idx="42">
                  <c:v>0.42</c:v>
                </c:pt>
                <c:pt idx="43">
                  <c:v>0.43</c:v>
                </c:pt>
                <c:pt idx="44">
                  <c:v>0.44</c:v>
                </c:pt>
                <c:pt idx="45">
                  <c:v>0.45</c:v>
                </c:pt>
                <c:pt idx="46">
                  <c:v>0.46</c:v>
                </c:pt>
                <c:pt idx="47">
                  <c:v>0.47</c:v>
                </c:pt>
                <c:pt idx="48">
                  <c:v>0.48</c:v>
                </c:pt>
                <c:pt idx="49">
                  <c:v>0.49</c:v>
                </c:pt>
                <c:pt idx="50">
                  <c:v>0.5</c:v>
                </c:pt>
                <c:pt idx="51">
                  <c:v>0.51</c:v>
                </c:pt>
                <c:pt idx="52">
                  <c:v>0.52</c:v>
                </c:pt>
                <c:pt idx="53">
                  <c:v>0.53</c:v>
                </c:pt>
                <c:pt idx="54">
                  <c:v>0.54</c:v>
                </c:pt>
                <c:pt idx="55">
                  <c:v>0.55000000000000004</c:v>
                </c:pt>
                <c:pt idx="56">
                  <c:v>0.56000000000000005</c:v>
                </c:pt>
                <c:pt idx="57">
                  <c:v>0.56999999999999995</c:v>
                </c:pt>
                <c:pt idx="58">
                  <c:v>0.57999999999999996</c:v>
                </c:pt>
                <c:pt idx="59">
                  <c:v>0.59</c:v>
                </c:pt>
                <c:pt idx="60">
                  <c:v>0.6</c:v>
                </c:pt>
                <c:pt idx="61">
                  <c:v>0.61</c:v>
                </c:pt>
                <c:pt idx="62">
                  <c:v>0.62</c:v>
                </c:pt>
                <c:pt idx="63">
                  <c:v>0.63</c:v>
                </c:pt>
                <c:pt idx="64">
                  <c:v>0.64</c:v>
                </c:pt>
                <c:pt idx="65">
                  <c:v>0.65</c:v>
                </c:pt>
                <c:pt idx="66">
                  <c:v>0.66</c:v>
                </c:pt>
                <c:pt idx="67">
                  <c:v>0.67</c:v>
                </c:pt>
                <c:pt idx="68">
                  <c:v>0.68</c:v>
                </c:pt>
                <c:pt idx="69">
                  <c:v>0.69</c:v>
                </c:pt>
                <c:pt idx="70">
                  <c:v>0.7</c:v>
                </c:pt>
                <c:pt idx="71">
                  <c:v>0.71</c:v>
                </c:pt>
                <c:pt idx="72">
                  <c:v>0.72</c:v>
                </c:pt>
                <c:pt idx="73">
                  <c:v>0.73</c:v>
                </c:pt>
                <c:pt idx="74">
                  <c:v>0.74</c:v>
                </c:pt>
                <c:pt idx="75">
                  <c:v>0.75</c:v>
                </c:pt>
                <c:pt idx="76">
                  <c:v>0.76</c:v>
                </c:pt>
                <c:pt idx="77">
                  <c:v>0.77</c:v>
                </c:pt>
                <c:pt idx="78">
                  <c:v>0.78</c:v>
                </c:pt>
                <c:pt idx="79">
                  <c:v>0.79</c:v>
                </c:pt>
                <c:pt idx="80">
                  <c:v>0.8</c:v>
                </c:pt>
                <c:pt idx="81">
                  <c:v>0.81</c:v>
                </c:pt>
                <c:pt idx="82">
                  <c:v>0.82</c:v>
                </c:pt>
                <c:pt idx="83">
                  <c:v>0.83</c:v>
                </c:pt>
                <c:pt idx="84">
                  <c:v>0.84</c:v>
                </c:pt>
                <c:pt idx="85">
                  <c:v>0.85</c:v>
                </c:pt>
                <c:pt idx="86">
                  <c:v>0.86</c:v>
                </c:pt>
                <c:pt idx="87">
                  <c:v>0.87</c:v>
                </c:pt>
                <c:pt idx="88">
                  <c:v>0.88</c:v>
                </c:pt>
                <c:pt idx="89">
                  <c:v>0.89</c:v>
                </c:pt>
                <c:pt idx="90">
                  <c:v>0.9</c:v>
                </c:pt>
                <c:pt idx="91">
                  <c:v>0.91</c:v>
                </c:pt>
                <c:pt idx="92">
                  <c:v>0.92</c:v>
                </c:pt>
                <c:pt idx="93">
                  <c:v>0.93</c:v>
                </c:pt>
                <c:pt idx="94">
                  <c:v>0.94</c:v>
                </c:pt>
                <c:pt idx="95">
                  <c:v>0.95</c:v>
                </c:pt>
                <c:pt idx="96">
                  <c:v>0.96</c:v>
                </c:pt>
                <c:pt idx="97">
                  <c:v>0.97</c:v>
                </c:pt>
                <c:pt idx="98">
                  <c:v>0.98</c:v>
                </c:pt>
                <c:pt idx="99">
                  <c:v>0.99</c:v>
                </c:pt>
                <c:pt idx="100">
                  <c:v>1</c:v>
                </c:pt>
                <c:pt idx="101">
                  <c:v>1.01</c:v>
                </c:pt>
                <c:pt idx="102">
                  <c:v>1.02</c:v>
                </c:pt>
                <c:pt idx="103">
                  <c:v>1.03</c:v>
                </c:pt>
                <c:pt idx="104">
                  <c:v>1.04</c:v>
                </c:pt>
                <c:pt idx="105">
                  <c:v>1.05</c:v>
                </c:pt>
                <c:pt idx="106">
                  <c:v>1.06</c:v>
                </c:pt>
                <c:pt idx="107">
                  <c:v>1.07</c:v>
                </c:pt>
                <c:pt idx="108">
                  <c:v>1.08</c:v>
                </c:pt>
                <c:pt idx="109">
                  <c:v>1.0900000000000001</c:v>
                </c:pt>
                <c:pt idx="110">
                  <c:v>1.1000000000000001</c:v>
                </c:pt>
                <c:pt idx="111">
                  <c:v>1.1100000000000001</c:v>
                </c:pt>
                <c:pt idx="112">
                  <c:v>1.1200000000000001</c:v>
                </c:pt>
                <c:pt idx="113">
                  <c:v>1.1299999999999999</c:v>
                </c:pt>
                <c:pt idx="114">
                  <c:v>1.1399999999999999</c:v>
                </c:pt>
                <c:pt idx="115">
                  <c:v>1.1499999999999999</c:v>
                </c:pt>
                <c:pt idx="116">
                  <c:v>1.1599999999999999</c:v>
                </c:pt>
                <c:pt idx="117">
                  <c:v>1.17</c:v>
                </c:pt>
                <c:pt idx="118">
                  <c:v>1.18</c:v>
                </c:pt>
                <c:pt idx="119">
                  <c:v>1.19</c:v>
                </c:pt>
                <c:pt idx="120">
                  <c:v>1.2</c:v>
                </c:pt>
                <c:pt idx="121">
                  <c:v>1.21</c:v>
                </c:pt>
                <c:pt idx="122">
                  <c:v>1.22</c:v>
                </c:pt>
                <c:pt idx="123">
                  <c:v>1.23</c:v>
                </c:pt>
                <c:pt idx="124">
                  <c:v>1.24</c:v>
                </c:pt>
                <c:pt idx="125">
                  <c:v>1.25</c:v>
                </c:pt>
                <c:pt idx="126">
                  <c:v>1.26</c:v>
                </c:pt>
                <c:pt idx="127">
                  <c:v>1.27</c:v>
                </c:pt>
                <c:pt idx="128">
                  <c:v>1.28</c:v>
                </c:pt>
                <c:pt idx="129">
                  <c:v>1.29</c:v>
                </c:pt>
                <c:pt idx="130">
                  <c:v>1.3</c:v>
                </c:pt>
                <c:pt idx="131">
                  <c:v>1.31</c:v>
                </c:pt>
                <c:pt idx="132">
                  <c:v>1.32</c:v>
                </c:pt>
                <c:pt idx="133">
                  <c:v>1.33</c:v>
                </c:pt>
                <c:pt idx="134">
                  <c:v>1.34</c:v>
                </c:pt>
                <c:pt idx="135">
                  <c:v>1.35</c:v>
                </c:pt>
                <c:pt idx="136">
                  <c:v>1.36</c:v>
                </c:pt>
                <c:pt idx="137">
                  <c:v>1.37</c:v>
                </c:pt>
                <c:pt idx="138">
                  <c:v>1.38</c:v>
                </c:pt>
                <c:pt idx="139">
                  <c:v>1.39</c:v>
                </c:pt>
                <c:pt idx="140">
                  <c:v>1.4</c:v>
                </c:pt>
                <c:pt idx="141">
                  <c:v>1.41</c:v>
                </c:pt>
                <c:pt idx="142">
                  <c:v>1.42</c:v>
                </c:pt>
                <c:pt idx="143">
                  <c:v>1.43</c:v>
                </c:pt>
                <c:pt idx="144">
                  <c:v>1.44</c:v>
                </c:pt>
                <c:pt idx="145">
                  <c:v>1.45</c:v>
                </c:pt>
                <c:pt idx="146">
                  <c:v>1.46</c:v>
                </c:pt>
                <c:pt idx="147">
                  <c:v>1.47</c:v>
                </c:pt>
                <c:pt idx="148">
                  <c:v>1.48</c:v>
                </c:pt>
                <c:pt idx="149">
                  <c:v>1.49</c:v>
                </c:pt>
                <c:pt idx="150">
                  <c:v>1.5</c:v>
                </c:pt>
                <c:pt idx="151">
                  <c:v>1.51</c:v>
                </c:pt>
                <c:pt idx="152">
                  <c:v>1.52</c:v>
                </c:pt>
                <c:pt idx="153">
                  <c:v>1.53</c:v>
                </c:pt>
                <c:pt idx="154">
                  <c:v>1.54</c:v>
                </c:pt>
                <c:pt idx="155">
                  <c:v>1.55</c:v>
                </c:pt>
                <c:pt idx="156">
                  <c:v>1.56</c:v>
                </c:pt>
                <c:pt idx="157">
                  <c:v>1.57</c:v>
                </c:pt>
                <c:pt idx="158">
                  <c:v>1.58</c:v>
                </c:pt>
                <c:pt idx="159">
                  <c:v>1.59</c:v>
                </c:pt>
                <c:pt idx="160">
                  <c:v>1.6</c:v>
                </c:pt>
                <c:pt idx="161">
                  <c:v>1.61</c:v>
                </c:pt>
                <c:pt idx="162">
                  <c:v>1.62</c:v>
                </c:pt>
                <c:pt idx="163">
                  <c:v>1.63</c:v>
                </c:pt>
                <c:pt idx="164">
                  <c:v>1.64</c:v>
                </c:pt>
                <c:pt idx="165">
                  <c:v>1.65</c:v>
                </c:pt>
                <c:pt idx="166">
                  <c:v>1.66</c:v>
                </c:pt>
                <c:pt idx="167">
                  <c:v>1.67</c:v>
                </c:pt>
                <c:pt idx="168">
                  <c:v>1.68</c:v>
                </c:pt>
                <c:pt idx="169">
                  <c:v>1.69</c:v>
                </c:pt>
                <c:pt idx="170">
                  <c:v>1.7</c:v>
                </c:pt>
                <c:pt idx="171">
                  <c:v>1.71</c:v>
                </c:pt>
                <c:pt idx="172">
                  <c:v>1.72</c:v>
                </c:pt>
                <c:pt idx="173">
                  <c:v>1.73</c:v>
                </c:pt>
                <c:pt idx="174">
                  <c:v>1.74</c:v>
                </c:pt>
                <c:pt idx="175">
                  <c:v>1.75</c:v>
                </c:pt>
                <c:pt idx="176">
                  <c:v>1.76</c:v>
                </c:pt>
                <c:pt idx="177">
                  <c:v>1.77</c:v>
                </c:pt>
                <c:pt idx="178">
                  <c:v>1.78</c:v>
                </c:pt>
                <c:pt idx="179">
                  <c:v>1.79</c:v>
                </c:pt>
                <c:pt idx="180">
                  <c:v>1.8</c:v>
                </c:pt>
                <c:pt idx="181">
                  <c:v>1.81</c:v>
                </c:pt>
                <c:pt idx="182">
                  <c:v>1.82</c:v>
                </c:pt>
                <c:pt idx="183">
                  <c:v>1.83</c:v>
                </c:pt>
                <c:pt idx="184">
                  <c:v>1.84</c:v>
                </c:pt>
                <c:pt idx="185">
                  <c:v>1.85</c:v>
                </c:pt>
                <c:pt idx="186">
                  <c:v>1.86</c:v>
                </c:pt>
                <c:pt idx="187">
                  <c:v>1.87</c:v>
                </c:pt>
                <c:pt idx="188">
                  <c:v>1.88</c:v>
                </c:pt>
                <c:pt idx="189">
                  <c:v>1.89</c:v>
                </c:pt>
                <c:pt idx="190">
                  <c:v>1.9</c:v>
                </c:pt>
                <c:pt idx="191">
                  <c:v>1.91</c:v>
                </c:pt>
                <c:pt idx="192">
                  <c:v>1.92</c:v>
                </c:pt>
                <c:pt idx="193">
                  <c:v>1.93</c:v>
                </c:pt>
                <c:pt idx="194">
                  <c:v>1.94</c:v>
                </c:pt>
                <c:pt idx="195">
                  <c:v>1.95</c:v>
                </c:pt>
                <c:pt idx="196">
                  <c:v>1.96</c:v>
                </c:pt>
                <c:pt idx="197">
                  <c:v>1.97</c:v>
                </c:pt>
                <c:pt idx="198">
                  <c:v>1.98</c:v>
                </c:pt>
                <c:pt idx="199">
                  <c:v>1.99</c:v>
                </c:pt>
                <c:pt idx="200">
                  <c:v>2</c:v>
                </c:pt>
              </c:numCache>
            </c:numRef>
          </c:cat>
          <c:val>
            <c:numRef>
              <c:f>'Power Calculations'!$AC$9:$AC$209</c:f>
              <c:numCache>
                <c:formatCode>0.0000</c:formatCode>
                <c:ptCount val="201"/>
                <c:pt idx="0">
                  <c:v>2.7629235643551901E-2</c:v>
                </c:pt>
                <c:pt idx="1">
                  <c:v>2.881639822033626E-2</c:v>
                </c:pt>
                <c:pt idx="2">
                  <c:v>3.0001382768474888E-2</c:v>
                </c:pt>
                <c:pt idx="3">
                  <c:v>3.1184190515651865E-2</c:v>
                </c:pt>
                <c:pt idx="4">
                  <c:v>3.2364822686659432E-2</c:v>
                </c:pt>
                <c:pt idx="5">
                  <c:v>3.3543280503399657E-2</c:v>
                </c:pt>
                <c:pt idx="6">
                  <c:v>3.4719565184885968E-2</c:v>
                </c:pt>
                <c:pt idx="7">
                  <c:v>3.5893677947244781E-2</c:v>
                </c:pt>
                <c:pt idx="8">
                  <c:v>3.7065620003716999E-2</c:v>
                </c:pt>
                <c:pt idx="9">
                  <c:v>3.823539256465959E-2</c:v>
                </c:pt>
                <c:pt idx="10">
                  <c:v>3.9402996837547138E-2</c:v>
                </c:pt>
                <c:pt idx="11">
                  <c:v>4.056843402697341E-2</c:v>
                </c:pt>
                <c:pt idx="12">
                  <c:v>4.173170533465282E-2</c:v>
                </c:pt>
                <c:pt idx="13">
                  <c:v>4.2892811959422017E-2</c:v>
                </c:pt>
                <c:pt idx="14">
                  <c:v>4.405175509724131E-2</c:v>
                </c:pt>
                <c:pt idx="15">
                  <c:v>4.5208535941196268E-2</c:v>
                </c:pt>
                <c:pt idx="16">
                  <c:v>4.6363155681499103E-2</c:v>
                </c:pt>
                <c:pt idx="17">
                  <c:v>4.7515615505490258E-2</c:v>
                </c:pt>
                <c:pt idx="18">
                  <c:v>4.8665916597639788E-2</c:v>
                </c:pt>
                <c:pt idx="19">
                  <c:v>4.9814060139548914E-2</c:v>
                </c:pt>
                <c:pt idx="20">
                  <c:v>5.0960047309951385E-2</c:v>
                </c:pt>
                <c:pt idx="21">
                  <c:v>5.2103879284714986E-2</c:v>
                </c:pt>
                <c:pt idx="22">
                  <c:v>5.3245557236842975E-2</c:v>
                </c:pt>
                <c:pt idx="23">
                  <c:v>5.3890463812142277E-2</c:v>
                </c:pt>
                <c:pt idx="24">
                  <c:v>5.4071540992432075E-2</c:v>
                </c:pt>
                <c:pt idx="25">
                  <c:v>5.4254002351848275E-2</c:v>
                </c:pt>
                <c:pt idx="26">
                  <c:v>5.4437848411403165E-2</c:v>
                </c:pt>
                <c:pt idx="27">
                  <c:v>5.4623079694216446E-2</c:v>
                </c:pt>
                <c:pt idx="28">
                  <c:v>5.4809696725517491E-2</c:v>
                </c:pt>
                <c:pt idx="29">
                  <c:v>5.4997700032647617E-2</c:v>
                </c:pt>
                <c:pt idx="30">
                  <c:v>5.518709014506229E-2</c:v>
                </c:pt>
                <c:pt idx="31">
                  <c:v>5.5377867594333469E-2</c:v>
                </c:pt>
                <c:pt idx="32">
                  <c:v>5.5570032914151829E-2</c:v>
                </c:pt>
                <c:pt idx="33">
                  <c:v>5.5763586640329113E-2</c:v>
                </c:pt>
                <c:pt idx="34">
                  <c:v>5.5958529310800365E-2</c:v>
                </c:pt>
                <c:pt idx="35">
                  <c:v>5.6154861465626267E-2</c:v>
                </c:pt>
                <c:pt idx="36">
                  <c:v>5.6352583646995497E-2</c:v>
                </c:pt>
                <c:pt idx="37">
                  <c:v>5.6551696399226956E-2</c:v>
                </c:pt>
                <c:pt idx="38">
                  <c:v>5.6752200268772181E-2</c:v>
                </c:pt>
                <c:pt idx="39">
                  <c:v>5.6954095804217682E-2</c:v>
                </c:pt>
                <c:pt idx="40">
                  <c:v>5.7157383556287238E-2</c:v>
                </c:pt>
                <c:pt idx="41">
                  <c:v>5.7362064077844332E-2</c:v>
                </c:pt>
                <c:pt idx="42">
                  <c:v>5.7568137923894432E-2</c:v>
                </c:pt>
                <c:pt idx="43">
                  <c:v>5.7775605651587465E-2</c:v>
                </c:pt>
                <c:pt idx="44">
                  <c:v>5.7984467820220133E-2</c:v>
                </c:pt>
                <c:pt idx="45">
                  <c:v>5.8194724991238324E-2</c:v>
                </c:pt>
                <c:pt idx="46">
                  <c:v>5.8406377728239513E-2</c:v>
                </c:pt>
                <c:pt idx="47">
                  <c:v>5.8619426596975228E-2</c:v>
                </c:pt>
                <c:pt idx="48">
                  <c:v>5.8833872165353379E-2</c:v>
                </c:pt>
                <c:pt idx="49">
                  <c:v>5.9049715003440743E-2</c:v>
                </c:pt>
                <c:pt idx="50">
                  <c:v>5.9266955683465419E-2</c:v>
                </c:pt>
                <c:pt idx="51">
                  <c:v>5.9485594779819219E-2</c:v>
                </c:pt>
                <c:pt idx="52">
                  <c:v>5.97056328690602E-2</c:v>
                </c:pt>
                <c:pt idx="53">
                  <c:v>5.9927070529915048E-2</c:v>
                </c:pt>
                <c:pt idx="54">
                  <c:v>6.0149908343281641E-2</c:v>
                </c:pt>
                <c:pt idx="55">
                  <c:v>6.0374146892231445E-2</c:v>
                </c:pt>
                <c:pt idx="56">
                  <c:v>6.0599786762012053E-2</c:v>
                </c:pt>
                <c:pt idx="57">
                  <c:v>6.0826828540049734E-2</c:v>
                </c:pt>
                <c:pt idx="58">
                  <c:v>6.1055272815951821E-2</c:v>
                </c:pt>
                <c:pt idx="59">
                  <c:v>6.1285120181509348E-2</c:v>
                </c:pt>
                <c:pt idx="60">
                  <c:v>6.1516371230699536E-2</c:v>
                </c:pt>
                <c:pt idx="61">
                  <c:v>6.1749026559688329E-2</c:v>
                </c:pt>
                <c:pt idx="62">
                  <c:v>6.198308676683293E-2</c:v>
                </c:pt>
                <c:pt idx="63">
                  <c:v>6.2218552452684379E-2</c:v>
                </c:pt>
                <c:pt idx="64">
                  <c:v>6.2455424219990147E-2</c:v>
                </c:pt>
                <c:pt idx="65">
                  <c:v>6.2693702673696616E-2</c:v>
                </c:pt>
                <c:pt idx="66">
                  <c:v>6.293338842095178E-2</c:v>
                </c:pt>
                <c:pt idx="67">
                  <c:v>6.3174482071107763E-2</c:v>
                </c:pt>
                <c:pt idx="68">
                  <c:v>6.3416984235723436E-2</c:v>
                </c:pt>
                <c:pt idx="69">
                  <c:v>6.366089552856706E-2</c:v>
                </c:pt>
                <c:pt idx="70">
                  <c:v>6.3906216565618845E-2</c:v>
                </c:pt>
                <c:pt idx="71">
                  <c:v>6.4152947965073689E-2</c:v>
                </c:pt>
                <c:pt idx="72">
                  <c:v>6.4401090347343662E-2</c:v>
                </c:pt>
                <c:pt idx="73">
                  <c:v>6.4650644335060847E-2</c:v>
                </c:pt>
                <c:pt idx="74">
                  <c:v>6.4901610553079817E-2</c:v>
                </c:pt>
                <c:pt idx="75">
                  <c:v>6.5153989628480402E-2</c:v>
                </c:pt>
                <c:pt idx="76">
                  <c:v>6.5407782190570377E-2</c:v>
                </c:pt>
                <c:pt idx="77">
                  <c:v>6.5662988870888103E-2</c:v>
                </c:pt>
                <c:pt idx="78">
                  <c:v>6.5919610303205228E-2</c:v>
                </c:pt>
                <c:pt idx="79">
                  <c:v>6.6177647123529429E-2</c:v>
                </c:pt>
                <c:pt idx="80">
                  <c:v>6.6437099970107119E-2</c:v>
                </c:pt>
                <c:pt idx="81">
                  <c:v>6.6697969483426128E-2</c:v>
                </c:pt>
                <c:pt idx="82">
                  <c:v>6.6960256306218491E-2</c:v>
                </c:pt>
                <c:pt idx="83">
                  <c:v>6.7223961083463166E-2</c:v>
                </c:pt>
                <c:pt idx="84">
                  <c:v>6.7489084462388813E-2</c:v>
                </c:pt>
                <c:pt idx="85">
                  <c:v>6.7755627092476511E-2</c:v>
                </c:pt>
                <c:pt idx="86">
                  <c:v>6.802358962546258E-2</c:v>
                </c:pt>
                <c:pt idx="87">
                  <c:v>6.8292972715341349E-2</c:v>
                </c:pt>
                <c:pt idx="88">
                  <c:v>6.8563777018367925E-2</c:v>
                </c:pt>
                <c:pt idx="89">
                  <c:v>6.8836003193061046E-2</c:v>
                </c:pt>
                <c:pt idx="90">
                  <c:v>6.9109651900205835E-2</c:v>
                </c:pt>
                <c:pt idx="91">
                  <c:v>6.9384723802856652E-2</c:v>
                </c:pt>
                <c:pt idx="92">
                  <c:v>6.9661219566339916E-2</c:v>
                </c:pt>
                <c:pt idx="93">
                  <c:v>6.9939139858257005E-2</c:v>
                </c:pt>
                <c:pt idx="94">
                  <c:v>7.0218485348487E-2</c:v>
                </c:pt>
                <c:pt idx="95">
                  <c:v>7.0499256709189648E-2</c:v>
                </c:pt>
                <c:pt idx="96">
                  <c:v>7.0781454614808115E-2</c:v>
                </c:pt>
                <c:pt idx="97">
                  <c:v>7.1065079742072046E-2</c:v>
                </c:pt>
                <c:pt idx="98">
                  <c:v>7.1350132770000269E-2</c:v>
                </c:pt>
                <c:pt idx="99">
                  <c:v>7.1636614379903776E-2</c:v>
                </c:pt>
                <c:pt idx="100">
                  <c:v>7.1924525255388713E-2</c:v>
                </c:pt>
                <c:pt idx="101">
                  <c:v>7.2213866082359093E-2</c:v>
                </c:pt>
                <c:pt idx="102">
                  <c:v>7.2504637549020021E-2</c:v>
                </c:pt>
                <c:pt idx="103">
                  <c:v>7.2796840345880326E-2</c:v>
                </c:pt>
                <c:pt idx="104">
                  <c:v>7.3090475165755703E-2</c:v>
                </c:pt>
                <c:pt idx="105">
                  <c:v>7.338554270377165E-2</c:v>
                </c:pt>
                <c:pt idx="106">
                  <c:v>7.3682043657366386E-2</c:v>
                </c:pt>
                <c:pt idx="107">
                  <c:v>7.3979978726293888E-2</c:v>
                </c:pt>
                <c:pt idx="108">
                  <c:v>7.4279348612626833E-2</c:v>
                </c:pt>
                <c:pt idx="109">
                  <c:v>7.4580154020759626E-2</c:v>
                </c:pt>
                <c:pt idx="110">
                  <c:v>7.488239565741138E-2</c:v>
                </c:pt>
                <c:pt idx="111">
                  <c:v>7.5186074231629013E-2</c:v>
                </c:pt>
                <c:pt idx="112">
                  <c:v>7.5491190454790205E-2</c:v>
                </c:pt>
                <c:pt idx="113">
                  <c:v>7.5797745040606462E-2</c:v>
                </c:pt>
                <c:pt idx="114">
                  <c:v>7.6105738705126186E-2</c:v>
                </c:pt>
                <c:pt idx="115">
                  <c:v>7.6415172166737697E-2</c:v>
                </c:pt>
                <c:pt idx="116">
                  <c:v>7.6726046146172386E-2</c:v>
                </c:pt>
                <c:pt idx="117">
                  <c:v>7.7038361366507643E-2</c:v>
                </c:pt>
                <c:pt idx="118">
                  <c:v>7.7352118553170174E-2</c:v>
                </c:pt>
                <c:pt idx="119">
                  <c:v>7.7667318433938898E-2</c:v>
                </c:pt>
                <c:pt idx="120">
                  <c:v>7.7983961738948171E-2</c:v>
                </c:pt>
                <c:pt idx="121">
                  <c:v>7.8302049200690893E-2</c:v>
                </c:pt>
                <c:pt idx="122">
                  <c:v>7.862158155402163E-2</c:v>
                </c:pt>
                <c:pt idx="123">
                  <c:v>7.8942559536159765E-2</c:v>
                </c:pt>
                <c:pt idx="124">
                  <c:v>7.9264983886692633E-2</c:v>
                </c:pt>
                <c:pt idx="125">
                  <c:v>7.9588855347578771E-2</c:v>
                </c:pt>
                <c:pt idx="126">
                  <c:v>7.9914174663150928E-2</c:v>
                </c:pt>
                <c:pt idx="127">
                  <c:v>8.0240942580119476E-2</c:v>
                </c:pt>
                <c:pt idx="128">
                  <c:v>8.0569159847575386E-2</c:v>
                </c:pt>
                <c:pt idx="129">
                  <c:v>8.0898827216993638E-2</c:v>
                </c:pt>
                <c:pt idx="130">
                  <c:v>8.1229945442236287E-2</c:v>
                </c:pt>
                <c:pt idx="131">
                  <c:v>8.1562515279555714E-2</c:v>
                </c:pt>
                <c:pt idx="132">
                  <c:v>8.1896537487597995E-2</c:v>
                </c:pt>
                <c:pt idx="133">
                  <c:v>8.2232012827405998E-2</c:v>
                </c:pt>
                <c:pt idx="134">
                  <c:v>8.2568942062422726E-2</c:v>
                </c:pt>
                <c:pt idx="135">
                  <c:v>8.2907325958494552E-2</c:v>
                </c:pt>
                <c:pt idx="136">
                  <c:v>8.3247165283874547E-2</c:v>
                </c:pt>
                <c:pt idx="137">
                  <c:v>8.3588460809225745E-2</c:v>
                </c:pt>
                <c:pt idx="138">
                  <c:v>8.3931213307624458E-2</c:v>
                </c:pt>
                <c:pt idx="139">
                  <c:v>8.4275423554563578E-2</c:v>
                </c:pt>
                <c:pt idx="140">
                  <c:v>8.4621092327955907E-2</c:v>
                </c:pt>
                <c:pt idx="141">
                  <c:v>8.4968220408137576E-2</c:v>
                </c:pt>
                <c:pt idx="142">
                  <c:v>8.5316808577871189E-2</c:v>
                </c:pt>
                <c:pt idx="143">
                  <c:v>8.5666857622349449E-2</c:v>
                </c:pt>
                <c:pt idx="144">
                  <c:v>8.6018368329198305E-2</c:v>
                </c:pt>
                <c:pt idx="145">
                  <c:v>8.6371341488480469E-2</c:v>
                </c:pt>
                <c:pt idx="146">
                  <c:v>8.6725777892698752E-2</c:v>
                </c:pt>
                <c:pt idx="147">
                  <c:v>8.7081678336799487E-2</c:v>
                </c:pt>
                <c:pt idx="148">
                  <c:v>8.7439043618175977E-2</c:v>
                </c:pt>
                <c:pt idx="149">
                  <c:v>8.7797874536671788E-2</c:v>
                </c:pt>
                <c:pt idx="150">
                  <c:v>8.81581718945844E-2</c:v>
                </c:pt>
                <c:pt idx="151">
                  <c:v>8.8519936496668478E-2</c:v>
                </c:pt>
                <c:pt idx="152">
                  <c:v>8.8883169150139343E-2</c:v>
                </c:pt>
                <c:pt idx="153">
                  <c:v>8.9247870664676598E-2</c:v>
                </c:pt>
                <c:pt idx="154">
                  <c:v>8.9614041852427453E-2</c:v>
                </c:pt>
                <c:pt idx="155">
                  <c:v>8.9981683528010295E-2</c:v>
                </c:pt>
                <c:pt idx="156">
                  <c:v>9.0350796508518114E-2</c:v>
                </c:pt>
                <c:pt idx="157">
                  <c:v>9.0721381613522153E-2</c:v>
                </c:pt>
                <c:pt idx="158">
                  <c:v>9.1093439665075326E-2</c:v>
                </c:pt>
                <c:pt idx="159">
                  <c:v>9.1466971487715751E-2</c:v>
                </c:pt>
                <c:pt idx="160">
                  <c:v>9.1841977908470457E-2</c:v>
                </c:pt>
                <c:pt idx="161">
                  <c:v>9.2218459756858689E-2</c:v>
                </c:pt>
                <c:pt idx="162">
                  <c:v>9.2596417864895711E-2</c:v>
                </c:pt>
                <c:pt idx="163">
                  <c:v>9.2975853067096284E-2</c:v>
                </c:pt>
                <c:pt idx="164">
                  <c:v>9.3356766200478267E-2</c:v>
                </c:pt>
                <c:pt idx="165">
                  <c:v>9.3739158104566303E-2</c:v>
                </c:pt>
                <c:pt idx="166">
                  <c:v>9.4123029621395307E-2</c:v>
                </c:pt>
                <c:pt idx="167">
                  <c:v>9.4508381595514154E-2</c:v>
                </c:pt>
                <c:pt idx="168">
                  <c:v>9.48952148739894E-2</c:v>
                </c:pt>
                <c:pt idx="169">
                  <c:v>9.5283530306408876E-2</c:v>
                </c:pt>
                <c:pt idx="170">
                  <c:v>9.5673328744885308E-2</c:v>
                </c:pt>
                <c:pt idx="171">
                  <c:v>9.6064611044060014E-2</c:v>
                </c:pt>
                <c:pt idx="172">
                  <c:v>9.6457378061106727E-2</c:v>
                </c:pt>
                <c:pt idx="173">
                  <c:v>9.6851630655735099E-2</c:v>
                </c:pt>
                <c:pt idx="174">
                  <c:v>9.7247369690194527E-2</c:v>
                </c:pt>
                <c:pt idx="175">
                  <c:v>9.7644596029277844E-2</c:v>
                </c:pt>
                <c:pt idx="176">
                  <c:v>9.8043310540325113E-2</c:v>
                </c:pt>
                <c:pt idx="177">
                  <c:v>9.8443514093227338E-2</c:v>
                </c:pt>
                <c:pt idx="178">
                  <c:v>9.8845207560430137E-2</c:v>
                </c:pt>
                <c:pt idx="179">
                  <c:v>9.9248391816937703E-2</c:v>
                </c:pt>
                <c:pt idx="180">
                  <c:v>9.9653067740316403E-2</c:v>
                </c:pt>
                <c:pt idx="181">
                  <c:v>0.10005923621069875</c:v>
                </c:pt>
                <c:pt idx="182">
                  <c:v>0.100466898110787</c:v>
                </c:pt>
                <c:pt idx="183">
                  <c:v>0.10087605432585725</c:v>
                </c:pt>
                <c:pt idx="184">
                  <c:v>0.10128670574376296</c:v>
                </c:pt>
                <c:pt idx="185">
                  <c:v>0.10169885325493906</c:v>
                </c:pt>
                <c:pt idx="186">
                  <c:v>0.1021124977524057</c:v>
                </c:pt>
                <c:pt idx="187">
                  <c:v>0.10252764013177205</c:v>
                </c:pt>
                <c:pt idx="188">
                  <c:v>0.10294428129124032</c:v>
                </c:pt>
                <c:pt idx="189">
                  <c:v>0.10336242213160959</c:v>
                </c:pt>
                <c:pt idx="190">
                  <c:v>0.10378206355627975</c:v>
                </c:pt>
                <c:pt idx="191">
                  <c:v>0.10420320647125529</c:v>
                </c:pt>
                <c:pt idx="192">
                  <c:v>0.1046258517851494</c:v>
                </c:pt>
                <c:pt idx="193">
                  <c:v>0.10505000040918788</c:v>
                </c:pt>
                <c:pt idx="194">
                  <c:v>0.10547565325721298</c:v>
                </c:pt>
                <c:pt idx="195">
                  <c:v>0.1059028112456875</c:v>
                </c:pt>
                <c:pt idx="196">
                  <c:v>0.10633147529369873</c:v>
                </c:pt>
                <c:pt idx="197">
                  <c:v>0.10676164632296244</c:v>
                </c:pt>
                <c:pt idx="198">
                  <c:v>0.10719332525782686</c:v>
                </c:pt>
                <c:pt idx="199">
                  <c:v>0.10762651302527672</c:v>
                </c:pt>
                <c:pt idx="200">
                  <c:v>0.10806121055493732</c:v>
                </c:pt>
              </c:numCache>
            </c:numRef>
          </c:val>
          <c:smooth val="0"/>
          <c:extLst>
            <c:ext xmlns:c16="http://schemas.microsoft.com/office/drawing/2014/chart" uri="{C3380CC4-5D6E-409C-BE32-E72D297353CC}">
              <c16:uniqueId val="{00000002-7890-472B-AAE1-D1CB0E55BFDF}"/>
            </c:ext>
          </c:extLst>
        </c:ser>
        <c:ser>
          <c:idx val="1"/>
          <c:order val="3"/>
          <c:tx>
            <c:v> Low-Side MOSFET Loss</c:v>
          </c:tx>
          <c:spPr>
            <a:ln w="38100">
              <a:solidFill>
                <a:srgbClr val="002060"/>
              </a:solidFill>
              <a:prstDash val="sysDot"/>
            </a:ln>
          </c:spPr>
          <c:marker>
            <c:symbol val="none"/>
          </c:marker>
          <c:cat>
            <c:numRef>
              <c:f>'Power Calculations'!$H$9:$H$209</c:f>
              <c:numCache>
                <c:formatCode>General</c:formatCode>
                <c:ptCount val="201"/>
                <c:pt idx="0">
                  <c:v>0</c:v>
                </c:pt>
                <c:pt idx="1">
                  <c:v>0.01</c:v>
                </c:pt>
                <c:pt idx="2">
                  <c:v>0.02</c:v>
                </c:pt>
                <c:pt idx="3">
                  <c:v>0.03</c:v>
                </c:pt>
                <c:pt idx="4">
                  <c:v>0.04</c:v>
                </c:pt>
                <c:pt idx="5">
                  <c:v>0.05</c:v>
                </c:pt>
                <c:pt idx="6">
                  <c:v>0.06</c:v>
                </c:pt>
                <c:pt idx="7">
                  <c:v>7.0000000000000007E-2</c:v>
                </c:pt>
                <c:pt idx="8">
                  <c:v>0.08</c:v>
                </c:pt>
                <c:pt idx="9">
                  <c:v>0.09</c:v>
                </c:pt>
                <c:pt idx="10">
                  <c:v>0.1</c:v>
                </c:pt>
                <c:pt idx="11">
                  <c:v>0.11</c:v>
                </c:pt>
                <c:pt idx="12">
                  <c:v>0.12</c:v>
                </c:pt>
                <c:pt idx="13">
                  <c:v>0.13</c:v>
                </c:pt>
                <c:pt idx="14">
                  <c:v>0.14000000000000001</c:v>
                </c:pt>
                <c:pt idx="15">
                  <c:v>0.15</c:v>
                </c:pt>
                <c:pt idx="16">
                  <c:v>0.16</c:v>
                </c:pt>
                <c:pt idx="17">
                  <c:v>0.17</c:v>
                </c:pt>
                <c:pt idx="18">
                  <c:v>0.18</c:v>
                </c:pt>
                <c:pt idx="19">
                  <c:v>0.19</c:v>
                </c:pt>
                <c:pt idx="20">
                  <c:v>0.2</c:v>
                </c:pt>
                <c:pt idx="21">
                  <c:v>0.21</c:v>
                </c:pt>
                <c:pt idx="22">
                  <c:v>0.22</c:v>
                </c:pt>
                <c:pt idx="23">
                  <c:v>0.23</c:v>
                </c:pt>
                <c:pt idx="24">
                  <c:v>0.24</c:v>
                </c:pt>
                <c:pt idx="25">
                  <c:v>0.25</c:v>
                </c:pt>
                <c:pt idx="26">
                  <c:v>0.26</c:v>
                </c:pt>
                <c:pt idx="27">
                  <c:v>0.27</c:v>
                </c:pt>
                <c:pt idx="28">
                  <c:v>0.28000000000000003</c:v>
                </c:pt>
                <c:pt idx="29">
                  <c:v>0.28999999999999998</c:v>
                </c:pt>
                <c:pt idx="30">
                  <c:v>0.3</c:v>
                </c:pt>
                <c:pt idx="31">
                  <c:v>0.31</c:v>
                </c:pt>
                <c:pt idx="32">
                  <c:v>0.32</c:v>
                </c:pt>
                <c:pt idx="33">
                  <c:v>0.33</c:v>
                </c:pt>
                <c:pt idx="34">
                  <c:v>0.34</c:v>
                </c:pt>
                <c:pt idx="35">
                  <c:v>0.35</c:v>
                </c:pt>
                <c:pt idx="36">
                  <c:v>0.36</c:v>
                </c:pt>
                <c:pt idx="37">
                  <c:v>0.37</c:v>
                </c:pt>
                <c:pt idx="38">
                  <c:v>0.38</c:v>
                </c:pt>
                <c:pt idx="39">
                  <c:v>0.39</c:v>
                </c:pt>
                <c:pt idx="40">
                  <c:v>0.4</c:v>
                </c:pt>
                <c:pt idx="41">
                  <c:v>0.41</c:v>
                </c:pt>
                <c:pt idx="42">
                  <c:v>0.42</c:v>
                </c:pt>
                <c:pt idx="43">
                  <c:v>0.43</c:v>
                </c:pt>
                <c:pt idx="44">
                  <c:v>0.44</c:v>
                </c:pt>
                <c:pt idx="45">
                  <c:v>0.45</c:v>
                </c:pt>
                <c:pt idx="46">
                  <c:v>0.46</c:v>
                </c:pt>
                <c:pt idx="47">
                  <c:v>0.47</c:v>
                </c:pt>
                <c:pt idx="48">
                  <c:v>0.48</c:v>
                </c:pt>
                <c:pt idx="49">
                  <c:v>0.49</c:v>
                </c:pt>
                <c:pt idx="50">
                  <c:v>0.5</c:v>
                </c:pt>
                <c:pt idx="51">
                  <c:v>0.51</c:v>
                </c:pt>
                <c:pt idx="52">
                  <c:v>0.52</c:v>
                </c:pt>
                <c:pt idx="53">
                  <c:v>0.53</c:v>
                </c:pt>
                <c:pt idx="54">
                  <c:v>0.54</c:v>
                </c:pt>
                <c:pt idx="55">
                  <c:v>0.55000000000000004</c:v>
                </c:pt>
                <c:pt idx="56">
                  <c:v>0.56000000000000005</c:v>
                </c:pt>
                <c:pt idx="57">
                  <c:v>0.56999999999999995</c:v>
                </c:pt>
                <c:pt idx="58">
                  <c:v>0.57999999999999996</c:v>
                </c:pt>
                <c:pt idx="59">
                  <c:v>0.59</c:v>
                </c:pt>
                <c:pt idx="60">
                  <c:v>0.6</c:v>
                </c:pt>
                <c:pt idx="61">
                  <c:v>0.61</c:v>
                </c:pt>
                <c:pt idx="62">
                  <c:v>0.62</c:v>
                </c:pt>
                <c:pt idx="63">
                  <c:v>0.63</c:v>
                </c:pt>
                <c:pt idx="64">
                  <c:v>0.64</c:v>
                </c:pt>
                <c:pt idx="65">
                  <c:v>0.65</c:v>
                </c:pt>
                <c:pt idx="66">
                  <c:v>0.66</c:v>
                </c:pt>
                <c:pt idx="67">
                  <c:v>0.67</c:v>
                </c:pt>
                <c:pt idx="68">
                  <c:v>0.68</c:v>
                </c:pt>
                <c:pt idx="69">
                  <c:v>0.69</c:v>
                </c:pt>
                <c:pt idx="70">
                  <c:v>0.7</c:v>
                </c:pt>
                <c:pt idx="71">
                  <c:v>0.71</c:v>
                </c:pt>
                <c:pt idx="72">
                  <c:v>0.72</c:v>
                </c:pt>
                <c:pt idx="73">
                  <c:v>0.73</c:v>
                </c:pt>
                <c:pt idx="74">
                  <c:v>0.74</c:v>
                </c:pt>
                <c:pt idx="75">
                  <c:v>0.75</c:v>
                </c:pt>
                <c:pt idx="76">
                  <c:v>0.76</c:v>
                </c:pt>
                <c:pt idx="77">
                  <c:v>0.77</c:v>
                </c:pt>
                <c:pt idx="78">
                  <c:v>0.78</c:v>
                </c:pt>
                <c:pt idx="79">
                  <c:v>0.79</c:v>
                </c:pt>
                <c:pt idx="80">
                  <c:v>0.8</c:v>
                </c:pt>
                <c:pt idx="81">
                  <c:v>0.81</c:v>
                </c:pt>
                <c:pt idx="82">
                  <c:v>0.82</c:v>
                </c:pt>
                <c:pt idx="83">
                  <c:v>0.83</c:v>
                </c:pt>
                <c:pt idx="84">
                  <c:v>0.84</c:v>
                </c:pt>
                <c:pt idx="85">
                  <c:v>0.85</c:v>
                </c:pt>
                <c:pt idx="86">
                  <c:v>0.86</c:v>
                </c:pt>
                <c:pt idx="87">
                  <c:v>0.87</c:v>
                </c:pt>
                <c:pt idx="88">
                  <c:v>0.88</c:v>
                </c:pt>
                <c:pt idx="89">
                  <c:v>0.89</c:v>
                </c:pt>
                <c:pt idx="90">
                  <c:v>0.9</c:v>
                </c:pt>
                <c:pt idx="91">
                  <c:v>0.91</c:v>
                </c:pt>
                <c:pt idx="92">
                  <c:v>0.92</c:v>
                </c:pt>
                <c:pt idx="93">
                  <c:v>0.93</c:v>
                </c:pt>
                <c:pt idx="94">
                  <c:v>0.94</c:v>
                </c:pt>
                <c:pt idx="95">
                  <c:v>0.95</c:v>
                </c:pt>
                <c:pt idx="96">
                  <c:v>0.96</c:v>
                </c:pt>
                <c:pt idx="97">
                  <c:v>0.97</c:v>
                </c:pt>
                <c:pt idx="98">
                  <c:v>0.98</c:v>
                </c:pt>
                <c:pt idx="99">
                  <c:v>0.99</c:v>
                </c:pt>
                <c:pt idx="100">
                  <c:v>1</c:v>
                </c:pt>
                <c:pt idx="101">
                  <c:v>1.01</c:v>
                </c:pt>
                <c:pt idx="102">
                  <c:v>1.02</c:v>
                </c:pt>
                <c:pt idx="103">
                  <c:v>1.03</c:v>
                </c:pt>
                <c:pt idx="104">
                  <c:v>1.04</c:v>
                </c:pt>
                <c:pt idx="105">
                  <c:v>1.05</c:v>
                </c:pt>
                <c:pt idx="106">
                  <c:v>1.06</c:v>
                </c:pt>
                <c:pt idx="107">
                  <c:v>1.07</c:v>
                </c:pt>
                <c:pt idx="108">
                  <c:v>1.08</c:v>
                </c:pt>
                <c:pt idx="109">
                  <c:v>1.0900000000000001</c:v>
                </c:pt>
                <c:pt idx="110">
                  <c:v>1.1000000000000001</c:v>
                </c:pt>
                <c:pt idx="111">
                  <c:v>1.1100000000000001</c:v>
                </c:pt>
                <c:pt idx="112">
                  <c:v>1.1200000000000001</c:v>
                </c:pt>
                <c:pt idx="113">
                  <c:v>1.1299999999999999</c:v>
                </c:pt>
                <c:pt idx="114">
                  <c:v>1.1399999999999999</c:v>
                </c:pt>
                <c:pt idx="115">
                  <c:v>1.1499999999999999</c:v>
                </c:pt>
                <c:pt idx="116">
                  <c:v>1.1599999999999999</c:v>
                </c:pt>
                <c:pt idx="117">
                  <c:v>1.17</c:v>
                </c:pt>
                <c:pt idx="118">
                  <c:v>1.18</c:v>
                </c:pt>
                <c:pt idx="119">
                  <c:v>1.19</c:v>
                </c:pt>
                <c:pt idx="120">
                  <c:v>1.2</c:v>
                </c:pt>
                <c:pt idx="121">
                  <c:v>1.21</c:v>
                </c:pt>
                <c:pt idx="122">
                  <c:v>1.22</c:v>
                </c:pt>
                <c:pt idx="123">
                  <c:v>1.23</c:v>
                </c:pt>
                <c:pt idx="124">
                  <c:v>1.24</c:v>
                </c:pt>
                <c:pt idx="125">
                  <c:v>1.25</c:v>
                </c:pt>
                <c:pt idx="126">
                  <c:v>1.26</c:v>
                </c:pt>
                <c:pt idx="127">
                  <c:v>1.27</c:v>
                </c:pt>
                <c:pt idx="128">
                  <c:v>1.28</c:v>
                </c:pt>
                <c:pt idx="129">
                  <c:v>1.29</c:v>
                </c:pt>
                <c:pt idx="130">
                  <c:v>1.3</c:v>
                </c:pt>
                <c:pt idx="131">
                  <c:v>1.31</c:v>
                </c:pt>
                <c:pt idx="132">
                  <c:v>1.32</c:v>
                </c:pt>
                <c:pt idx="133">
                  <c:v>1.33</c:v>
                </c:pt>
                <c:pt idx="134">
                  <c:v>1.34</c:v>
                </c:pt>
                <c:pt idx="135">
                  <c:v>1.35</c:v>
                </c:pt>
                <c:pt idx="136">
                  <c:v>1.36</c:v>
                </c:pt>
                <c:pt idx="137">
                  <c:v>1.37</c:v>
                </c:pt>
                <c:pt idx="138">
                  <c:v>1.38</c:v>
                </c:pt>
                <c:pt idx="139">
                  <c:v>1.39</c:v>
                </c:pt>
                <c:pt idx="140">
                  <c:v>1.4</c:v>
                </c:pt>
                <c:pt idx="141">
                  <c:v>1.41</c:v>
                </c:pt>
                <c:pt idx="142">
                  <c:v>1.42</c:v>
                </c:pt>
                <c:pt idx="143">
                  <c:v>1.43</c:v>
                </c:pt>
                <c:pt idx="144">
                  <c:v>1.44</c:v>
                </c:pt>
                <c:pt idx="145">
                  <c:v>1.45</c:v>
                </c:pt>
                <c:pt idx="146">
                  <c:v>1.46</c:v>
                </c:pt>
                <c:pt idx="147">
                  <c:v>1.47</c:v>
                </c:pt>
                <c:pt idx="148">
                  <c:v>1.48</c:v>
                </c:pt>
                <c:pt idx="149">
                  <c:v>1.49</c:v>
                </c:pt>
                <c:pt idx="150">
                  <c:v>1.5</c:v>
                </c:pt>
                <c:pt idx="151">
                  <c:v>1.51</c:v>
                </c:pt>
                <c:pt idx="152">
                  <c:v>1.52</c:v>
                </c:pt>
                <c:pt idx="153">
                  <c:v>1.53</c:v>
                </c:pt>
                <c:pt idx="154">
                  <c:v>1.54</c:v>
                </c:pt>
                <c:pt idx="155">
                  <c:v>1.55</c:v>
                </c:pt>
                <c:pt idx="156">
                  <c:v>1.56</c:v>
                </c:pt>
                <c:pt idx="157">
                  <c:v>1.57</c:v>
                </c:pt>
                <c:pt idx="158">
                  <c:v>1.58</c:v>
                </c:pt>
                <c:pt idx="159">
                  <c:v>1.59</c:v>
                </c:pt>
                <c:pt idx="160">
                  <c:v>1.6</c:v>
                </c:pt>
                <c:pt idx="161">
                  <c:v>1.61</c:v>
                </c:pt>
                <c:pt idx="162">
                  <c:v>1.62</c:v>
                </c:pt>
                <c:pt idx="163">
                  <c:v>1.63</c:v>
                </c:pt>
                <c:pt idx="164">
                  <c:v>1.64</c:v>
                </c:pt>
                <c:pt idx="165">
                  <c:v>1.65</c:v>
                </c:pt>
                <c:pt idx="166">
                  <c:v>1.66</c:v>
                </c:pt>
                <c:pt idx="167">
                  <c:v>1.67</c:v>
                </c:pt>
                <c:pt idx="168">
                  <c:v>1.68</c:v>
                </c:pt>
                <c:pt idx="169">
                  <c:v>1.69</c:v>
                </c:pt>
                <c:pt idx="170">
                  <c:v>1.7</c:v>
                </c:pt>
                <c:pt idx="171">
                  <c:v>1.71</c:v>
                </c:pt>
                <c:pt idx="172">
                  <c:v>1.72</c:v>
                </c:pt>
                <c:pt idx="173">
                  <c:v>1.73</c:v>
                </c:pt>
                <c:pt idx="174">
                  <c:v>1.74</c:v>
                </c:pt>
                <c:pt idx="175">
                  <c:v>1.75</c:v>
                </c:pt>
                <c:pt idx="176">
                  <c:v>1.76</c:v>
                </c:pt>
                <c:pt idx="177">
                  <c:v>1.77</c:v>
                </c:pt>
                <c:pt idx="178">
                  <c:v>1.78</c:v>
                </c:pt>
                <c:pt idx="179">
                  <c:v>1.79</c:v>
                </c:pt>
                <c:pt idx="180">
                  <c:v>1.8</c:v>
                </c:pt>
                <c:pt idx="181">
                  <c:v>1.81</c:v>
                </c:pt>
                <c:pt idx="182">
                  <c:v>1.82</c:v>
                </c:pt>
                <c:pt idx="183">
                  <c:v>1.83</c:v>
                </c:pt>
                <c:pt idx="184">
                  <c:v>1.84</c:v>
                </c:pt>
                <c:pt idx="185">
                  <c:v>1.85</c:v>
                </c:pt>
                <c:pt idx="186">
                  <c:v>1.86</c:v>
                </c:pt>
                <c:pt idx="187">
                  <c:v>1.87</c:v>
                </c:pt>
                <c:pt idx="188">
                  <c:v>1.88</c:v>
                </c:pt>
                <c:pt idx="189">
                  <c:v>1.89</c:v>
                </c:pt>
                <c:pt idx="190">
                  <c:v>1.9</c:v>
                </c:pt>
                <c:pt idx="191">
                  <c:v>1.91</c:v>
                </c:pt>
                <c:pt idx="192">
                  <c:v>1.92</c:v>
                </c:pt>
                <c:pt idx="193">
                  <c:v>1.93</c:v>
                </c:pt>
                <c:pt idx="194">
                  <c:v>1.94</c:v>
                </c:pt>
                <c:pt idx="195">
                  <c:v>1.95</c:v>
                </c:pt>
                <c:pt idx="196">
                  <c:v>1.96</c:v>
                </c:pt>
                <c:pt idx="197">
                  <c:v>1.97</c:v>
                </c:pt>
                <c:pt idx="198">
                  <c:v>1.98</c:v>
                </c:pt>
                <c:pt idx="199">
                  <c:v>1.99</c:v>
                </c:pt>
                <c:pt idx="200">
                  <c:v>2</c:v>
                </c:pt>
              </c:numCache>
            </c:numRef>
          </c:cat>
          <c:val>
            <c:numRef>
              <c:f>'Power Calculations'!$AG$9:$AG$209</c:f>
              <c:numCache>
                <c:formatCode>0.0000</c:formatCode>
                <c:ptCount val="201"/>
                <c:pt idx="0">
                  <c:v>4.5975265671141996E-3</c:v>
                </c:pt>
                <c:pt idx="1">
                  <c:v>4.7942668774242385E-3</c:v>
                </c:pt>
                <c:pt idx="2">
                  <c:v>4.9936491187741478E-3</c:v>
                </c:pt>
                <c:pt idx="3">
                  <c:v>5.1956731909432062E-3</c:v>
                </c:pt>
                <c:pt idx="4">
                  <c:v>5.4003390003583233E-3</c:v>
                </c:pt>
                <c:pt idx="5">
                  <c:v>5.6076464600921571E-3</c:v>
                </c:pt>
                <c:pt idx="6">
                  <c:v>5.8175954898612939E-3</c:v>
                </c:pt>
                <c:pt idx="7">
                  <c:v>6.0301860160244577E-3</c:v>
                </c:pt>
                <c:pt idx="8">
                  <c:v>6.2454179715807651E-3</c:v>
                </c:pt>
                <c:pt idx="9">
                  <c:v>6.4632912961680262E-3</c:v>
                </c:pt>
                <c:pt idx="10">
                  <c:v>6.6838059360610725E-3</c:v>
                </c:pt>
                <c:pt idx="11">
                  <c:v>6.9069618441701544E-3</c:v>
                </c:pt>
                <c:pt idx="12">
                  <c:v>7.1327589800393495E-3</c:v>
                </c:pt>
                <c:pt idx="13">
                  <c:v>7.3611973098450384E-3</c:v>
                </c:pt>
                <c:pt idx="14">
                  <c:v>7.592276806394402E-3</c:v>
                </c:pt>
                <c:pt idx="15">
                  <c:v>7.8259974491239857E-3</c:v>
                </c:pt>
                <c:pt idx="16">
                  <c:v>8.0623592240982728E-3</c:v>
                </c:pt>
                <c:pt idx="17">
                  <c:v>8.3013621240083258E-3</c:v>
                </c:pt>
                <c:pt idx="18">
                  <c:v>8.543006148170466E-3</c:v>
                </c:pt>
                <c:pt idx="19">
                  <c:v>8.7872913025249799E-3</c:v>
                </c:pt>
                <c:pt idx="20">
                  <c:v>9.034217599634891E-3</c:v>
                </c:pt>
                <c:pt idx="21">
                  <c:v>9.2837850586847352E-3</c:v>
                </c:pt>
                <c:pt idx="22">
                  <c:v>9.5359937054794366E-3</c:v>
                </c:pt>
                <c:pt idx="23">
                  <c:v>9.8912372488842541E-3</c:v>
                </c:pt>
                <c:pt idx="24">
                  <c:v>1.0343376419851131E-2</c:v>
                </c:pt>
                <c:pt idx="25">
                  <c:v>1.0798160962495515E-2</c:v>
                </c:pt>
                <c:pt idx="26">
                  <c:v>1.1255591175085108E-2</c:v>
                </c:pt>
                <c:pt idx="27">
                  <c:v>1.1715667362479538E-2</c:v>
                </c:pt>
                <c:pt idx="28">
                  <c:v>1.2178389836130473E-2</c:v>
                </c:pt>
                <c:pt idx="29">
                  <c:v>1.2643758914081798E-2</c:v>
                </c:pt>
                <c:pt idx="30">
                  <c:v>1.3111774920969824E-2</c:v>
                </c:pt>
                <c:pt idx="31">
                  <c:v>1.3582438188023519E-2</c:v>
                </c:pt>
                <c:pt idx="32">
                  <c:v>1.4055749053064816E-2</c:v>
                </c:pt>
                <c:pt idx="33">
                  <c:v>1.4531707860508933E-2</c:v>
                </c:pt>
                <c:pt idx="34">
                  <c:v>1.5010314961364738E-2</c:v>
                </c:pt>
                <c:pt idx="35">
                  <c:v>1.5491570713235186E-2</c:v>
                </c:pt>
                <c:pt idx="36">
                  <c:v>1.597547548031775E-2</c:v>
                </c:pt>
                <c:pt idx="37">
                  <c:v>1.6462029633404922E-2</c:v>
                </c:pt>
                <c:pt idx="38">
                  <c:v>1.6951233549884752E-2</c:v>
                </c:pt>
                <c:pt idx="39">
                  <c:v>1.7443087613741429E-2</c:v>
                </c:pt>
                <c:pt idx="40">
                  <c:v>1.7937592215555895E-2</c:v>
                </c:pt>
                <c:pt idx="41">
                  <c:v>1.8434747752506496E-2</c:v>
                </c:pt>
                <c:pt idx="42">
                  <c:v>1.8934554628369713E-2</c:v>
                </c:pt>
                <c:pt idx="43">
                  <c:v>1.9437013253520874E-2</c:v>
                </c:pt>
                <c:pt idx="44">
                  <c:v>1.994212404493495E-2</c:v>
                </c:pt>
                <c:pt idx="45">
                  <c:v>2.0449887426187374E-2</c:v>
                </c:pt>
                <c:pt idx="46">
                  <c:v>2.0960303827454931E-2</c:v>
                </c:pt>
                <c:pt idx="47">
                  <c:v>2.147337368551662E-2</c:v>
                </c:pt>
                <c:pt idx="48">
                  <c:v>2.1989097443754657E-2</c:v>
                </c:pt>
                <c:pt idx="49">
                  <c:v>2.2507475552155421E-2</c:v>
                </c:pt>
                <c:pt idx="50">
                  <c:v>2.3028508467310495E-2</c:v>
                </c:pt>
                <c:pt idx="51">
                  <c:v>2.3552196652417774E-2</c:v>
                </c:pt>
                <c:pt idx="52">
                  <c:v>2.4078540577282512E-2</c:v>
                </c:pt>
                <c:pt idx="53">
                  <c:v>2.4607540718318544E-2</c:v>
                </c:pt>
                <c:pt idx="54">
                  <c:v>2.5139197558549438E-2</c:v>
                </c:pt>
                <c:pt idx="55">
                  <c:v>2.5673511587609735E-2</c:v>
                </c:pt>
                <c:pt idx="56">
                  <c:v>2.621048330174627E-2</c:v>
                </c:pt>
                <c:pt idx="57">
                  <c:v>2.6750113203819433E-2</c:v>
                </c:pt>
                <c:pt idx="58">
                  <c:v>2.7292401803304559E-2</c:v>
                </c:pt>
                <c:pt idx="59">
                  <c:v>2.7837349616293344E-2</c:v>
                </c:pt>
                <c:pt idx="60">
                  <c:v>2.8384957165495259E-2</c:v>
                </c:pt>
                <c:pt idx="61">
                  <c:v>2.8935224980239045E-2</c:v>
                </c:pt>
                <c:pt idx="62">
                  <c:v>2.9488153596474252E-2</c:v>
                </c:pt>
                <c:pt idx="63">
                  <c:v>3.0043743556772789E-2</c:v>
                </c:pt>
                <c:pt idx="64">
                  <c:v>3.0601995410330533E-2</c:v>
                </c:pt>
                <c:pt idx="65">
                  <c:v>3.1162909712969013E-2</c:v>
                </c:pt>
                <c:pt idx="66">
                  <c:v>3.1726487027137033E-2</c:v>
                </c:pt>
                <c:pt idx="67">
                  <c:v>3.2292727921912449E-2</c:v>
                </c:pt>
                <c:pt idx="68">
                  <c:v>3.2861632973003985E-2</c:v>
                </c:pt>
                <c:pt idx="69">
                  <c:v>3.3433202762752925E-2</c:v>
                </c:pt>
                <c:pt idx="70">
                  <c:v>3.4007437880135119E-2</c:v>
                </c:pt>
                <c:pt idx="71">
                  <c:v>3.4584338920762764E-2</c:v>
                </c:pt>
                <c:pt idx="72">
                  <c:v>3.5163906486886366E-2</c:v>
                </c:pt>
                <c:pt idx="73">
                  <c:v>3.5746141187396802E-2</c:v>
                </c:pt>
                <c:pt idx="74">
                  <c:v>3.6331043637827215E-2</c:v>
                </c:pt>
                <c:pt idx="75">
                  <c:v>3.6918614460355166E-2</c:v>
                </c:pt>
                <c:pt idx="76">
                  <c:v>3.7508854283804724E-2</c:v>
                </c:pt>
                <c:pt idx="77">
                  <c:v>3.8101763743648584E-2</c:v>
                </c:pt>
                <c:pt idx="78">
                  <c:v>3.8697343482010288E-2</c:v>
                </c:pt>
                <c:pt idx="79">
                  <c:v>3.9295594147666403E-2</c:v>
                </c:pt>
                <c:pt idx="80">
                  <c:v>3.9896516396048874E-2</c:v>
                </c:pt>
                <c:pt idx="81">
                  <c:v>4.0500110889247237E-2</c:v>
                </c:pt>
                <c:pt idx="82">
                  <c:v>4.1106378296011062E-2</c:v>
                </c:pt>
                <c:pt idx="83">
                  <c:v>4.1715319291752283E-2</c:v>
                </c:pt>
                <c:pt idx="84">
                  <c:v>4.232693455854767E-2</c:v>
                </c:pt>
                <c:pt idx="85">
                  <c:v>4.2941224785141292E-2</c:v>
                </c:pt>
                <c:pt idx="86">
                  <c:v>4.355819066694705E-2</c:v>
                </c:pt>
                <c:pt idx="87">
                  <c:v>4.41778329060512E-2</c:v>
                </c:pt>
                <c:pt idx="88">
                  <c:v>4.4800152211215007E-2</c:v>
                </c:pt>
                <c:pt idx="89">
                  <c:v>4.5425149297877353E-2</c:v>
                </c:pt>
                <c:pt idx="90">
                  <c:v>4.6052824888157463E-2</c:v>
                </c:pt>
                <c:pt idx="91">
                  <c:v>4.6683179710857572E-2</c:v>
                </c:pt>
                <c:pt idx="92">
                  <c:v>4.7316214501465739E-2</c:v>
                </c:pt>
                <c:pt idx="93">
                  <c:v>4.7951930002158645E-2</c:v>
                </c:pt>
                <c:pt idx="94">
                  <c:v>4.8590326961804431E-2</c:v>
                </c:pt>
                <c:pt idx="95">
                  <c:v>4.9231406135965668E-2</c:v>
                </c:pt>
                <c:pt idx="96">
                  <c:v>4.9875168286902145E-2</c:v>
                </c:pt>
                <c:pt idx="97">
                  <c:v>5.0521614183573996E-2</c:v>
                </c:pt>
                <c:pt idx="98">
                  <c:v>5.1170744601644655E-2</c:v>
                </c:pt>
                <c:pt idx="99">
                  <c:v>5.1822560323483882E-2</c:v>
                </c:pt>
                <c:pt idx="100">
                  <c:v>5.2477062138170966E-2</c:v>
                </c:pt>
                <c:pt idx="101">
                  <c:v>5.3134250841497754E-2</c:v>
                </c:pt>
                <c:pt idx="102">
                  <c:v>5.379412723597192E-2</c:v>
                </c:pt>
                <c:pt idx="103">
                  <c:v>5.4456692130820161E-2</c:v>
                </c:pt>
                <c:pt idx="104">
                  <c:v>5.5121946341991503E-2</c:v>
                </c:pt>
                <c:pt idx="105">
                  <c:v>5.5789890692160546E-2</c:v>
                </c:pt>
                <c:pt idx="106">
                  <c:v>5.6460526010730899E-2</c:v>
                </c:pt>
                <c:pt idx="107">
                  <c:v>5.7133853133838508E-2</c:v>
                </c:pt>
                <c:pt idx="108">
                  <c:v>5.7809872904355158E-2</c:v>
                </c:pt>
                <c:pt idx="109">
                  <c:v>5.8488586171891899E-2</c:v>
                </c:pt>
                <c:pt idx="110">
                  <c:v>5.9169993792802598E-2</c:v>
                </c:pt>
                <c:pt idx="111">
                  <c:v>5.9854096630187502E-2</c:v>
                </c:pt>
                <c:pt idx="112">
                  <c:v>6.054089555389687E-2</c:v>
                </c:pt>
                <c:pt idx="113">
                  <c:v>6.1230391440534569E-2</c:v>
                </c:pt>
                <c:pt idx="114">
                  <c:v>6.1922585173461803E-2</c:v>
                </c:pt>
                <c:pt idx="115">
                  <c:v>6.2617477642800859E-2</c:v>
                </c:pt>
                <c:pt idx="116">
                  <c:v>6.3315069745438837E-2</c:v>
                </c:pt>
                <c:pt idx="117">
                  <c:v>6.4015362385031541E-2</c:v>
                </c:pt>
                <c:pt idx="118">
                  <c:v>6.4718356472007285E-2</c:v>
                </c:pt>
                <c:pt idx="119">
                  <c:v>6.5424052923570772E-2</c:v>
                </c:pt>
                <c:pt idx="120">
                  <c:v>6.6132452663707125E-2</c:v>
                </c:pt>
                <c:pt idx="121">
                  <c:v>6.6843556623185849E-2</c:v>
                </c:pt>
                <c:pt idx="122">
                  <c:v>6.7557365739564793E-2</c:v>
                </c:pt>
                <c:pt idx="123">
                  <c:v>6.8273880957194333E-2</c:v>
                </c:pt>
                <c:pt idx="124">
                  <c:v>6.899310322722145E-2</c:v>
                </c:pt>
                <c:pt idx="125">
                  <c:v>6.9715033507593796E-2</c:v>
                </c:pt>
                <c:pt idx="126">
                  <c:v>7.0439672763064037E-2</c:v>
                </c:pt>
                <c:pt idx="127">
                  <c:v>7.1167021965194019E-2</c:v>
                </c:pt>
                <c:pt idx="128">
                  <c:v>7.1897082092359108E-2</c:v>
                </c:pt>
                <c:pt idx="129">
                  <c:v>7.2629854129752466E-2</c:v>
                </c:pt>
                <c:pt idx="130">
                  <c:v>7.3365339069389426E-2</c:v>
                </c:pt>
                <c:pt idx="131">
                  <c:v>7.4103537910111983E-2</c:v>
                </c:pt>
                <c:pt idx="132">
                  <c:v>7.4844451657593167E-2</c:v>
                </c:pt>
                <c:pt idx="133">
                  <c:v>7.5588081324341583E-2</c:v>
                </c:pt>
                <c:pt idx="134">
                  <c:v>7.6334427929705989E-2</c:v>
                </c:pt>
                <c:pt idx="135">
                  <c:v>7.7083492499879822E-2</c:v>
                </c:pt>
                <c:pt idx="136">
                  <c:v>7.7835276067905856E-2</c:v>
                </c:pt>
                <c:pt idx="137">
                  <c:v>7.8589779673680887E-2</c:v>
                </c:pt>
                <c:pt idx="138">
                  <c:v>7.9347004363960458E-2</c:v>
                </c:pt>
                <c:pt idx="139">
                  <c:v>8.0106951192363607E-2</c:v>
                </c:pt>
                <c:pt idx="140">
                  <c:v>8.0869621219377685E-2</c:v>
                </c:pt>
                <c:pt idx="141">
                  <c:v>8.1635015512363157E-2</c:v>
                </c:pt>
                <c:pt idx="142">
                  <c:v>8.2403135145558568E-2</c:v>
                </c:pt>
                <c:pt idx="143">
                  <c:v>8.3173981200085401E-2</c:v>
                </c:pt>
                <c:pt idx="144">
                  <c:v>8.3947554763953131E-2</c:v>
                </c:pt>
                <c:pt idx="145">
                  <c:v>8.4723856932064232E-2</c:v>
                </c:pt>
                <c:pt idx="146">
                  <c:v>8.5502888806219132E-2</c:v>
                </c:pt>
                <c:pt idx="147">
                  <c:v>8.6284651495121489E-2</c:v>
                </c:pt>
                <c:pt idx="148">
                  <c:v>8.7069146114383267E-2</c:v>
                </c:pt>
                <c:pt idx="149">
                  <c:v>8.7856373786529926E-2</c:v>
                </c:pt>
                <c:pt idx="150">
                  <c:v>8.8646335641005602E-2</c:v>
                </c:pt>
                <c:pt idx="151">
                  <c:v>8.9439032814178587E-2</c:v>
                </c:pt>
                <c:pt idx="152">
                  <c:v>9.023446644934642E-2</c:v>
                </c:pt>
                <c:pt idx="153">
                  <c:v>9.1032637696741442E-2</c:v>
                </c:pt>
                <c:pt idx="154">
                  <c:v>9.1833547713536093E-2</c:v>
                </c:pt>
                <c:pt idx="155">
                  <c:v>9.2637197663848439E-2</c:v>
                </c:pt>
                <c:pt idx="156">
                  <c:v>9.3443588718747653E-2</c:v>
                </c:pt>
                <c:pt idx="157">
                  <c:v>9.4252722056259536E-2</c:v>
                </c:pt>
                <c:pt idx="158">
                  <c:v>9.5064598861372224E-2</c:v>
                </c:pt>
                <c:pt idx="159">
                  <c:v>9.5879220326041695E-2</c:v>
                </c:pt>
                <c:pt idx="160">
                  <c:v>9.669658764919746E-2</c:v>
                </c:pt>
                <c:pt idx="161">
                  <c:v>9.7516702036748351E-2</c:v>
                </c:pt>
                <c:pt idx="162">
                  <c:v>9.833956470158832E-2</c:v>
                </c:pt>
                <c:pt idx="163">
                  <c:v>9.91651768636021E-2</c:v>
                </c:pt>
                <c:pt idx="164">
                  <c:v>9.9993539749671262E-2</c:v>
                </c:pt>
                <c:pt idx="165">
                  <c:v>0.10082465459367995</c:v>
                </c:pt>
                <c:pt idx="166">
                  <c:v>0.10165852263652095</c:v>
                </c:pt>
                <c:pt idx="167">
                  <c:v>0.10249514512610156</c:v>
                </c:pt>
                <c:pt idx="168">
                  <c:v>0.10333452331734981</c:v>
                </c:pt>
                <c:pt idx="169">
                  <c:v>0.10417665847222032</c:v>
                </c:pt>
                <c:pt idx="170">
                  <c:v>0.10502155185970062</c:v>
                </c:pt>
                <c:pt idx="171">
                  <c:v>0.10586920475581724</c:v>
                </c:pt>
                <c:pt idx="172">
                  <c:v>0.10671961844364189</c:v>
                </c:pt>
                <c:pt idx="173">
                  <c:v>0.10757279421329781</c:v>
                </c:pt>
                <c:pt idx="174">
                  <c:v>0.10842873336196598</c:v>
                </c:pt>
                <c:pt idx="175">
                  <c:v>0.1092874371938916</c:v>
                </c:pt>
                <c:pt idx="176">
                  <c:v>0.11014890702039032</c:v>
                </c:pt>
                <c:pt idx="177">
                  <c:v>0.11101314415985486</c:v>
                </c:pt>
                <c:pt idx="178">
                  <c:v>0.11188014993776139</c:v>
                </c:pt>
                <c:pt idx="179">
                  <c:v>0.11274992568667611</c:v>
                </c:pt>
                <c:pt idx="180">
                  <c:v>0.11362247274626176</c:v>
                </c:pt>
                <c:pt idx="181">
                  <c:v>0.11449779246328436</c:v>
                </c:pt>
                <c:pt idx="182">
                  <c:v>0.11537588619161972</c:v>
                </c:pt>
                <c:pt idx="183">
                  <c:v>0.1162567552922604</c:v>
                </c:pt>
                <c:pt idx="184">
                  <c:v>0.11714040113332219</c:v>
                </c:pt>
                <c:pt idx="185">
                  <c:v>0.11802682509005111</c:v>
                </c:pt>
                <c:pt idx="186">
                  <c:v>0.11891602854483027</c:v>
                </c:pt>
                <c:pt idx="187">
                  <c:v>0.11980801288718661</c:v>
                </c:pt>
                <c:pt idx="188">
                  <c:v>0.12070277951379797</c:v>
                </c:pt>
                <c:pt idx="189">
                  <c:v>0.12160032982850019</c:v>
                </c:pt>
                <c:pt idx="190">
                  <c:v>0.12250066524229382</c:v>
                </c:pt>
                <c:pt idx="191">
                  <c:v>0.12340378717335149</c:v>
                </c:pt>
                <c:pt idx="192">
                  <c:v>0.12430969704702505</c:v>
                </c:pt>
                <c:pt idx="193">
                  <c:v>0.12521839629585252</c:v>
                </c:pt>
                <c:pt idx="194">
                  <c:v>0.12612988635956549</c:v>
                </c:pt>
                <c:pt idx="195">
                  <c:v>0.12704416868509638</c:v>
                </c:pt>
                <c:pt idx="196">
                  <c:v>0.12796124472658571</c:v>
                </c:pt>
                <c:pt idx="197">
                  <c:v>0.12888111594538948</c:v>
                </c:pt>
                <c:pt idx="198">
                  <c:v>0.12980378381008661</c:v>
                </c:pt>
                <c:pt idx="199">
                  <c:v>0.13072924979648631</c:v>
                </c:pt>
                <c:pt idx="200">
                  <c:v>0.1316575153876357</c:v>
                </c:pt>
              </c:numCache>
            </c:numRef>
          </c:val>
          <c:smooth val="0"/>
          <c:extLst>
            <c:ext xmlns:c16="http://schemas.microsoft.com/office/drawing/2014/chart" uri="{C3380CC4-5D6E-409C-BE32-E72D297353CC}">
              <c16:uniqueId val="{00000003-7890-472B-AAE1-D1CB0E55BFDF}"/>
            </c:ext>
          </c:extLst>
        </c:ser>
        <c:dLbls>
          <c:showLegendKey val="0"/>
          <c:showVal val="0"/>
          <c:showCatName val="0"/>
          <c:showSerName val="0"/>
          <c:showPercent val="0"/>
          <c:showBubbleSize val="0"/>
        </c:dLbls>
        <c:marker val="1"/>
        <c:smooth val="0"/>
        <c:axId val="308586368"/>
        <c:axId val="308584448"/>
      </c:lineChart>
      <c:catAx>
        <c:axId val="308580352"/>
        <c:scaling>
          <c:orientation val="minMax"/>
        </c:scaling>
        <c:delete val="0"/>
        <c:axPos val="b"/>
        <c:majorGridlines>
          <c:spPr>
            <a:ln w="15875">
              <a:solidFill>
                <a:srgbClr val="969696"/>
              </a:solidFill>
              <a:prstDash val="sysDash"/>
            </a:ln>
          </c:spPr>
        </c:majorGridlines>
        <c:minorGridlines/>
        <c:title>
          <c:tx>
            <c:rich>
              <a:bodyPr/>
              <a:lstStyle/>
              <a:p>
                <a:pPr>
                  <a:defRPr sz="1200" b="1" i="0" u="none" strike="noStrike" baseline="0">
                    <a:solidFill>
                      <a:srgbClr val="0000FF"/>
                    </a:solidFill>
                    <a:latin typeface="Arial" pitchFamily="34" charset="0"/>
                    <a:ea typeface="Calibri"/>
                    <a:cs typeface="Arial" pitchFamily="34" charset="0"/>
                  </a:defRPr>
                </a:pPr>
                <a:r>
                  <a:rPr lang="en-US" sz="1200">
                    <a:solidFill>
                      <a:srgbClr val="0000FF"/>
                    </a:solidFill>
                    <a:latin typeface="Arial" pitchFamily="34" charset="0"/>
                    <a:cs typeface="Arial" pitchFamily="34" charset="0"/>
                  </a:rPr>
                  <a:t>Load Current (A)</a:t>
                </a:r>
              </a:p>
            </c:rich>
          </c:tx>
          <c:layout>
            <c:manualLayout>
              <c:xMode val="edge"/>
              <c:yMode val="edge"/>
              <c:x val="0.42471011396394504"/>
              <c:y val="0.93853771636955563"/>
            </c:manualLayout>
          </c:layout>
          <c:overlay val="0"/>
          <c:spPr>
            <a:noFill/>
            <a:ln w="25400">
              <a:noFill/>
            </a:ln>
          </c:spPr>
        </c:title>
        <c:numFmt formatCode="General" sourceLinked="1"/>
        <c:majorTickMark val="in"/>
        <c:minorTickMark val="in"/>
        <c:tickLblPos val="nextTo"/>
        <c:spPr>
          <a:ln w="3175">
            <a:solidFill>
              <a:srgbClr val="000000"/>
            </a:solidFill>
            <a:prstDash val="solid"/>
          </a:ln>
        </c:spPr>
        <c:txPr>
          <a:bodyPr rot="0" vert="horz"/>
          <a:lstStyle/>
          <a:p>
            <a:pPr>
              <a:defRPr sz="1100" b="1" i="0" u="none" strike="noStrike" baseline="0">
                <a:solidFill>
                  <a:srgbClr val="0000FF"/>
                </a:solidFill>
                <a:latin typeface="Arial" pitchFamily="34" charset="0"/>
                <a:ea typeface="Calibri"/>
                <a:cs typeface="Arial" pitchFamily="34" charset="0"/>
              </a:defRPr>
            </a:pPr>
            <a:endParaRPr lang="en-US"/>
          </a:p>
        </c:txPr>
        <c:crossAx val="308582272"/>
        <c:crosses val="autoZero"/>
        <c:auto val="1"/>
        <c:lblAlgn val="ctr"/>
        <c:lblOffset val="100"/>
        <c:tickLblSkip val="40"/>
        <c:tickMarkSkip val="40"/>
        <c:noMultiLvlLbl val="0"/>
      </c:catAx>
      <c:valAx>
        <c:axId val="308582272"/>
        <c:scaling>
          <c:orientation val="minMax"/>
          <c:max val="100"/>
          <c:min val="65"/>
        </c:scaling>
        <c:delete val="0"/>
        <c:axPos val="l"/>
        <c:majorGridlines>
          <c:spPr>
            <a:ln w="15875">
              <a:solidFill>
                <a:srgbClr val="808080"/>
              </a:solidFill>
              <a:prstDash val="solid"/>
            </a:ln>
          </c:spPr>
        </c:majorGridlines>
        <c:minorGridlines/>
        <c:title>
          <c:tx>
            <c:rich>
              <a:bodyPr/>
              <a:lstStyle/>
              <a:p>
                <a:pPr>
                  <a:defRPr sz="1400" b="1" i="0" u="none" strike="noStrike" baseline="0">
                    <a:solidFill>
                      <a:srgbClr val="FF0000"/>
                    </a:solidFill>
                    <a:latin typeface="Arial" pitchFamily="34" charset="0"/>
                    <a:ea typeface="Calibri"/>
                    <a:cs typeface="Arial" pitchFamily="34" charset="0"/>
                  </a:defRPr>
                </a:pPr>
                <a:r>
                  <a:rPr lang="en-US" sz="1200" b="1">
                    <a:solidFill>
                      <a:srgbClr val="FF0000"/>
                    </a:solidFill>
                    <a:latin typeface="Arial" pitchFamily="34" charset="0"/>
                    <a:cs typeface="Arial" pitchFamily="34" charset="0"/>
                  </a:rPr>
                  <a:t>Efficiency  (%)</a:t>
                </a:r>
              </a:p>
            </c:rich>
          </c:tx>
          <c:layout>
            <c:manualLayout>
              <c:xMode val="edge"/>
              <c:yMode val="edge"/>
              <c:x val="1.2871858674081443E-2"/>
              <c:y val="0.37638177915688309"/>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sz="1100" b="1" i="0" u="none" strike="noStrike" baseline="0">
                <a:solidFill>
                  <a:srgbClr val="FF0000"/>
                </a:solidFill>
                <a:latin typeface="Arial" pitchFamily="34" charset="0"/>
                <a:ea typeface="Calibri"/>
                <a:cs typeface="Arial" pitchFamily="34" charset="0"/>
              </a:defRPr>
            </a:pPr>
            <a:endParaRPr lang="en-US"/>
          </a:p>
        </c:txPr>
        <c:crossAx val="308580352"/>
        <c:crossesAt val="0"/>
        <c:crossBetween val="between"/>
        <c:majorUnit val="5"/>
        <c:minorUnit val="2.5"/>
      </c:valAx>
      <c:valAx>
        <c:axId val="308584448"/>
        <c:scaling>
          <c:orientation val="minMax"/>
        </c:scaling>
        <c:delete val="0"/>
        <c:axPos val="r"/>
        <c:title>
          <c:tx>
            <c:rich>
              <a:bodyPr rot="-5400000" vert="horz"/>
              <a:lstStyle/>
              <a:p>
                <a:pPr>
                  <a:defRPr sz="1200" b="1"/>
                </a:pPr>
                <a:r>
                  <a:rPr lang="en-US" sz="1200" b="1"/>
                  <a:t>Power Loss (W)</a:t>
                </a:r>
              </a:p>
            </c:rich>
          </c:tx>
          <c:layout>
            <c:manualLayout>
              <c:xMode val="edge"/>
              <c:yMode val="edge"/>
              <c:x val="0.95168474305601269"/>
              <c:y val="0.38117714045368295"/>
            </c:manualLayout>
          </c:layout>
          <c:overlay val="0"/>
        </c:title>
        <c:numFmt formatCode="General" sourceLinked="0"/>
        <c:majorTickMark val="out"/>
        <c:minorTickMark val="none"/>
        <c:tickLblPos val="nextTo"/>
        <c:txPr>
          <a:bodyPr/>
          <a:lstStyle/>
          <a:p>
            <a:pPr>
              <a:defRPr sz="1100" b="1">
                <a:solidFill>
                  <a:sysClr val="windowText" lastClr="000000"/>
                </a:solidFill>
              </a:defRPr>
            </a:pPr>
            <a:endParaRPr lang="en-US"/>
          </a:p>
        </c:txPr>
        <c:crossAx val="308586368"/>
        <c:crosses val="max"/>
        <c:crossBetween val="between"/>
      </c:valAx>
      <c:catAx>
        <c:axId val="308586368"/>
        <c:scaling>
          <c:orientation val="minMax"/>
        </c:scaling>
        <c:delete val="1"/>
        <c:axPos val="b"/>
        <c:numFmt formatCode="General" sourceLinked="1"/>
        <c:majorTickMark val="out"/>
        <c:minorTickMark val="none"/>
        <c:tickLblPos val="nextTo"/>
        <c:crossAx val="308584448"/>
        <c:crosses val="autoZero"/>
        <c:auto val="1"/>
        <c:lblAlgn val="ctr"/>
        <c:lblOffset val="100"/>
        <c:noMultiLvlLbl val="0"/>
      </c:catAx>
      <c:spPr>
        <a:noFill/>
        <a:ln w="25400">
          <a:noFill/>
        </a:ln>
      </c:spPr>
    </c:plotArea>
    <c:legend>
      <c:legendPos val="t"/>
      <c:layout>
        <c:manualLayout>
          <c:xMode val="edge"/>
          <c:yMode val="edge"/>
          <c:x val="0.40102557566231317"/>
          <c:y val="1.1892633038167682E-2"/>
          <c:w val="0.59897442433768688"/>
          <c:h val="8.9795049320617604E-2"/>
        </c:manualLayout>
      </c:layout>
      <c:overlay val="0"/>
      <c:spPr>
        <a:solidFill>
          <a:srgbClr val="FFFFFF"/>
        </a:solidFill>
        <a:ln w="25400">
          <a:noFill/>
        </a:ln>
      </c:spPr>
      <c:txPr>
        <a:bodyPr/>
        <a:lstStyle/>
        <a:p>
          <a:pPr>
            <a:defRPr sz="1100" b="0" i="0" u="none" strike="noStrike" baseline="0">
              <a:solidFill>
                <a:srgbClr val="000000"/>
              </a:solidFill>
              <a:latin typeface="Arial" pitchFamily="34" charset="0"/>
              <a:ea typeface="Calibri"/>
              <a:cs typeface="Arial" pitchFamily="34" charset="0"/>
            </a:defRPr>
          </a:pPr>
          <a:endParaRPr lang="en-US"/>
        </a:p>
      </c:txPr>
    </c:legend>
    <c:plotVisOnly val="1"/>
    <c:dispBlanksAs val="gap"/>
    <c:showDLblsOverMax val="0"/>
  </c:chart>
  <c:spPr>
    <a:noFill/>
    <a:ln w="9525">
      <a:solidFill>
        <a:srgbClr val="808080"/>
      </a:solidFill>
    </a:ln>
  </c:spPr>
  <c:txPr>
    <a:bodyPr/>
    <a:lstStyle/>
    <a:p>
      <a:pPr>
        <a:defRPr sz="850" b="0" i="0" u="none" strike="noStrike" baseline="0">
          <a:solidFill>
            <a:srgbClr val="000000"/>
          </a:solidFill>
          <a:latin typeface="Arial"/>
          <a:ea typeface="Arial"/>
          <a:cs typeface="Arial"/>
        </a:defRPr>
      </a:pPr>
      <a:endParaRPr lang="en-US"/>
    </a:p>
  </c:txPr>
  <c:printSettings>
    <c:headerFooter alignWithMargins="0"/>
    <c:pageMargins b="1" l="0.750000000000006" r="0.750000000000006" t="1" header="0.5" footer="0.5"/>
    <c:pageSetup paperSize="5" orientation="portrait"/>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25" b="1" i="0" u="none" strike="noStrike" baseline="0">
                <a:solidFill>
                  <a:srgbClr val="000000"/>
                </a:solidFill>
                <a:latin typeface="Arial"/>
                <a:ea typeface="Arial"/>
                <a:cs typeface="Arial"/>
              </a:defRPr>
            </a:pPr>
            <a:r>
              <a:rPr lang="en-US"/>
              <a:t>Open Loop Response</a:t>
            </a:r>
          </a:p>
        </c:rich>
      </c:tx>
      <c:layout>
        <c:manualLayout>
          <c:xMode val="edge"/>
          <c:yMode val="edge"/>
          <c:x val="0.39590479517706217"/>
          <c:y val="3.1496062992125991E-2"/>
        </c:manualLayout>
      </c:layout>
      <c:overlay val="0"/>
      <c:spPr>
        <a:noFill/>
        <a:ln w="25400">
          <a:noFill/>
        </a:ln>
      </c:spPr>
    </c:title>
    <c:autoTitleDeleted val="0"/>
    <c:plotArea>
      <c:layout>
        <c:manualLayout>
          <c:layoutTarget val="inner"/>
          <c:xMode val="edge"/>
          <c:yMode val="edge"/>
          <c:x val="0.11262808019484494"/>
          <c:y val="0.20997429147774274"/>
          <c:w val="0.8003419638088306"/>
          <c:h val="0.60105140935503165"/>
        </c:manualLayout>
      </c:layout>
      <c:scatterChart>
        <c:scatterStyle val="smoothMarker"/>
        <c:varyColors val="0"/>
        <c:ser>
          <c:idx val="0"/>
          <c:order val="0"/>
          <c:tx>
            <c:v>Gain</c:v>
          </c:tx>
          <c:spPr>
            <a:ln w="12700">
              <a:solidFill>
                <a:srgbClr val="000000"/>
              </a:solidFill>
              <a:prstDash val="lgDash"/>
            </a:ln>
          </c:spPr>
          <c:marker>
            <c:symbol val="none"/>
          </c:marker>
          <c:xVal>
            <c:numRef>
              <c:f>'Bode Plots Calculations'!$A$9:$A$676</c:f>
              <c:numCache>
                <c:formatCode>General</c:formatCode>
                <c:ptCount val="668"/>
                <c:pt idx="0">
                  <c:v>1</c:v>
                </c:pt>
                <c:pt idx="1">
                  <c:v>2</c:v>
                </c:pt>
                <c:pt idx="2">
                  <c:v>3</c:v>
                </c:pt>
                <c:pt idx="3">
                  <c:v>4</c:v>
                </c:pt>
                <c:pt idx="4">
                  <c:v>5</c:v>
                </c:pt>
                <c:pt idx="5">
                  <c:v>6</c:v>
                </c:pt>
                <c:pt idx="6">
                  <c:v>7</c:v>
                </c:pt>
                <c:pt idx="7">
                  <c:v>8</c:v>
                </c:pt>
                <c:pt idx="8">
                  <c:v>9</c:v>
                </c:pt>
                <c:pt idx="9">
                  <c:v>10</c:v>
                </c:pt>
                <c:pt idx="10">
                  <c:v>20</c:v>
                </c:pt>
                <c:pt idx="11">
                  <c:v>30</c:v>
                </c:pt>
                <c:pt idx="12">
                  <c:v>40</c:v>
                </c:pt>
                <c:pt idx="13">
                  <c:v>50</c:v>
                </c:pt>
                <c:pt idx="14">
                  <c:v>60</c:v>
                </c:pt>
                <c:pt idx="15">
                  <c:v>70</c:v>
                </c:pt>
                <c:pt idx="16">
                  <c:v>80</c:v>
                </c:pt>
                <c:pt idx="17">
                  <c:v>90</c:v>
                </c:pt>
                <c:pt idx="18">
                  <c:v>100</c:v>
                </c:pt>
                <c:pt idx="19">
                  <c:v>200</c:v>
                </c:pt>
                <c:pt idx="20">
                  <c:v>300</c:v>
                </c:pt>
                <c:pt idx="21">
                  <c:v>400</c:v>
                </c:pt>
                <c:pt idx="22">
                  <c:v>500</c:v>
                </c:pt>
                <c:pt idx="23">
                  <c:v>600</c:v>
                </c:pt>
                <c:pt idx="24">
                  <c:v>700</c:v>
                </c:pt>
                <c:pt idx="25">
                  <c:v>800</c:v>
                </c:pt>
                <c:pt idx="26">
                  <c:v>900</c:v>
                </c:pt>
                <c:pt idx="27">
                  <c:v>1000</c:v>
                </c:pt>
                <c:pt idx="28">
                  <c:v>1500</c:v>
                </c:pt>
                <c:pt idx="29">
                  <c:v>2000</c:v>
                </c:pt>
                <c:pt idx="30">
                  <c:v>2500</c:v>
                </c:pt>
                <c:pt idx="31">
                  <c:v>3000</c:v>
                </c:pt>
                <c:pt idx="32">
                  <c:v>3500</c:v>
                </c:pt>
                <c:pt idx="33">
                  <c:v>4000</c:v>
                </c:pt>
                <c:pt idx="34">
                  <c:v>4500</c:v>
                </c:pt>
                <c:pt idx="35">
                  <c:v>5000</c:v>
                </c:pt>
                <c:pt idx="36">
                  <c:v>5500</c:v>
                </c:pt>
                <c:pt idx="37">
                  <c:v>6000</c:v>
                </c:pt>
                <c:pt idx="38">
                  <c:v>6500</c:v>
                </c:pt>
                <c:pt idx="39">
                  <c:v>7000</c:v>
                </c:pt>
                <c:pt idx="40">
                  <c:v>7500</c:v>
                </c:pt>
                <c:pt idx="41">
                  <c:v>8000</c:v>
                </c:pt>
                <c:pt idx="42">
                  <c:v>8500</c:v>
                </c:pt>
                <c:pt idx="43">
                  <c:v>9000</c:v>
                </c:pt>
                <c:pt idx="44">
                  <c:v>9500</c:v>
                </c:pt>
                <c:pt idx="45">
                  <c:v>10000</c:v>
                </c:pt>
                <c:pt idx="46">
                  <c:v>10500</c:v>
                </c:pt>
                <c:pt idx="47">
                  <c:v>11000</c:v>
                </c:pt>
                <c:pt idx="48">
                  <c:v>11500</c:v>
                </c:pt>
                <c:pt idx="49">
                  <c:v>12000</c:v>
                </c:pt>
                <c:pt idx="50">
                  <c:v>12500</c:v>
                </c:pt>
                <c:pt idx="51">
                  <c:v>13000</c:v>
                </c:pt>
                <c:pt idx="52">
                  <c:v>13500</c:v>
                </c:pt>
                <c:pt idx="53">
                  <c:v>14000</c:v>
                </c:pt>
                <c:pt idx="54">
                  <c:v>14500</c:v>
                </c:pt>
                <c:pt idx="55">
                  <c:v>15000</c:v>
                </c:pt>
                <c:pt idx="56">
                  <c:v>15500</c:v>
                </c:pt>
                <c:pt idx="57">
                  <c:v>16000</c:v>
                </c:pt>
                <c:pt idx="58">
                  <c:v>16500</c:v>
                </c:pt>
                <c:pt idx="59">
                  <c:v>17000</c:v>
                </c:pt>
                <c:pt idx="60">
                  <c:v>17500</c:v>
                </c:pt>
                <c:pt idx="61">
                  <c:v>18000</c:v>
                </c:pt>
                <c:pt idx="62">
                  <c:v>18500</c:v>
                </c:pt>
                <c:pt idx="63">
                  <c:v>19000</c:v>
                </c:pt>
                <c:pt idx="64">
                  <c:v>19500</c:v>
                </c:pt>
                <c:pt idx="65">
                  <c:v>20000</c:v>
                </c:pt>
                <c:pt idx="66">
                  <c:v>20500</c:v>
                </c:pt>
                <c:pt idx="67">
                  <c:v>21000</c:v>
                </c:pt>
                <c:pt idx="68">
                  <c:v>21500</c:v>
                </c:pt>
                <c:pt idx="69">
                  <c:v>22000</c:v>
                </c:pt>
                <c:pt idx="70">
                  <c:v>22500</c:v>
                </c:pt>
                <c:pt idx="71">
                  <c:v>23000</c:v>
                </c:pt>
                <c:pt idx="72">
                  <c:v>23500</c:v>
                </c:pt>
                <c:pt idx="73">
                  <c:v>24000</c:v>
                </c:pt>
                <c:pt idx="74">
                  <c:v>24500</c:v>
                </c:pt>
                <c:pt idx="75">
                  <c:v>25000</c:v>
                </c:pt>
                <c:pt idx="76">
                  <c:v>25500</c:v>
                </c:pt>
                <c:pt idx="77">
                  <c:v>26000</c:v>
                </c:pt>
                <c:pt idx="78">
                  <c:v>26500</c:v>
                </c:pt>
                <c:pt idx="79">
                  <c:v>27000</c:v>
                </c:pt>
                <c:pt idx="80">
                  <c:v>27500</c:v>
                </c:pt>
                <c:pt idx="81">
                  <c:v>28000</c:v>
                </c:pt>
                <c:pt idx="82">
                  <c:v>28500</c:v>
                </c:pt>
                <c:pt idx="83">
                  <c:v>29000</c:v>
                </c:pt>
                <c:pt idx="84">
                  <c:v>29500</c:v>
                </c:pt>
                <c:pt idx="85">
                  <c:v>30000</c:v>
                </c:pt>
                <c:pt idx="86">
                  <c:v>30500</c:v>
                </c:pt>
                <c:pt idx="87">
                  <c:v>31000</c:v>
                </c:pt>
                <c:pt idx="88">
                  <c:v>31500</c:v>
                </c:pt>
                <c:pt idx="89">
                  <c:v>32000</c:v>
                </c:pt>
                <c:pt idx="90">
                  <c:v>32500</c:v>
                </c:pt>
                <c:pt idx="91">
                  <c:v>33000</c:v>
                </c:pt>
                <c:pt idx="92">
                  <c:v>33500</c:v>
                </c:pt>
                <c:pt idx="93">
                  <c:v>34000</c:v>
                </c:pt>
                <c:pt idx="94">
                  <c:v>34500</c:v>
                </c:pt>
                <c:pt idx="95">
                  <c:v>35000</c:v>
                </c:pt>
                <c:pt idx="96">
                  <c:v>35500</c:v>
                </c:pt>
                <c:pt idx="97">
                  <c:v>36000</c:v>
                </c:pt>
                <c:pt idx="98">
                  <c:v>36500</c:v>
                </c:pt>
                <c:pt idx="99">
                  <c:v>37000</c:v>
                </c:pt>
                <c:pt idx="100">
                  <c:v>37500</c:v>
                </c:pt>
                <c:pt idx="101">
                  <c:v>38000</c:v>
                </c:pt>
                <c:pt idx="102">
                  <c:v>38500</c:v>
                </c:pt>
                <c:pt idx="103">
                  <c:v>39000</c:v>
                </c:pt>
                <c:pt idx="104">
                  <c:v>39500</c:v>
                </c:pt>
                <c:pt idx="105">
                  <c:v>40000</c:v>
                </c:pt>
                <c:pt idx="106">
                  <c:v>40500</c:v>
                </c:pt>
                <c:pt idx="107">
                  <c:v>41000</c:v>
                </c:pt>
                <c:pt idx="108">
                  <c:v>41500</c:v>
                </c:pt>
                <c:pt idx="109">
                  <c:v>42000</c:v>
                </c:pt>
                <c:pt idx="110">
                  <c:v>42500</c:v>
                </c:pt>
                <c:pt idx="111">
                  <c:v>43000</c:v>
                </c:pt>
                <c:pt idx="112">
                  <c:v>43500</c:v>
                </c:pt>
                <c:pt idx="113">
                  <c:v>44000</c:v>
                </c:pt>
                <c:pt idx="114">
                  <c:v>44500</c:v>
                </c:pt>
                <c:pt idx="115">
                  <c:v>45000</c:v>
                </c:pt>
                <c:pt idx="116">
                  <c:v>45500</c:v>
                </c:pt>
                <c:pt idx="117">
                  <c:v>46000</c:v>
                </c:pt>
                <c:pt idx="118">
                  <c:v>46500</c:v>
                </c:pt>
                <c:pt idx="119">
                  <c:v>47000</c:v>
                </c:pt>
                <c:pt idx="120">
                  <c:v>47500</c:v>
                </c:pt>
                <c:pt idx="121">
                  <c:v>48000</c:v>
                </c:pt>
                <c:pt idx="122">
                  <c:v>48500</c:v>
                </c:pt>
                <c:pt idx="123">
                  <c:v>49000</c:v>
                </c:pt>
                <c:pt idx="124">
                  <c:v>49500</c:v>
                </c:pt>
                <c:pt idx="125">
                  <c:v>50000</c:v>
                </c:pt>
                <c:pt idx="126">
                  <c:v>50500</c:v>
                </c:pt>
                <c:pt idx="127">
                  <c:v>51000</c:v>
                </c:pt>
                <c:pt idx="128">
                  <c:v>51500</c:v>
                </c:pt>
                <c:pt idx="129">
                  <c:v>52000</c:v>
                </c:pt>
                <c:pt idx="130">
                  <c:v>52500</c:v>
                </c:pt>
                <c:pt idx="131">
                  <c:v>53000</c:v>
                </c:pt>
                <c:pt idx="132">
                  <c:v>53500</c:v>
                </c:pt>
                <c:pt idx="133">
                  <c:v>54000</c:v>
                </c:pt>
                <c:pt idx="134">
                  <c:v>54500</c:v>
                </c:pt>
                <c:pt idx="135">
                  <c:v>55000</c:v>
                </c:pt>
                <c:pt idx="136">
                  <c:v>55500</c:v>
                </c:pt>
                <c:pt idx="137">
                  <c:v>56000</c:v>
                </c:pt>
                <c:pt idx="138">
                  <c:v>56500</c:v>
                </c:pt>
                <c:pt idx="139">
                  <c:v>57000</c:v>
                </c:pt>
                <c:pt idx="140">
                  <c:v>57500</c:v>
                </c:pt>
                <c:pt idx="141">
                  <c:v>58000</c:v>
                </c:pt>
                <c:pt idx="142">
                  <c:v>58500</c:v>
                </c:pt>
                <c:pt idx="143">
                  <c:v>59000</c:v>
                </c:pt>
                <c:pt idx="144">
                  <c:v>59500</c:v>
                </c:pt>
                <c:pt idx="145">
                  <c:v>60000</c:v>
                </c:pt>
                <c:pt idx="146">
                  <c:v>60500</c:v>
                </c:pt>
                <c:pt idx="147">
                  <c:v>61000</c:v>
                </c:pt>
                <c:pt idx="148">
                  <c:v>61500</c:v>
                </c:pt>
                <c:pt idx="149">
                  <c:v>62000</c:v>
                </c:pt>
                <c:pt idx="150">
                  <c:v>62500</c:v>
                </c:pt>
                <c:pt idx="151">
                  <c:v>63000</c:v>
                </c:pt>
                <c:pt idx="152">
                  <c:v>63500</c:v>
                </c:pt>
                <c:pt idx="153">
                  <c:v>64000</c:v>
                </c:pt>
                <c:pt idx="154">
                  <c:v>64500</c:v>
                </c:pt>
                <c:pt idx="155">
                  <c:v>65000</c:v>
                </c:pt>
                <c:pt idx="156">
                  <c:v>65500</c:v>
                </c:pt>
                <c:pt idx="157">
                  <c:v>66000</c:v>
                </c:pt>
                <c:pt idx="158">
                  <c:v>66500</c:v>
                </c:pt>
                <c:pt idx="159">
                  <c:v>67000</c:v>
                </c:pt>
                <c:pt idx="160">
                  <c:v>67500</c:v>
                </c:pt>
                <c:pt idx="161">
                  <c:v>68000</c:v>
                </c:pt>
                <c:pt idx="162">
                  <c:v>68500</c:v>
                </c:pt>
                <c:pt idx="163">
                  <c:v>69000</c:v>
                </c:pt>
                <c:pt idx="164">
                  <c:v>69500</c:v>
                </c:pt>
                <c:pt idx="165">
                  <c:v>70000</c:v>
                </c:pt>
                <c:pt idx="166">
                  <c:v>70500</c:v>
                </c:pt>
                <c:pt idx="167">
                  <c:v>71000</c:v>
                </c:pt>
                <c:pt idx="168">
                  <c:v>71500</c:v>
                </c:pt>
                <c:pt idx="169">
                  <c:v>72000</c:v>
                </c:pt>
                <c:pt idx="170">
                  <c:v>72500</c:v>
                </c:pt>
                <c:pt idx="171">
                  <c:v>73000</c:v>
                </c:pt>
                <c:pt idx="172">
                  <c:v>73500</c:v>
                </c:pt>
                <c:pt idx="173">
                  <c:v>74000</c:v>
                </c:pt>
                <c:pt idx="174">
                  <c:v>74500</c:v>
                </c:pt>
                <c:pt idx="175">
                  <c:v>75000</c:v>
                </c:pt>
                <c:pt idx="176">
                  <c:v>75500</c:v>
                </c:pt>
                <c:pt idx="177">
                  <c:v>76000</c:v>
                </c:pt>
                <c:pt idx="178">
                  <c:v>76500</c:v>
                </c:pt>
                <c:pt idx="179">
                  <c:v>77000</c:v>
                </c:pt>
                <c:pt idx="180">
                  <c:v>77500</c:v>
                </c:pt>
                <c:pt idx="181">
                  <c:v>78000</c:v>
                </c:pt>
                <c:pt idx="182">
                  <c:v>78500</c:v>
                </c:pt>
                <c:pt idx="183">
                  <c:v>79000</c:v>
                </c:pt>
                <c:pt idx="184">
                  <c:v>79500</c:v>
                </c:pt>
                <c:pt idx="185">
                  <c:v>80000</c:v>
                </c:pt>
                <c:pt idx="186">
                  <c:v>80500</c:v>
                </c:pt>
                <c:pt idx="187">
                  <c:v>81000</c:v>
                </c:pt>
                <c:pt idx="188">
                  <c:v>81500</c:v>
                </c:pt>
                <c:pt idx="189">
                  <c:v>82000</c:v>
                </c:pt>
                <c:pt idx="190">
                  <c:v>82500</c:v>
                </c:pt>
                <c:pt idx="191">
                  <c:v>83000</c:v>
                </c:pt>
                <c:pt idx="192">
                  <c:v>83500</c:v>
                </c:pt>
                <c:pt idx="193">
                  <c:v>84000</c:v>
                </c:pt>
                <c:pt idx="194">
                  <c:v>84500</c:v>
                </c:pt>
                <c:pt idx="195">
                  <c:v>85000</c:v>
                </c:pt>
                <c:pt idx="196">
                  <c:v>85500</c:v>
                </c:pt>
                <c:pt idx="197">
                  <c:v>86000</c:v>
                </c:pt>
                <c:pt idx="198">
                  <c:v>86500</c:v>
                </c:pt>
                <c:pt idx="199">
                  <c:v>87000</c:v>
                </c:pt>
                <c:pt idx="200">
                  <c:v>87500</c:v>
                </c:pt>
                <c:pt idx="201">
                  <c:v>88000</c:v>
                </c:pt>
                <c:pt idx="202">
                  <c:v>88500</c:v>
                </c:pt>
                <c:pt idx="203">
                  <c:v>89000</c:v>
                </c:pt>
                <c:pt idx="204">
                  <c:v>89500</c:v>
                </c:pt>
                <c:pt idx="205">
                  <c:v>90000</c:v>
                </c:pt>
                <c:pt idx="206">
                  <c:v>90500</c:v>
                </c:pt>
                <c:pt idx="207">
                  <c:v>91000</c:v>
                </c:pt>
                <c:pt idx="208">
                  <c:v>91500</c:v>
                </c:pt>
                <c:pt idx="209">
                  <c:v>92000</c:v>
                </c:pt>
                <c:pt idx="210">
                  <c:v>92500</c:v>
                </c:pt>
                <c:pt idx="211">
                  <c:v>93000</c:v>
                </c:pt>
                <c:pt idx="212">
                  <c:v>93500</c:v>
                </c:pt>
                <c:pt idx="213">
                  <c:v>94000</c:v>
                </c:pt>
                <c:pt idx="214">
                  <c:v>94500</c:v>
                </c:pt>
                <c:pt idx="215">
                  <c:v>95000</c:v>
                </c:pt>
                <c:pt idx="216">
                  <c:v>95500</c:v>
                </c:pt>
                <c:pt idx="217">
                  <c:v>96000</c:v>
                </c:pt>
                <c:pt idx="218">
                  <c:v>96500</c:v>
                </c:pt>
                <c:pt idx="219">
                  <c:v>97000</c:v>
                </c:pt>
                <c:pt idx="220">
                  <c:v>97500</c:v>
                </c:pt>
                <c:pt idx="221">
                  <c:v>98000</c:v>
                </c:pt>
                <c:pt idx="222">
                  <c:v>98500</c:v>
                </c:pt>
                <c:pt idx="223">
                  <c:v>99000</c:v>
                </c:pt>
                <c:pt idx="224">
                  <c:v>99500</c:v>
                </c:pt>
                <c:pt idx="225">
                  <c:v>100000</c:v>
                </c:pt>
                <c:pt idx="226">
                  <c:v>105000</c:v>
                </c:pt>
                <c:pt idx="227">
                  <c:v>110000</c:v>
                </c:pt>
                <c:pt idx="228">
                  <c:v>115000</c:v>
                </c:pt>
                <c:pt idx="229">
                  <c:v>120000</c:v>
                </c:pt>
                <c:pt idx="230">
                  <c:v>125000</c:v>
                </c:pt>
                <c:pt idx="231">
                  <c:v>130000</c:v>
                </c:pt>
                <c:pt idx="232">
                  <c:v>135000</c:v>
                </c:pt>
                <c:pt idx="233">
                  <c:v>140000</c:v>
                </c:pt>
                <c:pt idx="234">
                  <c:v>145000</c:v>
                </c:pt>
                <c:pt idx="235">
                  <c:v>150000</c:v>
                </c:pt>
                <c:pt idx="236">
                  <c:v>155000</c:v>
                </c:pt>
                <c:pt idx="237">
                  <c:v>160000</c:v>
                </c:pt>
                <c:pt idx="238">
                  <c:v>165000</c:v>
                </c:pt>
                <c:pt idx="239">
                  <c:v>170000</c:v>
                </c:pt>
                <c:pt idx="240">
                  <c:v>175000</c:v>
                </c:pt>
                <c:pt idx="241">
                  <c:v>180000</c:v>
                </c:pt>
                <c:pt idx="242">
                  <c:v>185000</c:v>
                </c:pt>
                <c:pt idx="243">
                  <c:v>190000</c:v>
                </c:pt>
                <c:pt idx="244">
                  <c:v>195000</c:v>
                </c:pt>
                <c:pt idx="245">
                  <c:v>200000</c:v>
                </c:pt>
                <c:pt idx="246">
                  <c:v>205000</c:v>
                </c:pt>
                <c:pt idx="247">
                  <c:v>210000</c:v>
                </c:pt>
                <c:pt idx="248">
                  <c:v>215000</c:v>
                </c:pt>
                <c:pt idx="249">
                  <c:v>220000</c:v>
                </c:pt>
                <c:pt idx="250">
                  <c:v>225000</c:v>
                </c:pt>
                <c:pt idx="251">
                  <c:v>230000</c:v>
                </c:pt>
                <c:pt idx="252">
                  <c:v>235000</c:v>
                </c:pt>
                <c:pt idx="253">
                  <c:v>240000</c:v>
                </c:pt>
                <c:pt idx="254">
                  <c:v>245000</c:v>
                </c:pt>
                <c:pt idx="255">
                  <c:v>250000</c:v>
                </c:pt>
                <c:pt idx="256">
                  <c:v>255000</c:v>
                </c:pt>
                <c:pt idx="257">
                  <c:v>260000</c:v>
                </c:pt>
                <c:pt idx="258">
                  <c:v>265000</c:v>
                </c:pt>
                <c:pt idx="259">
                  <c:v>270000</c:v>
                </c:pt>
                <c:pt idx="260">
                  <c:v>275000</c:v>
                </c:pt>
                <c:pt idx="261">
                  <c:v>280000</c:v>
                </c:pt>
                <c:pt idx="262">
                  <c:v>285000</c:v>
                </c:pt>
                <c:pt idx="263">
                  <c:v>290000</c:v>
                </c:pt>
                <c:pt idx="264">
                  <c:v>295000</c:v>
                </c:pt>
                <c:pt idx="265">
                  <c:v>300000</c:v>
                </c:pt>
                <c:pt idx="266">
                  <c:v>305000</c:v>
                </c:pt>
                <c:pt idx="267">
                  <c:v>310000</c:v>
                </c:pt>
                <c:pt idx="268">
                  <c:v>315000</c:v>
                </c:pt>
                <c:pt idx="269">
                  <c:v>320000</c:v>
                </c:pt>
                <c:pt idx="270">
                  <c:v>325000</c:v>
                </c:pt>
                <c:pt idx="271">
                  <c:v>330000</c:v>
                </c:pt>
                <c:pt idx="272">
                  <c:v>335000</c:v>
                </c:pt>
                <c:pt idx="273">
                  <c:v>340000</c:v>
                </c:pt>
                <c:pt idx="274">
                  <c:v>345000</c:v>
                </c:pt>
                <c:pt idx="275">
                  <c:v>350000</c:v>
                </c:pt>
                <c:pt idx="276">
                  <c:v>355000</c:v>
                </c:pt>
                <c:pt idx="277">
                  <c:v>360000</c:v>
                </c:pt>
                <c:pt idx="278">
                  <c:v>365000</c:v>
                </c:pt>
                <c:pt idx="279">
                  <c:v>370000</c:v>
                </c:pt>
                <c:pt idx="280">
                  <c:v>375000</c:v>
                </c:pt>
                <c:pt idx="281">
                  <c:v>380000</c:v>
                </c:pt>
                <c:pt idx="282">
                  <c:v>385000</c:v>
                </c:pt>
                <c:pt idx="283">
                  <c:v>390000</c:v>
                </c:pt>
                <c:pt idx="284">
                  <c:v>395000</c:v>
                </c:pt>
                <c:pt idx="285">
                  <c:v>400000</c:v>
                </c:pt>
                <c:pt idx="286">
                  <c:v>405000</c:v>
                </c:pt>
                <c:pt idx="287">
                  <c:v>410000</c:v>
                </c:pt>
                <c:pt idx="288">
                  <c:v>415000</c:v>
                </c:pt>
                <c:pt idx="289">
                  <c:v>420000</c:v>
                </c:pt>
                <c:pt idx="290">
                  <c:v>425000</c:v>
                </c:pt>
                <c:pt idx="291">
                  <c:v>430000</c:v>
                </c:pt>
                <c:pt idx="292">
                  <c:v>435000</c:v>
                </c:pt>
                <c:pt idx="293">
                  <c:v>440000</c:v>
                </c:pt>
                <c:pt idx="294">
                  <c:v>445000</c:v>
                </c:pt>
                <c:pt idx="295">
                  <c:v>450000</c:v>
                </c:pt>
                <c:pt idx="296">
                  <c:v>455000</c:v>
                </c:pt>
                <c:pt idx="297">
                  <c:v>460000</c:v>
                </c:pt>
                <c:pt idx="298">
                  <c:v>465000</c:v>
                </c:pt>
                <c:pt idx="299">
                  <c:v>470000</c:v>
                </c:pt>
                <c:pt idx="300">
                  <c:v>475000</c:v>
                </c:pt>
                <c:pt idx="301">
                  <c:v>480000</c:v>
                </c:pt>
                <c:pt idx="302">
                  <c:v>485000</c:v>
                </c:pt>
                <c:pt idx="303">
                  <c:v>490000</c:v>
                </c:pt>
                <c:pt idx="304">
                  <c:v>495000</c:v>
                </c:pt>
                <c:pt idx="305">
                  <c:v>500000</c:v>
                </c:pt>
                <c:pt idx="306">
                  <c:v>505000</c:v>
                </c:pt>
                <c:pt idx="307">
                  <c:v>510000</c:v>
                </c:pt>
                <c:pt idx="308">
                  <c:v>515000</c:v>
                </c:pt>
                <c:pt idx="309">
                  <c:v>520000</c:v>
                </c:pt>
                <c:pt idx="310">
                  <c:v>525000</c:v>
                </c:pt>
                <c:pt idx="311">
                  <c:v>530000</c:v>
                </c:pt>
                <c:pt idx="312">
                  <c:v>535000</c:v>
                </c:pt>
                <c:pt idx="313">
                  <c:v>540000</c:v>
                </c:pt>
                <c:pt idx="314">
                  <c:v>545000</c:v>
                </c:pt>
                <c:pt idx="315">
                  <c:v>550000</c:v>
                </c:pt>
                <c:pt idx="316">
                  <c:v>555000</c:v>
                </c:pt>
                <c:pt idx="317">
                  <c:v>560000</c:v>
                </c:pt>
                <c:pt idx="318">
                  <c:v>565000</c:v>
                </c:pt>
                <c:pt idx="319">
                  <c:v>570000</c:v>
                </c:pt>
                <c:pt idx="320">
                  <c:v>575000</c:v>
                </c:pt>
                <c:pt idx="321">
                  <c:v>580000</c:v>
                </c:pt>
                <c:pt idx="322">
                  <c:v>585000</c:v>
                </c:pt>
                <c:pt idx="323">
                  <c:v>590000</c:v>
                </c:pt>
                <c:pt idx="324">
                  <c:v>595000</c:v>
                </c:pt>
                <c:pt idx="325">
                  <c:v>600000</c:v>
                </c:pt>
                <c:pt idx="326">
                  <c:v>605000</c:v>
                </c:pt>
                <c:pt idx="327">
                  <c:v>610000</c:v>
                </c:pt>
                <c:pt idx="328">
                  <c:v>615000</c:v>
                </c:pt>
                <c:pt idx="329">
                  <c:v>620000</c:v>
                </c:pt>
                <c:pt idx="330">
                  <c:v>625000</c:v>
                </c:pt>
                <c:pt idx="331">
                  <c:v>630000</c:v>
                </c:pt>
                <c:pt idx="332">
                  <c:v>635000</c:v>
                </c:pt>
                <c:pt idx="333">
                  <c:v>640000</c:v>
                </c:pt>
                <c:pt idx="334">
                  <c:v>645000</c:v>
                </c:pt>
                <c:pt idx="335">
                  <c:v>650000</c:v>
                </c:pt>
                <c:pt idx="336">
                  <c:v>655000</c:v>
                </c:pt>
                <c:pt idx="337">
                  <c:v>660000</c:v>
                </c:pt>
                <c:pt idx="338">
                  <c:v>665000</c:v>
                </c:pt>
                <c:pt idx="339">
                  <c:v>670000</c:v>
                </c:pt>
                <c:pt idx="340">
                  <c:v>675000</c:v>
                </c:pt>
                <c:pt idx="341">
                  <c:v>680000</c:v>
                </c:pt>
                <c:pt idx="342">
                  <c:v>685000</c:v>
                </c:pt>
                <c:pt idx="343">
                  <c:v>690000</c:v>
                </c:pt>
                <c:pt idx="344">
                  <c:v>695000</c:v>
                </c:pt>
                <c:pt idx="345">
                  <c:v>700000</c:v>
                </c:pt>
                <c:pt idx="346">
                  <c:v>705000</c:v>
                </c:pt>
                <c:pt idx="347">
                  <c:v>710000</c:v>
                </c:pt>
                <c:pt idx="348">
                  <c:v>715000</c:v>
                </c:pt>
                <c:pt idx="349">
                  <c:v>720000</c:v>
                </c:pt>
                <c:pt idx="350">
                  <c:v>725000</c:v>
                </c:pt>
                <c:pt idx="351">
                  <c:v>730000</c:v>
                </c:pt>
                <c:pt idx="352">
                  <c:v>735000</c:v>
                </c:pt>
                <c:pt idx="353">
                  <c:v>740000</c:v>
                </c:pt>
                <c:pt idx="354">
                  <c:v>745000</c:v>
                </c:pt>
                <c:pt idx="355">
                  <c:v>750000</c:v>
                </c:pt>
                <c:pt idx="356">
                  <c:v>755000</c:v>
                </c:pt>
                <c:pt idx="357">
                  <c:v>760000</c:v>
                </c:pt>
                <c:pt idx="358">
                  <c:v>765000</c:v>
                </c:pt>
                <c:pt idx="359">
                  <c:v>770000</c:v>
                </c:pt>
                <c:pt idx="360">
                  <c:v>775000</c:v>
                </c:pt>
                <c:pt idx="361">
                  <c:v>780000</c:v>
                </c:pt>
                <c:pt idx="362">
                  <c:v>785000</c:v>
                </c:pt>
                <c:pt idx="363">
                  <c:v>790000</c:v>
                </c:pt>
                <c:pt idx="364">
                  <c:v>795000</c:v>
                </c:pt>
                <c:pt idx="365">
                  <c:v>800000</c:v>
                </c:pt>
                <c:pt idx="366">
                  <c:v>805000</c:v>
                </c:pt>
                <c:pt idx="367">
                  <c:v>810000</c:v>
                </c:pt>
                <c:pt idx="368">
                  <c:v>815000</c:v>
                </c:pt>
                <c:pt idx="369">
                  <c:v>820000</c:v>
                </c:pt>
                <c:pt idx="370">
                  <c:v>825000</c:v>
                </c:pt>
                <c:pt idx="371">
                  <c:v>830000</c:v>
                </c:pt>
                <c:pt idx="372">
                  <c:v>835000</c:v>
                </c:pt>
                <c:pt idx="373">
                  <c:v>840000</c:v>
                </c:pt>
                <c:pt idx="374">
                  <c:v>845000</c:v>
                </c:pt>
                <c:pt idx="375">
                  <c:v>850000</c:v>
                </c:pt>
                <c:pt idx="376">
                  <c:v>855000</c:v>
                </c:pt>
                <c:pt idx="377">
                  <c:v>860000</c:v>
                </c:pt>
                <c:pt idx="378">
                  <c:v>865000</c:v>
                </c:pt>
                <c:pt idx="379">
                  <c:v>870000</c:v>
                </c:pt>
                <c:pt idx="380">
                  <c:v>875000</c:v>
                </c:pt>
                <c:pt idx="381">
                  <c:v>880000</c:v>
                </c:pt>
                <c:pt idx="382">
                  <c:v>885000</c:v>
                </c:pt>
                <c:pt idx="383">
                  <c:v>890000</c:v>
                </c:pt>
                <c:pt idx="384">
                  <c:v>895000</c:v>
                </c:pt>
                <c:pt idx="385">
                  <c:v>900000</c:v>
                </c:pt>
                <c:pt idx="386">
                  <c:v>905000</c:v>
                </c:pt>
                <c:pt idx="387">
                  <c:v>910000</c:v>
                </c:pt>
                <c:pt idx="388">
                  <c:v>915000</c:v>
                </c:pt>
                <c:pt idx="389">
                  <c:v>920000</c:v>
                </c:pt>
                <c:pt idx="390">
                  <c:v>925000</c:v>
                </c:pt>
                <c:pt idx="391">
                  <c:v>930000</c:v>
                </c:pt>
                <c:pt idx="392">
                  <c:v>935000</c:v>
                </c:pt>
                <c:pt idx="393">
                  <c:v>940000</c:v>
                </c:pt>
                <c:pt idx="394">
                  <c:v>945000</c:v>
                </c:pt>
                <c:pt idx="395">
                  <c:v>950000</c:v>
                </c:pt>
                <c:pt idx="396">
                  <c:v>955000</c:v>
                </c:pt>
                <c:pt idx="397">
                  <c:v>960000</c:v>
                </c:pt>
                <c:pt idx="398">
                  <c:v>965000</c:v>
                </c:pt>
                <c:pt idx="399">
                  <c:v>970000</c:v>
                </c:pt>
                <c:pt idx="400">
                  <c:v>975000</c:v>
                </c:pt>
                <c:pt idx="401">
                  <c:v>980000</c:v>
                </c:pt>
                <c:pt idx="402">
                  <c:v>985000</c:v>
                </c:pt>
                <c:pt idx="403">
                  <c:v>990000</c:v>
                </c:pt>
                <c:pt idx="404">
                  <c:v>995000</c:v>
                </c:pt>
                <c:pt idx="405">
                  <c:v>1000000</c:v>
                </c:pt>
                <c:pt idx="406">
                  <c:v>1005000</c:v>
                </c:pt>
                <c:pt idx="407">
                  <c:v>1010000</c:v>
                </c:pt>
                <c:pt idx="408">
                  <c:v>1015000</c:v>
                </c:pt>
                <c:pt idx="409">
                  <c:v>1020000</c:v>
                </c:pt>
                <c:pt idx="410">
                  <c:v>1025000</c:v>
                </c:pt>
                <c:pt idx="411">
                  <c:v>1030000</c:v>
                </c:pt>
                <c:pt idx="412">
                  <c:v>1035000</c:v>
                </c:pt>
                <c:pt idx="413">
                  <c:v>1040000</c:v>
                </c:pt>
                <c:pt idx="414">
                  <c:v>1045000</c:v>
                </c:pt>
                <c:pt idx="415">
                  <c:v>1050000</c:v>
                </c:pt>
                <c:pt idx="416">
                  <c:v>1055000</c:v>
                </c:pt>
                <c:pt idx="417">
                  <c:v>1060000</c:v>
                </c:pt>
                <c:pt idx="418">
                  <c:v>1065000</c:v>
                </c:pt>
                <c:pt idx="419">
                  <c:v>1070000</c:v>
                </c:pt>
                <c:pt idx="420">
                  <c:v>1075000</c:v>
                </c:pt>
                <c:pt idx="421">
                  <c:v>1080000</c:v>
                </c:pt>
                <c:pt idx="422">
                  <c:v>1085000</c:v>
                </c:pt>
                <c:pt idx="423">
                  <c:v>1090000</c:v>
                </c:pt>
                <c:pt idx="424">
                  <c:v>1095000</c:v>
                </c:pt>
                <c:pt idx="425">
                  <c:v>1100000</c:v>
                </c:pt>
                <c:pt idx="426">
                  <c:v>1105000</c:v>
                </c:pt>
                <c:pt idx="427">
                  <c:v>1110000</c:v>
                </c:pt>
                <c:pt idx="428">
                  <c:v>1115000</c:v>
                </c:pt>
                <c:pt idx="429">
                  <c:v>1120000</c:v>
                </c:pt>
                <c:pt idx="430">
                  <c:v>1125000</c:v>
                </c:pt>
                <c:pt idx="431">
                  <c:v>1130000</c:v>
                </c:pt>
                <c:pt idx="432">
                  <c:v>1135000</c:v>
                </c:pt>
                <c:pt idx="433">
                  <c:v>1140000</c:v>
                </c:pt>
                <c:pt idx="434">
                  <c:v>1145000</c:v>
                </c:pt>
                <c:pt idx="435">
                  <c:v>1150000</c:v>
                </c:pt>
                <c:pt idx="436">
                  <c:v>1155000</c:v>
                </c:pt>
                <c:pt idx="437">
                  <c:v>1160000</c:v>
                </c:pt>
                <c:pt idx="438">
                  <c:v>1165000</c:v>
                </c:pt>
                <c:pt idx="439">
                  <c:v>1170000</c:v>
                </c:pt>
                <c:pt idx="440">
                  <c:v>1175000</c:v>
                </c:pt>
                <c:pt idx="441">
                  <c:v>1180000</c:v>
                </c:pt>
                <c:pt idx="442">
                  <c:v>1185000</c:v>
                </c:pt>
                <c:pt idx="443">
                  <c:v>1190000</c:v>
                </c:pt>
                <c:pt idx="444">
                  <c:v>1195000</c:v>
                </c:pt>
                <c:pt idx="445">
                  <c:v>1200000</c:v>
                </c:pt>
                <c:pt idx="446">
                  <c:v>1205000</c:v>
                </c:pt>
                <c:pt idx="447">
                  <c:v>1210000</c:v>
                </c:pt>
                <c:pt idx="448">
                  <c:v>1215000</c:v>
                </c:pt>
                <c:pt idx="449">
                  <c:v>1220000</c:v>
                </c:pt>
                <c:pt idx="450">
                  <c:v>1225000</c:v>
                </c:pt>
                <c:pt idx="451">
                  <c:v>1230000</c:v>
                </c:pt>
                <c:pt idx="452">
                  <c:v>1235000</c:v>
                </c:pt>
                <c:pt idx="453">
                  <c:v>1240000</c:v>
                </c:pt>
                <c:pt idx="454">
                  <c:v>1245000</c:v>
                </c:pt>
                <c:pt idx="455">
                  <c:v>1250000</c:v>
                </c:pt>
                <c:pt idx="456">
                  <c:v>1255000</c:v>
                </c:pt>
                <c:pt idx="457">
                  <c:v>1260000</c:v>
                </c:pt>
                <c:pt idx="458">
                  <c:v>1265000</c:v>
                </c:pt>
                <c:pt idx="459">
                  <c:v>1270000</c:v>
                </c:pt>
                <c:pt idx="460">
                  <c:v>1275000</c:v>
                </c:pt>
                <c:pt idx="461">
                  <c:v>1280000</c:v>
                </c:pt>
                <c:pt idx="462">
                  <c:v>1285000</c:v>
                </c:pt>
                <c:pt idx="463">
                  <c:v>1290000</c:v>
                </c:pt>
                <c:pt idx="464">
                  <c:v>1295000</c:v>
                </c:pt>
                <c:pt idx="465">
                  <c:v>1300000</c:v>
                </c:pt>
                <c:pt idx="466">
                  <c:v>1305000</c:v>
                </c:pt>
                <c:pt idx="467">
                  <c:v>1310000</c:v>
                </c:pt>
                <c:pt idx="468">
                  <c:v>1315000</c:v>
                </c:pt>
                <c:pt idx="469">
                  <c:v>1320000</c:v>
                </c:pt>
                <c:pt idx="470">
                  <c:v>1325000</c:v>
                </c:pt>
                <c:pt idx="471">
                  <c:v>1330000</c:v>
                </c:pt>
                <c:pt idx="472">
                  <c:v>1335000</c:v>
                </c:pt>
                <c:pt idx="473">
                  <c:v>1340000</c:v>
                </c:pt>
                <c:pt idx="474">
                  <c:v>1345000</c:v>
                </c:pt>
                <c:pt idx="475">
                  <c:v>1350000</c:v>
                </c:pt>
                <c:pt idx="476">
                  <c:v>1355000</c:v>
                </c:pt>
                <c:pt idx="477">
                  <c:v>1360000</c:v>
                </c:pt>
                <c:pt idx="478">
                  <c:v>1365000</c:v>
                </c:pt>
                <c:pt idx="479">
                  <c:v>1370000</c:v>
                </c:pt>
                <c:pt idx="480">
                  <c:v>1375000</c:v>
                </c:pt>
                <c:pt idx="481">
                  <c:v>1380000</c:v>
                </c:pt>
                <c:pt idx="482">
                  <c:v>1385000</c:v>
                </c:pt>
                <c:pt idx="483">
                  <c:v>1390000</c:v>
                </c:pt>
                <c:pt idx="484">
                  <c:v>1395000</c:v>
                </c:pt>
                <c:pt idx="485">
                  <c:v>1400000</c:v>
                </c:pt>
                <c:pt idx="486">
                  <c:v>1405000</c:v>
                </c:pt>
                <c:pt idx="487">
                  <c:v>1410000</c:v>
                </c:pt>
                <c:pt idx="488">
                  <c:v>1415000</c:v>
                </c:pt>
                <c:pt idx="489">
                  <c:v>1420000</c:v>
                </c:pt>
                <c:pt idx="490">
                  <c:v>1425000</c:v>
                </c:pt>
                <c:pt idx="491">
                  <c:v>1430000</c:v>
                </c:pt>
                <c:pt idx="492">
                  <c:v>1435000</c:v>
                </c:pt>
                <c:pt idx="493">
                  <c:v>1440000</c:v>
                </c:pt>
                <c:pt idx="494">
                  <c:v>1445000</c:v>
                </c:pt>
                <c:pt idx="495">
                  <c:v>1450000</c:v>
                </c:pt>
                <c:pt idx="496">
                  <c:v>1455000</c:v>
                </c:pt>
                <c:pt idx="497">
                  <c:v>1460000</c:v>
                </c:pt>
                <c:pt idx="498">
                  <c:v>1465000</c:v>
                </c:pt>
                <c:pt idx="499">
                  <c:v>1470000</c:v>
                </c:pt>
                <c:pt idx="500">
                  <c:v>1475000</c:v>
                </c:pt>
                <c:pt idx="501">
                  <c:v>1480000</c:v>
                </c:pt>
                <c:pt idx="502">
                  <c:v>1485000</c:v>
                </c:pt>
                <c:pt idx="503">
                  <c:v>1490000</c:v>
                </c:pt>
                <c:pt idx="504">
                  <c:v>1495000</c:v>
                </c:pt>
                <c:pt idx="505">
                  <c:v>1500000</c:v>
                </c:pt>
                <c:pt idx="506">
                  <c:v>1505000</c:v>
                </c:pt>
                <c:pt idx="507">
                  <c:v>1510000</c:v>
                </c:pt>
                <c:pt idx="508">
                  <c:v>1515000</c:v>
                </c:pt>
                <c:pt idx="509">
                  <c:v>1520000</c:v>
                </c:pt>
                <c:pt idx="510">
                  <c:v>1525000</c:v>
                </c:pt>
                <c:pt idx="511">
                  <c:v>1530000</c:v>
                </c:pt>
                <c:pt idx="512">
                  <c:v>1535000</c:v>
                </c:pt>
                <c:pt idx="513">
                  <c:v>1540000</c:v>
                </c:pt>
                <c:pt idx="514">
                  <c:v>1545000</c:v>
                </c:pt>
                <c:pt idx="515">
                  <c:v>1550000</c:v>
                </c:pt>
                <c:pt idx="516">
                  <c:v>1555000</c:v>
                </c:pt>
                <c:pt idx="517">
                  <c:v>1560000</c:v>
                </c:pt>
                <c:pt idx="518">
                  <c:v>1565000</c:v>
                </c:pt>
                <c:pt idx="519">
                  <c:v>1570000</c:v>
                </c:pt>
                <c:pt idx="520">
                  <c:v>1575000</c:v>
                </c:pt>
                <c:pt idx="521">
                  <c:v>1580000</c:v>
                </c:pt>
                <c:pt idx="522">
                  <c:v>1585000</c:v>
                </c:pt>
                <c:pt idx="523">
                  <c:v>1590000</c:v>
                </c:pt>
                <c:pt idx="524">
                  <c:v>1595000</c:v>
                </c:pt>
                <c:pt idx="525">
                  <c:v>1600000</c:v>
                </c:pt>
                <c:pt idx="526">
                  <c:v>1605000</c:v>
                </c:pt>
                <c:pt idx="527">
                  <c:v>1610000</c:v>
                </c:pt>
                <c:pt idx="528">
                  <c:v>1615000</c:v>
                </c:pt>
                <c:pt idx="529">
                  <c:v>1620000</c:v>
                </c:pt>
                <c:pt idx="530">
                  <c:v>1625000</c:v>
                </c:pt>
                <c:pt idx="531">
                  <c:v>1630000</c:v>
                </c:pt>
                <c:pt idx="532">
                  <c:v>1635000</c:v>
                </c:pt>
                <c:pt idx="533">
                  <c:v>1640000</c:v>
                </c:pt>
                <c:pt idx="534">
                  <c:v>1645000</c:v>
                </c:pt>
                <c:pt idx="535">
                  <c:v>1650000</c:v>
                </c:pt>
                <c:pt idx="536">
                  <c:v>1655000</c:v>
                </c:pt>
                <c:pt idx="537">
                  <c:v>1660000</c:v>
                </c:pt>
                <c:pt idx="538">
                  <c:v>1665000</c:v>
                </c:pt>
                <c:pt idx="539">
                  <c:v>1670000</c:v>
                </c:pt>
                <c:pt idx="540">
                  <c:v>1675000</c:v>
                </c:pt>
                <c:pt idx="541">
                  <c:v>1680000</c:v>
                </c:pt>
                <c:pt idx="542">
                  <c:v>1685000</c:v>
                </c:pt>
                <c:pt idx="543">
                  <c:v>1690000</c:v>
                </c:pt>
                <c:pt idx="544">
                  <c:v>1695000</c:v>
                </c:pt>
                <c:pt idx="545">
                  <c:v>1700000</c:v>
                </c:pt>
                <c:pt idx="546">
                  <c:v>1705000</c:v>
                </c:pt>
                <c:pt idx="547">
                  <c:v>1710000</c:v>
                </c:pt>
                <c:pt idx="548">
                  <c:v>1715000</c:v>
                </c:pt>
                <c:pt idx="549">
                  <c:v>1720000</c:v>
                </c:pt>
                <c:pt idx="550">
                  <c:v>1725000</c:v>
                </c:pt>
                <c:pt idx="551">
                  <c:v>1730000</c:v>
                </c:pt>
                <c:pt idx="552">
                  <c:v>1735000</c:v>
                </c:pt>
                <c:pt idx="553">
                  <c:v>1740000</c:v>
                </c:pt>
                <c:pt idx="554">
                  <c:v>1745000</c:v>
                </c:pt>
                <c:pt idx="555">
                  <c:v>1750000</c:v>
                </c:pt>
                <c:pt idx="556">
                  <c:v>1755000</c:v>
                </c:pt>
                <c:pt idx="557">
                  <c:v>1760000</c:v>
                </c:pt>
                <c:pt idx="558">
                  <c:v>1765000</c:v>
                </c:pt>
                <c:pt idx="559">
                  <c:v>1770000</c:v>
                </c:pt>
                <c:pt idx="560">
                  <c:v>1775000</c:v>
                </c:pt>
                <c:pt idx="561">
                  <c:v>1780000</c:v>
                </c:pt>
                <c:pt idx="562">
                  <c:v>1785000</c:v>
                </c:pt>
                <c:pt idx="563">
                  <c:v>1790000</c:v>
                </c:pt>
                <c:pt idx="564">
                  <c:v>1795000</c:v>
                </c:pt>
                <c:pt idx="565">
                  <c:v>1800000</c:v>
                </c:pt>
                <c:pt idx="566">
                  <c:v>1805000</c:v>
                </c:pt>
                <c:pt idx="567">
                  <c:v>1810000</c:v>
                </c:pt>
                <c:pt idx="568">
                  <c:v>1815000</c:v>
                </c:pt>
                <c:pt idx="569">
                  <c:v>1820000</c:v>
                </c:pt>
                <c:pt idx="570">
                  <c:v>1825000</c:v>
                </c:pt>
                <c:pt idx="571">
                  <c:v>1830000</c:v>
                </c:pt>
                <c:pt idx="572">
                  <c:v>1835000</c:v>
                </c:pt>
                <c:pt idx="573">
                  <c:v>1840000</c:v>
                </c:pt>
                <c:pt idx="574">
                  <c:v>1845000</c:v>
                </c:pt>
                <c:pt idx="575">
                  <c:v>1850000</c:v>
                </c:pt>
                <c:pt idx="576">
                  <c:v>1855000</c:v>
                </c:pt>
                <c:pt idx="577">
                  <c:v>1860000</c:v>
                </c:pt>
                <c:pt idx="578">
                  <c:v>1865000</c:v>
                </c:pt>
                <c:pt idx="579">
                  <c:v>1870000</c:v>
                </c:pt>
                <c:pt idx="580">
                  <c:v>1875000</c:v>
                </c:pt>
                <c:pt idx="581">
                  <c:v>1880000</c:v>
                </c:pt>
                <c:pt idx="582">
                  <c:v>1885000</c:v>
                </c:pt>
                <c:pt idx="583">
                  <c:v>1890000</c:v>
                </c:pt>
                <c:pt idx="584">
                  <c:v>1895000</c:v>
                </c:pt>
                <c:pt idx="585">
                  <c:v>1900000</c:v>
                </c:pt>
                <c:pt idx="586">
                  <c:v>1905000</c:v>
                </c:pt>
                <c:pt idx="587">
                  <c:v>1910000</c:v>
                </c:pt>
                <c:pt idx="588">
                  <c:v>1915000</c:v>
                </c:pt>
                <c:pt idx="589">
                  <c:v>1920000</c:v>
                </c:pt>
                <c:pt idx="590">
                  <c:v>1925000</c:v>
                </c:pt>
                <c:pt idx="591">
                  <c:v>1930000</c:v>
                </c:pt>
                <c:pt idx="592">
                  <c:v>1935000</c:v>
                </c:pt>
                <c:pt idx="593">
                  <c:v>1940000</c:v>
                </c:pt>
                <c:pt idx="594">
                  <c:v>1945000</c:v>
                </c:pt>
                <c:pt idx="595">
                  <c:v>1950000</c:v>
                </c:pt>
                <c:pt idx="596">
                  <c:v>1955000</c:v>
                </c:pt>
                <c:pt idx="597">
                  <c:v>1960000</c:v>
                </c:pt>
                <c:pt idx="598">
                  <c:v>1965000</c:v>
                </c:pt>
                <c:pt idx="599">
                  <c:v>1970000</c:v>
                </c:pt>
                <c:pt idx="600">
                  <c:v>1975000</c:v>
                </c:pt>
                <c:pt idx="601">
                  <c:v>1980000</c:v>
                </c:pt>
                <c:pt idx="602">
                  <c:v>1985000</c:v>
                </c:pt>
                <c:pt idx="603">
                  <c:v>1990000</c:v>
                </c:pt>
                <c:pt idx="604">
                  <c:v>1995000</c:v>
                </c:pt>
                <c:pt idx="605">
                  <c:v>2000000</c:v>
                </c:pt>
                <c:pt idx="606">
                  <c:v>2250000</c:v>
                </c:pt>
                <c:pt idx="607">
                  <c:v>2500000</c:v>
                </c:pt>
                <c:pt idx="608">
                  <c:v>2750000</c:v>
                </c:pt>
                <c:pt idx="609">
                  <c:v>3000000</c:v>
                </c:pt>
                <c:pt idx="610">
                  <c:v>3250000</c:v>
                </c:pt>
                <c:pt idx="611">
                  <c:v>3500000</c:v>
                </c:pt>
                <c:pt idx="612">
                  <c:v>3750000</c:v>
                </c:pt>
                <c:pt idx="613">
                  <c:v>4000000</c:v>
                </c:pt>
                <c:pt idx="614">
                  <c:v>4250000</c:v>
                </c:pt>
                <c:pt idx="615">
                  <c:v>4500000</c:v>
                </c:pt>
                <c:pt idx="616">
                  <c:v>4750000</c:v>
                </c:pt>
                <c:pt idx="617">
                  <c:v>5000000</c:v>
                </c:pt>
                <c:pt idx="618">
                  <c:v>5100000</c:v>
                </c:pt>
                <c:pt idx="619">
                  <c:v>5200000</c:v>
                </c:pt>
                <c:pt idx="620">
                  <c:v>5300000</c:v>
                </c:pt>
                <c:pt idx="621">
                  <c:v>5400000</c:v>
                </c:pt>
                <c:pt idx="622">
                  <c:v>5500000</c:v>
                </c:pt>
                <c:pt idx="623">
                  <c:v>5600000</c:v>
                </c:pt>
                <c:pt idx="624">
                  <c:v>5700000</c:v>
                </c:pt>
                <c:pt idx="625">
                  <c:v>5800000</c:v>
                </c:pt>
                <c:pt idx="626">
                  <c:v>5900000</c:v>
                </c:pt>
                <c:pt idx="627">
                  <c:v>6000000</c:v>
                </c:pt>
                <c:pt idx="628">
                  <c:v>6100000</c:v>
                </c:pt>
                <c:pt idx="629">
                  <c:v>6200000</c:v>
                </c:pt>
                <c:pt idx="630">
                  <c:v>6300000</c:v>
                </c:pt>
                <c:pt idx="631">
                  <c:v>6400000</c:v>
                </c:pt>
                <c:pt idx="632">
                  <c:v>6500000</c:v>
                </c:pt>
                <c:pt idx="633">
                  <c:v>6600000</c:v>
                </c:pt>
                <c:pt idx="634">
                  <c:v>6700000</c:v>
                </c:pt>
                <c:pt idx="635">
                  <c:v>6800000</c:v>
                </c:pt>
                <c:pt idx="636">
                  <c:v>6900000</c:v>
                </c:pt>
                <c:pt idx="637">
                  <c:v>7000000</c:v>
                </c:pt>
                <c:pt idx="638">
                  <c:v>7100000</c:v>
                </c:pt>
                <c:pt idx="639">
                  <c:v>7200000</c:v>
                </c:pt>
                <c:pt idx="640">
                  <c:v>7300000</c:v>
                </c:pt>
                <c:pt idx="641">
                  <c:v>7400000</c:v>
                </c:pt>
                <c:pt idx="642">
                  <c:v>7500000</c:v>
                </c:pt>
                <c:pt idx="643">
                  <c:v>7600000</c:v>
                </c:pt>
                <c:pt idx="644">
                  <c:v>7700000</c:v>
                </c:pt>
                <c:pt idx="645">
                  <c:v>7800000</c:v>
                </c:pt>
                <c:pt idx="646">
                  <c:v>7900000</c:v>
                </c:pt>
                <c:pt idx="647">
                  <c:v>8000000</c:v>
                </c:pt>
                <c:pt idx="648">
                  <c:v>8100000</c:v>
                </c:pt>
                <c:pt idx="649">
                  <c:v>8200000</c:v>
                </c:pt>
                <c:pt idx="650">
                  <c:v>8300000</c:v>
                </c:pt>
                <c:pt idx="651">
                  <c:v>8400000</c:v>
                </c:pt>
                <c:pt idx="652">
                  <c:v>8500000</c:v>
                </c:pt>
                <c:pt idx="653">
                  <c:v>8600000</c:v>
                </c:pt>
                <c:pt idx="654">
                  <c:v>8700000</c:v>
                </c:pt>
                <c:pt idx="655">
                  <c:v>8800000</c:v>
                </c:pt>
                <c:pt idx="656">
                  <c:v>8900000</c:v>
                </c:pt>
                <c:pt idx="657">
                  <c:v>9000000</c:v>
                </c:pt>
                <c:pt idx="658">
                  <c:v>9100000</c:v>
                </c:pt>
                <c:pt idx="659">
                  <c:v>9200000</c:v>
                </c:pt>
                <c:pt idx="660">
                  <c:v>9300000</c:v>
                </c:pt>
                <c:pt idx="661">
                  <c:v>9400000</c:v>
                </c:pt>
                <c:pt idx="662">
                  <c:v>9500000</c:v>
                </c:pt>
                <c:pt idx="663">
                  <c:v>9600000</c:v>
                </c:pt>
                <c:pt idx="664">
                  <c:v>9700000</c:v>
                </c:pt>
                <c:pt idx="665">
                  <c:v>9800000</c:v>
                </c:pt>
                <c:pt idx="666">
                  <c:v>9900000</c:v>
                </c:pt>
                <c:pt idx="667">
                  <c:v>10000000</c:v>
                </c:pt>
              </c:numCache>
            </c:numRef>
          </c:xVal>
          <c:yVal>
            <c:numRef>
              <c:f>'Bode Plots Calculations'!$X$9:$X$676</c:f>
              <c:numCache>
                <c:formatCode>General</c:formatCode>
                <c:ptCount val="668"/>
                <c:pt idx="0">
                  <c:v>70.507754085027088</c:v>
                </c:pt>
                <c:pt idx="1">
                  <c:v>64.487166174462502</c:v>
                </c:pt>
                <c:pt idx="2">
                  <c:v>60.965360997806542</c:v>
                </c:pt>
                <c:pt idx="3">
                  <c:v>58.466614271739715</c:v>
                </c:pt>
                <c:pt idx="4">
                  <c:v>56.52845001917774</c:v>
                </c:pt>
                <c:pt idx="5">
                  <c:v>54.944869107142374</c:v>
                </c:pt>
                <c:pt idx="6">
                  <c:v>53.6059853245428</c:v>
                </c:pt>
                <c:pt idx="7">
                  <c:v>52.446206395834487</c:v>
                </c:pt>
                <c:pt idx="8">
                  <c:v>51.423223958261708</c:v>
                </c:pt>
                <c:pt idx="9">
                  <c:v>50.508150158608814</c:v>
                </c:pt>
                <c:pt idx="10">
                  <c:v>44.488750266651856</c:v>
                </c:pt>
                <c:pt idx="11">
                  <c:v>40.968924447572618</c:v>
                </c:pt>
                <c:pt idx="12">
                  <c:v>38.472947409141668</c:v>
                </c:pt>
                <c:pt idx="13">
                  <c:v>36.538341764284198</c:v>
                </c:pt>
                <c:pt idx="14">
                  <c:v>34.95910657142322</c:v>
                </c:pt>
                <c:pt idx="15">
                  <c:v>33.625353415424101</c:v>
                </c:pt>
                <c:pt idx="16">
                  <c:v>32.471487425095731</c:v>
                </c:pt>
                <c:pt idx="17">
                  <c:v>31.455197254940622</c:v>
                </c:pt>
                <c:pt idx="18">
                  <c:v>30.547591687062372</c:v>
                </c:pt>
                <c:pt idx="19">
                  <c:v>24.644552168287689</c:v>
                </c:pt>
                <c:pt idx="20">
                  <c:v>21.312438416865621</c:v>
                </c:pt>
                <c:pt idx="21">
                  <c:v>19.067223857108999</c:v>
                </c:pt>
                <c:pt idx="22">
                  <c:v>17.436542145565859</c:v>
                </c:pt>
                <c:pt idx="23">
                  <c:v>16.204044747188757</c:v>
                </c:pt>
                <c:pt idx="24">
                  <c:v>15.249936913781355</c:v>
                </c:pt>
                <c:pt idx="25">
                  <c:v>14.499743354695852</c:v>
                </c:pt>
                <c:pt idx="26">
                  <c:v>13.903584745253122</c:v>
                </c:pt>
                <c:pt idx="27">
                  <c:v>13.426374146117656</c:v>
                </c:pt>
                <c:pt idx="28">
                  <c:v>12.123787323648205</c:v>
                </c:pt>
                <c:pt idx="29">
                  <c:v>11.737922430884227</c:v>
                </c:pt>
                <c:pt idx="30">
                  <c:v>11.765059628394102</c:v>
                </c:pt>
                <c:pt idx="31">
                  <c:v>12.026519606800452</c:v>
                </c:pt>
                <c:pt idx="32">
                  <c:v>12.448603573669846</c:v>
                </c:pt>
                <c:pt idx="33">
                  <c:v>12.997775444442395</c:v>
                </c:pt>
                <c:pt idx="34">
                  <c:v>13.658368469436581</c:v>
                </c:pt>
                <c:pt idx="35">
                  <c:v>14.423841971935341</c:v>
                </c:pt>
                <c:pt idx="36">
                  <c:v>15.29273825216306</c:v>
                </c:pt>
                <c:pt idx="37">
                  <c:v>16.266012402508981</c:v>
                </c:pt>
                <c:pt idx="38">
                  <c:v>17.343788316417069</c:v>
                </c:pt>
                <c:pt idx="39">
                  <c:v>18.519249756049689</c:v>
                </c:pt>
                <c:pt idx="40">
                  <c:v>19.765743939051056</c:v>
                </c:pt>
                <c:pt idx="41">
                  <c:v>21.011353225734474</c:v>
                </c:pt>
                <c:pt idx="42">
                  <c:v>22.101385637175067</c:v>
                </c:pt>
                <c:pt idx="43">
                  <c:v>22.788310255987515</c:v>
                </c:pt>
                <c:pt idx="44">
                  <c:v>22.845717165056428</c:v>
                </c:pt>
                <c:pt idx="45">
                  <c:v>22.270909001346347</c:v>
                </c:pt>
                <c:pt idx="46">
                  <c:v>21.286580932168285</c:v>
                </c:pt>
                <c:pt idx="47">
                  <c:v>20.138645887822278</c:v>
                </c:pt>
                <c:pt idx="48">
                  <c:v>18.980329768610225</c:v>
                </c:pt>
                <c:pt idx="49">
                  <c:v>17.881260064776079</c:v>
                </c:pt>
                <c:pt idx="50">
                  <c:v>16.864840723469353</c:v>
                </c:pt>
                <c:pt idx="51">
                  <c:v>15.933627800615128</c:v>
                </c:pt>
                <c:pt idx="52">
                  <c:v>15.082004468952839</c:v>
                </c:pt>
                <c:pt idx="53">
                  <c:v>14.301809807108194</c:v>
                </c:pt>
                <c:pt idx="54">
                  <c:v>13.584668198771748</c:v>
                </c:pt>
                <c:pt idx="55">
                  <c:v>12.922866516017139</c:v>
                </c:pt>
                <c:pt idx="56">
                  <c:v>12.309613193475187</c:v>
                </c:pt>
                <c:pt idx="57">
                  <c:v>11.739045282452594</c:v>
                </c:pt>
                <c:pt idx="58">
                  <c:v>11.206142165987485</c:v>
                </c:pt>
                <c:pt idx="59">
                  <c:v>10.706613492490245</c:v>
                </c:pt>
                <c:pt idx="60">
                  <c:v>10.236788855192593</c:v>
                </c:pt>
                <c:pt idx="61">
                  <c:v>9.7935192325887339</c:v>
                </c:pt>
                <c:pt idx="62">
                  <c:v>9.374092691074944</c:v>
                </c:pt>
                <c:pt idx="63">
                  <c:v>8.9761637934399499</c:v>
                </c:pt>
                <c:pt idx="64">
                  <c:v>8.5976950734983735</c:v>
                </c:pt>
                <c:pt idx="65">
                  <c:v>8.2369087062977577</c:v>
                </c:pt>
                <c:pt idx="66">
                  <c:v>7.892246617272999</c:v>
                </c:pt>
                <c:pt idx="67">
                  <c:v>7.562337505179066</c:v>
                </c:pt>
                <c:pt idx="68">
                  <c:v>7.2459695041873253</c:v>
                </c:pt>
                <c:pt idx="69">
                  <c:v>6.9420674408511251</c:v>
                </c:pt>
                <c:pt idx="70">
                  <c:v>6.6496738390494956</c:v>
                </c:pt>
                <c:pt idx="71">
                  <c:v>6.3679329893406802</c:v>
                </c:pt>
                <c:pt idx="72">
                  <c:v>6.09607753175756</c:v>
                </c:pt>
                <c:pt idx="73">
                  <c:v>5.8334171076582049</c:v>
                </c:pt>
                <c:pt idx="74">
                  <c:v>5.5793287214974914</c:v>
                </c:pt>
                <c:pt idx="75">
                  <c:v>5.3332485214627043</c:v>
                </c:pt>
                <c:pt idx="76">
                  <c:v>5.0946647622966292</c:v>
                </c:pt>
                <c:pt idx="77">
                  <c:v>4.863111757143054</c:v>
                </c:pt>
                <c:pt idx="78">
                  <c:v>4.6381646601525226</c:v>
                </c:pt>
                <c:pt idx="79">
                  <c:v>4.419434949669732</c:v>
                </c:pt>
                <c:pt idx="80">
                  <c:v>4.2065665044982996</c:v>
                </c:pt>
                <c:pt idx="81">
                  <c:v>3.9992321841131204</c:v>
                </c:pt>
                <c:pt idx="82">
                  <c:v>3.7971308386362179</c:v>
                </c:pt>
                <c:pt idx="83">
                  <c:v>3.5999846865960405</c:v>
                </c:pt>
                <c:pt idx="84">
                  <c:v>3.4075370084931862</c:v>
                </c:pt>
                <c:pt idx="85">
                  <c:v>3.2195501124261954</c:v>
                </c:pt>
                <c:pt idx="86">
                  <c:v>3.0358035348284371</c:v>
                </c:pt>
                <c:pt idx="87">
                  <c:v>2.8560924450017748</c:v>
                </c:pt>
                <c:pt idx="88">
                  <c:v>2.6802262268202632</c:v>
                </c:pt>
                <c:pt idx="89">
                  <c:v>2.5080272148903515</c:v>
                </c:pt>
                <c:pt idx="90">
                  <c:v>2.3393295657322675</c:v>
                </c:pt>
                <c:pt idx="91">
                  <c:v>2.1739782473024709</c:v>
                </c:pt>
                <c:pt idx="92">
                  <c:v>2.0118281325002423</c:v>
                </c:pt>
                <c:pt idx="93">
                  <c:v>1.8527431842663244</c:v>
                </c:pt>
                <c:pt idx="94">
                  <c:v>1.6965957215488594</c:v>
                </c:pt>
                <c:pt idx="95">
                  <c:v>1.5432657568301467</c:v>
                </c:pt>
                <c:pt idx="96">
                  <c:v>1.392640397118373</c:v>
                </c:pt>
                <c:pt idx="97">
                  <c:v>1.2446133013440288</c:v>
                </c:pt>
                <c:pt idx="98">
                  <c:v>1.0990841879895989</c:v>
                </c:pt>
                <c:pt idx="99">
                  <c:v>0.9559583875452673</c:v>
                </c:pt>
                <c:pt idx="100">
                  <c:v>0.81514643504281969</c:v>
                </c:pt>
                <c:pt idx="101">
                  <c:v>0.67656369848956011</c:v>
                </c:pt>
                <c:pt idx="102">
                  <c:v>0.54013003951799488</c:v>
                </c:pt>
                <c:pt idx="103">
                  <c:v>0.40576950299581882</c:v>
                </c:pt>
                <c:pt idx="104">
                  <c:v>0.27341003271405018</c:v>
                </c:pt>
                <c:pt idx="105">
                  <c:v>0.14298321059674202</c:v>
                </c:pt>
                <c:pt idx="106">
                  <c:v>1.4424017160391572E-2</c:v>
                </c:pt>
                <c:pt idx="107">
                  <c:v>-0.11232938879948931</c:v>
                </c:pt>
                <c:pt idx="108">
                  <c:v>-0.23733587309848117</c:v>
                </c:pt>
                <c:pt idx="109">
                  <c:v>-0.36065151324130218</c:v>
                </c:pt>
                <c:pt idx="110">
                  <c:v>-0.48232977112954106</c:v>
                </c:pt>
                <c:pt idx="111">
                  <c:v>-0.60242165269141035</c:v>
                </c:pt>
                <c:pt idx="112">
                  <c:v>-0.72097585559326649</c:v>
                </c:pt>
                <c:pt idx="113">
                  <c:v>-0.83803890607567488</c:v>
                </c:pt>
                <c:pt idx="114">
                  <c:v>-0.95365528585281156</c:v>
                </c:pt>
                <c:pt idx="115">
                  <c:v>-1.0678675499215722</c:v>
                </c:pt>
                <c:pt idx="116">
                  <c:v>-1.180716436044603</c:v>
                </c:pt>
                <c:pt idx="117">
                  <c:v>-1.292240966598216</c:v>
                </c:pt>
                <c:pt idx="118">
                  <c:v>-1.4024785434105058</c:v>
                </c:pt>
                <c:pt idx="119">
                  <c:v>-1.51146503615692</c:v>
                </c:pt>
                <c:pt idx="120">
                  <c:v>-1.6192348648276771</c:v>
                </c:pt>
                <c:pt idx="121">
                  <c:v>-1.7258210767348068</c:v>
                </c:pt>
                <c:pt idx="122">
                  <c:v>-1.8312554184842891</c:v>
                </c:pt>
                <c:pt idx="123">
                  <c:v>-1.9355684033008798</c:v>
                </c:pt>
                <c:pt idx="124">
                  <c:v>-2.0387893740591325</c:v>
                </c:pt>
                <c:pt idx="125">
                  <c:v>-2.1409465623432662</c:v>
                </c:pt>
                <c:pt idx="126">
                  <c:v>-2.2420671438309352</c:v>
                </c:pt>
                <c:pt idx="127">
                  <c:v>-2.3421772902707199</c:v>
                </c:pt>
                <c:pt idx="128">
                  <c:v>-2.4413022183005104</c:v>
                </c:pt>
                <c:pt idx="129">
                  <c:v>-2.5394662353335562</c:v>
                </c:pt>
                <c:pt idx="130">
                  <c:v>-2.6366927827200231</c:v>
                </c:pt>
                <c:pt idx="131">
                  <c:v>-2.7330044763753096</c:v>
                </c:pt>
                <c:pt idx="132">
                  <c:v>-2.828423145050742</c:v>
                </c:pt>
                <c:pt idx="133">
                  <c:v>-2.922969866408506</c:v>
                </c:pt>
                <c:pt idx="134">
                  <c:v>-3.0166650010497227</c:v>
                </c:pt>
                <c:pt idx="135">
                  <c:v>-3.1095282246331535</c:v>
                </c:pt>
                <c:pt idx="136">
                  <c:v>-3.2015785582113612</c:v>
                </c:pt>
                <c:pt idx="137">
                  <c:v>-3.2928343969014193</c:v>
                </c:pt>
                <c:pt idx="138">
                  <c:v>-3.3833135369985219</c:v>
                </c:pt>
                <c:pt idx="139">
                  <c:v>-3.4730332016327359</c:v>
                </c:pt>
                <c:pt idx="140">
                  <c:v>-3.562010065061552</c:v>
                </c:pt>
                <c:pt idx="141">
                  <c:v>-3.6502602756844915</c:v>
                </c:pt>
                <c:pt idx="142">
                  <c:v>-3.7377994778592378</c:v>
                </c:pt>
                <c:pt idx="143">
                  <c:v>-3.8246428325936259</c:v>
                </c:pt>
                <c:pt idx="144">
                  <c:v>-3.9108050371820049</c:v>
                </c:pt>
                <c:pt idx="145">
                  <c:v>-3.9963003438501472</c:v>
                </c:pt>
                <c:pt idx="146">
                  <c:v>-4.0811425774679879</c:v>
                </c:pt>
                <c:pt idx="147">
                  <c:v>-4.165345152385675</c:v>
                </c:pt>
                <c:pt idx="148">
                  <c:v>-4.2489210884445177</c:v>
                </c:pt>
                <c:pt idx="149">
                  <c:v>-4.3318830262107939</c:v>
                </c:pt>
                <c:pt idx="150">
                  <c:v>-4.4142432414774655</c:v>
                </c:pt>
                <c:pt idx="151">
                  <c:v>-4.4960136590754871</c:v>
                </c:pt>
                <c:pt idx="152">
                  <c:v>-4.5772058660339212</c:v>
                </c:pt>
                <c:pt idx="153">
                  <c:v>-4.6578311241254209</c:v>
                </c:pt>
                <c:pt idx="154">
                  <c:v>-4.7379003818311833</c:v>
                </c:pt>
                <c:pt idx="155">
                  <c:v>-4.8174242857574949</c:v>
                </c:pt>
                <c:pt idx="156">
                  <c:v>-4.8964131915336475</c:v>
                </c:pt>
                <c:pt idx="157">
                  <c:v>-4.9748771742195439</c:v>
                </c:pt>
                <c:pt idx="158">
                  <c:v>-5.0528260382490267</c:v>
                </c:pt>
                <c:pt idx="159">
                  <c:v>-5.1302693269338606</c:v>
                </c:pt>
                <c:pt idx="160">
                  <c:v>-5.2072163315513524</c:v>
                </c:pt>
                <c:pt idx="161">
                  <c:v>-5.2836761000375088</c:v>
                </c:pt>
                <c:pt idx="162">
                  <c:v>-5.3596574453060706</c:v>
                </c:pt>
                <c:pt idx="163">
                  <c:v>-5.4351689532126688</c:v>
                </c:pt>
                <c:pt idx="164">
                  <c:v>-5.510218990182234</c:v>
                </c:pt>
                <c:pt idx="165">
                  <c:v>-5.5848157105165956</c:v>
                </c:pt>
                <c:pt idx="166">
                  <c:v>-5.6589670633983342</c:v>
                </c:pt>
                <c:pt idx="167">
                  <c:v>-5.732680799605947</c:v>
                </c:pt>
                <c:pt idx="168">
                  <c:v>-5.8059644779545945</c:v>
                </c:pt>
                <c:pt idx="169">
                  <c:v>-5.8788254714757873</c:v>
                </c:pt>
                <c:pt idx="170">
                  <c:v>-5.9512709733486835</c:v>
                </c:pt>
                <c:pt idx="171">
                  <c:v>-6.0233080025949945</c:v>
                </c:pt>
                <c:pt idx="172">
                  <c:v>-6.0949434095486534</c:v>
                </c:pt>
                <c:pt idx="173">
                  <c:v>-6.1661838811110314</c:v>
                </c:pt>
                <c:pt idx="174">
                  <c:v>-6.2370359458017068</c:v>
                </c:pt>
                <c:pt idx="175">
                  <c:v>-6.3075059786142855</c:v>
                </c:pt>
                <c:pt idx="176">
                  <c:v>-6.3776002056863561</c:v>
                </c:pt>
                <c:pt idx="177">
                  <c:v>-6.4473247087920456</c:v>
                </c:pt>
                <c:pt idx="178">
                  <c:v>-6.5166854296652765</c:v>
                </c:pt>
                <c:pt idx="179">
                  <c:v>-6.585688174161338</c:v>
                </c:pt>
                <c:pt idx="180">
                  <c:v>-6.6543386162640816</c:v>
                </c:pt>
                <c:pt idx="181">
                  <c:v>-6.7226423019455197</c:v>
                </c:pt>
                <c:pt idx="182">
                  <c:v>-6.7906046528844595</c:v>
                </c:pt>
                <c:pt idx="183">
                  <c:v>-6.8582309700502098</c:v>
                </c:pt>
                <c:pt idx="184">
                  <c:v>-6.9255264371573944</c:v>
                </c:pt>
                <c:pt idx="185">
                  <c:v>-6.9924961239972481</c:v>
                </c:pt>
                <c:pt idx="186">
                  <c:v>-7.0591449896508864</c:v>
                </c:pt>
                <c:pt idx="187">
                  <c:v>-7.1254778855894285</c:v>
                </c:pt>
                <c:pt idx="188">
                  <c:v>-7.191499558665793</c:v>
                </c:pt>
                <c:pt idx="189">
                  <c:v>-7.2572146540027882</c:v>
                </c:pt>
                <c:pt idx="190">
                  <c:v>-7.3226277177816783</c:v>
                </c:pt>
                <c:pt idx="191">
                  <c:v>-7.3877431999354668</c:v>
                </c:pt>
                <c:pt idx="192">
                  <c:v>-7.4525654567507429</c:v>
                </c:pt>
                <c:pt idx="193">
                  <c:v>-7.5170987533818279</c:v>
                </c:pt>
                <c:pt idx="194">
                  <c:v>-7.5813472662807975</c:v>
                </c:pt>
                <c:pt idx="195">
                  <c:v>-7.6453150855467724</c:v>
                </c:pt>
                <c:pt idx="196">
                  <c:v>-7.7090062171976426</c:v>
                </c:pt>
                <c:pt idx="197">
                  <c:v>-7.7724245853673546</c:v>
                </c:pt>
                <c:pt idx="198">
                  <c:v>-7.8355740344317031</c:v>
                </c:pt>
                <c:pt idx="199">
                  <c:v>-7.8984583310653793</c:v>
                </c:pt>
                <c:pt idx="200">
                  <c:v>-7.9610811662330168</c:v>
                </c:pt>
                <c:pt idx="201">
                  <c:v>-8.0234461571166911</c:v>
                </c:pt>
                <c:pt idx="202">
                  <c:v>-8.0855568489823941</c:v>
                </c:pt>
                <c:pt idx="203">
                  <c:v>-8.1474167169878111</c:v>
                </c:pt>
                <c:pt idx="204">
                  <c:v>-8.2090291679335294</c:v>
                </c:pt>
                <c:pt idx="205">
                  <c:v>-8.2703975419599089</c:v>
                </c:pt>
                <c:pt idx="206">
                  <c:v>-8.3315251141916207</c:v>
                </c:pt>
                <c:pt idx="207">
                  <c:v>-8.3924150963317707</c:v>
                </c:pt>
                <c:pt idx="208">
                  <c:v>-8.4530706382074623</c:v>
                </c:pt>
                <c:pt idx="209">
                  <c:v>-8.513494829268641</c:v>
                </c:pt>
                <c:pt idx="210">
                  <c:v>-8.5736907000418654</c:v>
                </c:pt>
                <c:pt idx="211">
                  <c:v>-8.6336612235406456</c:v>
                </c:pt>
                <c:pt idx="212">
                  <c:v>-8.6934093166339448</c:v>
                </c:pt>
                <c:pt idx="213">
                  <c:v>-8.7529378413742958</c:v>
                </c:pt>
                <c:pt idx="214">
                  <c:v>-8.8122496062870077</c:v>
                </c:pt>
                <c:pt idx="215">
                  <c:v>-8.8713473676218211</c:v>
                </c:pt>
                <c:pt idx="216">
                  <c:v>-8.9302338305682945</c:v>
                </c:pt>
                <c:pt idx="217">
                  <c:v>-8.9889116504362825</c:v>
                </c:pt>
                <c:pt idx="218">
                  <c:v>-9.0473834338025867</c:v>
                </c:pt>
                <c:pt idx="219">
                  <c:v>-9.1056517396250989</c:v>
                </c:pt>
                <c:pt idx="220">
                  <c:v>-9.1637190803253592</c:v>
                </c:pt>
                <c:pt idx="221">
                  <c:v>-9.2215879228408486</c:v>
                </c:pt>
                <c:pt idx="222">
                  <c:v>-9.2792606896477601</c:v>
                </c:pt>
                <c:pt idx="223">
                  <c:v>-9.3367397597555186</c:v>
                </c:pt>
                <c:pt idx="224">
                  <c:v>-9.3940274696737731</c:v>
                </c:pt>
                <c:pt idx="225">
                  <c:v>-9.4511261143529079</c:v>
                </c:pt>
                <c:pt idx="226">
                  <c:v>-10.012190906980871</c:v>
                </c:pt>
                <c:pt idx="227">
                  <c:v>-10.55659733093086</c:v>
                </c:pt>
                <c:pt idx="228">
                  <c:v>-11.086077542906805</c:v>
                </c:pt>
                <c:pt idx="229">
                  <c:v>-11.60210049145997</c:v>
                </c:pt>
                <c:pt idx="230">
                  <c:v>-12.105918986149613</c:v>
                </c:pt>
                <c:pt idx="231">
                  <c:v>-12.598606941000165</c:v>
                </c:pt>
                <c:pt idx="232">
                  <c:v>-13.081089168388221</c:v>
                </c:pt>
                <c:pt idx="233">
                  <c:v>-13.554165448888963</c:v>
                </c:pt>
                <c:pt idx="234">
                  <c:v>-14.018530148938238</c:v>
                </c:pt>
                <c:pt idx="235">
                  <c:v>-14.474788336690427</c:v>
                </c:pt>
                <c:pt idx="236">
                  <c:v>-14.923469115266727</c:v>
                </c:pt>
                <c:pt idx="237">
                  <c:v>-15.365036724054944</c:v>
                </c:pt>
                <c:pt idx="238">
                  <c:v>-15.799899834301135</c:v>
                </c:pt>
                <c:pt idx="239">
                  <c:v>-16.228419372292304</c:v>
                </c:pt>
                <c:pt idx="240">
                  <c:v>-16.650915133235358</c:v>
                </c:pt>
                <c:pt idx="241">
                  <c:v>-17.067671395372809</c:v>
                </c:pt>
                <c:pt idx="242">
                  <c:v>-17.478941702600689</c:v>
                </c:pt>
                <c:pt idx="243">
                  <c:v>-17.88495295175538</c:v>
                </c:pt>
                <c:pt idx="244">
                  <c:v>-18.285908895554741</c:v>
                </c:pt>
                <c:pt idx="245">
                  <c:v>-18.681993152261246</c:v>
                </c:pt>
                <c:pt idx="246">
                  <c:v>-19.073371797255671</c:v>
                </c:pt>
                <c:pt idx="247">
                  <c:v>-19.460195598957299</c:v>
                </c:pt>
                <c:pt idx="248">
                  <c:v>-19.842601951211684</c:v>
                </c:pt>
                <c:pt idx="249">
                  <c:v>-20.220716545868989</c:v>
                </c:pt>
                <c:pt idx="250">
                  <c:v>-20.594654822394794</c:v>
                </c:pt>
                <c:pt idx="251">
                  <c:v>-20.96452322568474</c:v>
                </c:pt>
                <c:pt idx="252">
                  <c:v>-21.330420298554561</c:v>
                </c:pt>
                <c:pt idx="253">
                  <c:v>-21.692437631461978</c:v>
                </c:pt>
                <c:pt idx="254">
                  <c:v>-22.050660688740567</c:v>
                </c:pt>
                <c:pt idx="255">
                  <c:v>-22.40516952786988</c:v>
                </c:pt>
                <c:pt idx="256">
                  <c:v>-22.756039425980561</c:v>
                </c:pt>
                <c:pt idx="257">
                  <c:v>-23.103341425821668</c:v>
                </c:pt>
                <c:pt idx="258">
                  <c:v>-23.4471428117409</c:v>
                </c:pt>
                <c:pt idx="259">
                  <c:v>-23.787507524798357</c:v>
                </c:pt>
                <c:pt idx="260">
                  <c:v>-24.12449652491032</c:v>
                </c:pt>
                <c:pt idx="261">
                  <c:v>-24.458168106869703</c:v>
                </c:pt>
                <c:pt idx="262">
                  <c:v>-24.788578176187062</c:v>
                </c:pt>
                <c:pt idx="263">
                  <c:v>-25.115780489917231</c:v>
                </c:pt>
                <c:pt idx="264">
                  <c:v>-25.439826866965291</c:v>
                </c:pt>
                <c:pt idx="265">
                  <c:v>-25.760767371783672</c:v>
                </c:pt>
                <c:pt idx="266">
                  <c:v>-26.07865047486861</c:v>
                </c:pt>
                <c:pt idx="267">
                  <c:v>-26.393523193027221</c:v>
                </c:pt>
                <c:pt idx="268">
                  <c:v>-26.705431212006449</c:v>
                </c:pt>
                <c:pt idx="269">
                  <c:v>-27.014418993745139</c:v>
                </c:pt>
                <c:pt idx="270">
                  <c:v>-27.320529870222696</c:v>
                </c:pt>
                <c:pt idx="271">
                  <c:v>-27.623806125627507</c:v>
                </c:pt>
                <c:pt idx="272">
                  <c:v>-27.92428906834953</c:v>
                </c:pt>
                <c:pt idx="273">
                  <c:v>-28.222019094111033</c:v>
                </c:pt>
                <c:pt idx="274">
                  <c:v>-28.517035741382767</c:v>
                </c:pt>
                <c:pt idx="275">
                  <c:v>-28.809377740087669</c:v>
                </c:pt>
                <c:pt idx="276">
                  <c:v>-29.099083054466877</c:v>
                </c:pt>
                <c:pt idx="277">
                  <c:v>-29.386188920871945</c:v>
                </c:pt>
                <c:pt idx="278">
                  <c:v>-29.670731881149845</c:v>
                </c:pt>
                <c:pt idx="279">
                  <c:v>-29.952747812202382</c:v>
                </c:pt>
                <c:pt idx="280">
                  <c:v>-30.232271952227453</c:v>
                </c:pt>
                <c:pt idx="281">
                  <c:v>-30.509338924084442</c:v>
                </c:pt>
                <c:pt idx="282">
                  <c:v>-30.783982756169081</c:v>
                </c:pt>
                <c:pt idx="283">
                  <c:v>-31.056236901133602</c:v>
                </c:pt>
                <c:pt idx="284">
                  <c:v>-31.326134252744168</c:v>
                </c:pt>
                <c:pt idx="285">
                  <c:v>-31.593707161129728</c:v>
                </c:pt>
                <c:pt idx="286">
                  <c:v>-31.858987446643006</c:v>
                </c:pt>
                <c:pt idx="287">
                  <c:v>-32.12200641252528</c:v>
                </c:pt>
                <c:pt idx="288">
                  <c:v>-32.382794856541189</c:v>
                </c:pt>
                <c:pt idx="289">
                  <c:v>-32.641383081727511</c:v>
                </c:pt>
                <c:pt idx="290">
                  <c:v>-32.897800906380496</c:v>
                </c:pt>
                <c:pt idx="291">
                  <c:v>-33.1520776733894</c:v>
                </c:pt>
                <c:pt idx="292">
                  <c:v>-33.404242259009067</c:v>
                </c:pt>
                <c:pt idx="293">
                  <c:v>-33.654323081151468</c:v>
                </c:pt>
                <c:pt idx="294">
                  <c:v>-33.902348107264977</c:v>
                </c:pt>
                <c:pt idx="295">
                  <c:v>-34.148344861860409</c:v>
                </c:pt>
                <c:pt idx="296">
                  <c:v>-34.39234043373412</c:v>
                </c:pt>
                <c:pt idx="297">
                  <c:v>-34.634361482931389</c:v>
                </c:pt>
                <c:pt idx="298">
                  <c:v>-34.874434247486732</c:v>
                </c:pt>
                <c:pt idx="299">
                  <c:v>-35.112584549972134</c:v>
                </c:pt>
                <c:pt idx="300">
                  <c:v>-35.348837803879746</c:v>
                </c:pt>
                <c:pt idx="301">
                  <c:v>-35.583219019860884</c:v>
                </c:pt>
                <c:pt idx="302">
                  <c:v>-35.815752811840134</c:v>
                </c:pt>
                <c:pt idx="303">
                  <c:v>-36.046463403019921</c:v>
                </c:pt>
                <c:pt idx="304">
                  <c:v>-36.275374631788367</c:v>
                </c:pt>
                <c:pt idx="305">
                  <c:v>-36.502509957540909</c:v>
                </c:pt>
                <c:pt idx="306">
                  <c:v>-36.727892466424464</c:v>
                </c:pt>
                <c:pt idx="307">
                  <c:v>-36.951544877010768</c:v>
                </c:pt>
                <c:pt idx="308">
                  <c:v>-37.173489545904637</c:v>
                </c:pt>
                <c:pt idx="309">
                  <c:v>-37.393748473291396</c:v>
                </c:pt>
                <c:pt idx="310">
                  <c:v>-37.612343308426752</c:v>
                </c:pt>
                <c:pt idx="311">
                  <c:v>-37.829295355071608</c:v>
                </c:pt>
                <c:pt idx="312">
                  <c:v>-38.044625576873599</c:v>
                </c:pt>
                <c:pt idx="313">
                  <c:v>-38.258354602696549</c:v>
                </c:pt>
                <c:pt idx="314">
                  <c:v>-38.470502731898449</c:v>
                </c:pt>
                <c:pt idx="315">
                  <c:v>-38.681089939558447</c:v>
                </c:pt>
                <c:pt idx="316">
                  <c:v>-38.890135881652718</c:v>
                </c:pt>
                <c:pt idx="317">
                  <c:v>-39.097659900179082</c:v>
                </c:pt>
                <c:pt idx="318">
                  <c:v>-39.303681028229846</c:v>
                </c:pt>
                <c:pt idx="319">
                  <c:v>-39.508217995012444</c:v>
                </c:pt>
                <c:pt idx="320">
                  <c:v>-39.71128923081713</c:v>
                </c:pt>
                <c:pt idx="321">
                  <c:v>-39.91291287193097</c:v>
                </c:pt>
                <c:pt idx="322">
                  <c:v>-40.11310676549752</c:v>
                </c:pt>
                <c:pt idx="323">
                  <c:v>-40.311888474321222</c:v>
                </c:pt>
                <c:pt idx="324">
                  <c:v>-40.509275281615935</c:v>
                </c:pt>
                <c:pt idx="325">
                  <c:v>-40.705284195696727</c:v>
                </c:pt>
                <c:pt idx="326">
                  <c:v>-40.899931954614289</c:v>
                </c:pt>
                <c:pt idx="327">
                  <c:v>-41.093235030731272</c:v>
                </c:pt>
                <c:pt idx="328">
                  <c:v>-41.285209635239937</c:v>
                </c:pt>
                <c:pt idx="329">
                  <c:v>-41.475871722620603</c:v>
                </c:pt>
                <c:pt idx="330">
                  <c:v>-41.66523699504036</c:v>
                </c:pt>
                <c:pt idx="331">
                  <c:v>-41.853320906691593</c:v>
                </c:pt>
                <c:pt idx="332">
                  <c:v>-42.040138668070107</c:v>
                </c:pt>
                <c:pt idx="333">
                  <c:v>-42.225705250192334</c:v>
                </c:pt>
                <c:pt idx="334">
                  <c:v>-42.410035388751616</c:v>
                </c:pt>
                <c:pt idx="335">
                  <c:v>-42.593143588213273</c:v>
                </c:pt>
                <c:pt idx="336">
                  <c:v>-42.775044125848453</c:v>
                </c:pt>
                <c:pt idx="337">
                  <c:v>-42.955751055706656</c:v>
                </c:pt>
                <c:pt idx="338">
                  <c:v>-43.135278212527048</c:v>
                </c:pt>
                <c:pt idx="339">
                  <c:v>-43.313639215588637</c:v>
                </c:pt>
                <c:pt idx="340">
                  <c:v>-43.490847472499439</c:v>
                </c:pt>
                <c:pt idx="341">
                  <c:v>-43.666916182924908</c:v>
                </c:pt>
                <c:pt idx="342">
                  <c:v>-43.841858342255755</c:v>
                </c:pt>
                <c:pt idx="343">
                  <c:v>-44.015686745215667</c:v>
                </c:pt>
                <c:pt idx="344">
                  <c:v>-44.188413989409185</c:v>
                </c:pt>
                <c:pt idx="345">
                  <c:v>-44.360052478809948</c:v>
                </c:pt>
                <c:pt idx="346">
                  <c:v>-44.53061442719018</c:v>
                </c:pt>
                <c:pt idx="347">
                  <c:v>-44.700111861491436</c:v>
                </c:pt>
                <c:pt idx="348">
                  <c:v>-44.868556625137437</c:v>
                </c:pt>
                <c:pt idx="349">
                  <c:v>-45.035960381289328</c:v>
                </c:pt>
                <c:pt idx="350">
                  <c:v>-45.202334616044119</c:v>
                </c:pt>
                <c:pt idx="351">
                  <c:v>-45.367690641576672</c:v>
                </c:pt>
                <c:pt idx="352">
                  <c:v>-45.532039599226124</c:v>
                </c:pt>
                <c:pt idx="353">
                  <c:v>-45.69539246252716</c:v>
                </c:pt>
                <c:pt idx="354">
                  <c:v>-45.857760040186903</c:v>
                </c:pt>
                <c:pt idx="355">
                  <c:v>-46.019152979008055</c:v>
                </c:pt>
                <c:pt idx="356">
                  <c:v>-46.179581766759114</c:v>
                </c:pt>
                <c:pt idx="357">
                  <c:v>-46.339056734992099</c:v>
                </c:pt>
                <c:pt idx="358">
                  <c:v>-46.497588061808806</c:v>
                </c:pt>
                <c:pt idx="359">
                  <c:v>-46.65518577457614</c:v>
                </c:pt>
                <c:pt idx="360">
                  <c:v>-46.811859752591246</c:v>
                </c:pt>
                <c:pt idx="361">
                  <c:v>-46.96761972969729</c:v>
                </c:pt>
                <c:pt idx="362">
                  <c:v>-47.122475296850638</c:v>
                </c:pt>
                <c:pt idx="363">
                  <c:v>-47.276435904639953</c:v>
                </c:pt>
                <c:pt idx="364">
                  <c:v>-47.429510865758303</c:v>
                </c:pt>
                <c:pt idx="365">
                  <c:v>-47.581709357428821</c:v>
                </c:pt>
                <c:pt idx="366">
                  <c:v>-47.733040423784615</c:v>
                </c:pt>
                <c:pt idx="367">
                  <c:v>-47.883512978203939</c:v>
                </c:pt>
                <c:pt idx="368">
                  <c:v>-48.033135805601106</c:v>
                </c:pt>
                <c:pt idx="369">
                  <c:v>-48.181917564674059</c:v>
                </c:pt>
                <c:pt idx="370">
                  <c:v>-48.329866790109236</c:v>
                </c:pt>
                <c:pt idx="371">
                  <c:v>-48.476991894744629</c:v>
                </c:pt>
                <c:pt idx="372">
                  <c:v>-48.623301171691523</c:v>
                </c:pt>
                <c:pt idx="373">
                  <c:v>-48.768802796415933</c:v>
                </c:pt>
                <c:pt idx="374">
                  <c:v>-48.913504828780219</c:v>
                </c:pt>
                <c:pt idx="375">
                  <c:v>-49.057415215045793</c:v>
                </c:pt>
                <c:pt idx="376">
                  <c:v>-49.200541789837409</c:v>
                </c:pt>
                <c:pt idx="377">
                  <c:v>-49.342892278070103</c:v>
                </c:pt>
                <c:pt idx="378">
                  <c:v>-49.484474296838926</c:v>
                </c:pt>
                <c:pt idx="379">
                  <c:v>-49.625295357272776</c:v>
                </c:pt>
                <c:pt idx="380">
                  <c:v>-49.765362866352532</c:v>
                </c:pt>
                <c:pt idx="381">
                  <c:v>-49.904684128694456</c:v>
                </c:pt>
                <c:pt idx="382">
                  <c:v>-50.043266348299291</c:v>
                </c:pt>
                <c:pt idx="383">
                  <c:v>-50.181116630267937</c:v>
                </c:pt>
                <c:pt idx="384">
                  <c:v>-50.318241982484267</c:v>
                </c:pt>
                <c:pt idx="385">
                  <c:v>-50.45464931726552</c:v>
                </c:pt>
                <c:pt idx="386">
                  <c:v>-50.590345452981282</c:v>
                </c:pt>
                <c:pt idx="387">
                  <c:v>-50.725337115641338</c:v>
                </c:pt>
                <c:pt idx="388">
                  <c:v>-50.859630940453172</c:v>
                </c:pt>
                <c:pt idx="389">
                  <c:v>-50.993233473349648</c:v>
                </c:pt>
                <c:pt idx="390">
                  <c:v>-51.126151172487496</c:v>
                </c:pt>
                <c:pt idx="391">
                  <c:v>-51.258390409717123</c:v>
                </c:pt>
                <c:pt idx="392">
                  <c:v>-51.38995747202442</c:v>
                </c:pt>
                <c:pt idx="393">
                  <c:v>-51.520858562945008</c:v>
                </c:pt>
                <c:pt idx="394">
                  <c:v>-51.651099803951546</c:v>
                </c:pt>
                <c:pt idx="395">
                  <c:v>-51.780687235814625</c:v>
                </c:pt>
                <c:pt idx="396">
                  <c:v>-51.909626819937735</c:v>
                </c:pt>
                <c:pt idx="397">
                  <c:v>-52.037924439666902</c:v>
                </c:pt>
                <c:pt idx="398">
                  <c:v>-52.165585901575412</c:v>
                </c:pt>
                <c:pt idx="399">
                  <c:v>-52.292616936724301</c:v>
                </c:pt>
                <c:pt idx="400">
                  <c:v>-52.419023201898732</c:v>
                </c:pt>
                <c:pt idx="401">
                  <c:v>-52.544810280821267</c:v>
                </c:pt>
                <c:pt idx="402">
                  <c:v>-52.669983685342025</c:v>
                </c:pt>
                <c:pt idx="403">
                  <c:v>-52.794548856606454</c:v>
                </c:pt>
                <c:pt idx="404">
                  <c:v>-52.918511166201156</c:v>
                </c:pt>
                <c:pt idx="405">
                  <c:v>-53.041875917278034</c:v>
                </c:pt>
                <c:pt idx="406">
                  <c:v>-53.164648345657511</c:v>
                </c:pt>
                <c:pt idx="407">
                  <c:v>-53.286833620910876</c:v>
                </c:pt>
                <c:pt idx="408">
                  <c:v>-53.408436847422493</c:v>
                </c:pt>
                <c:pt idx="409">
                  <c:v>-53.529463065432125</c:v>
                </c:pt>
                <c:pt idx="410">
                  <c:v>-53.64991725205779</c:v>
                </c:pt>
                <c:pt idx="411">
                  <c:v>-53.769804322299606</c:v>
                </c:pt>
                <c:pt idx="412">
                  <c:v>-53.889129130024926</c:v>
                </c:pt>
                <c:pt idx="413">
                  <c:v>-54.007896468935208</c:v>
                </c:pt>
                <c:pt idx="414">
                  <c:v>-54.126111073515006</c:v>
                </c:pt>
                <c:pt idx="415">
                  <c:v>-54.243777619963325</c:v>
                </c:pt>
                <c:pt idx="416">
                  <c:v>-54.360900727107911</c:v>
                </c:pt>
                <c:pt idx="417">
                  <c:v>-54.477484957302579</c:v>
                </c:pt>
                <c:pt idx="418">
                  <c:v>-54.59353481730809</c:v>
                </c:pt>
                <c:pt idx="419">
                  <c:v>-54.709054759156892</c:v>
                </c:pt>
                <c:pt idx="420">
                  <c:v>-54.824049181001975</c:v>
                </c:pt>
                <c:pt idx="421">
                  <c:v>-54.938522427950225</c:v>
                </c:pt>
                <c:pt idx="422">
                  <c:v>-55.052478792880599</c:v>
                </c:pt>
                <c:pt idx="423">
                  <c:v>-55.165922517247374</c:v>
                </c:pt>
                <c:pt idx="424">
                  <c:v>-55.278857791868823</c:v>
                </c:pt>
                <c:pt idx="425">
                  <c:v>-55.391288757701602</c:v>
                </c:pt>
                <c:pt idx="426">
                  <c:v>-55.50321950660107</c:v>
                </c:pt>
                <c:pt idx="427">
                  <c:v>-55.614654082068014</c:v>
                </c:pt>
                <c:pt idx="428">
                  <c:v>-55.725596479981746</c:v>
                </c:pt>
                <c:pt idx="429">
                  <c:v>-55.836050649320185</c:v>
                </c:pt>
                <c:pt idx="430">
                  <c:v>-55.946020492866928</c:v>
                </c:pt>
                <c:pt idx="431">
                  <c:v>-56.05550986790572</c:v>
                </c:pt>
                <c:pt idx="432">
                  <c:v>-56.164522586902478</c:v>
                </c:pt>
                <c:pt idx="433">
                  <c:v>-56.273062418175179</c:v>
                </c:pt>
                <c:pt idx="434">
                  <c:v>-56.38113308655192</c:v>
                </c:pt>
                <c:pt idx="435">
                  <c:v>-56.488738274017138</c:v>
                </c:pt>
                <c:pt idx="436">
                  <c:v>-56.595881620346589</c:v>
                </c:pt>
                <c:pt idx="437">
                  <c:v>-56.702566723730982</c:v>
                </c:pt>
                <c:pt idx="438">
                  <c:v>-56.808797141388645</c:v>
                </c:pt>
                <c:pt idx="439">
                  <c:v>-56.914576390167532</c:v>
                </c:pt>
                <c:pt idx="440">
                  <c:v>-57.01990794713651</c:v>
                </c:pt>
                <c:pt idx="441">
                  <c:v>-57.124795250166436</c:v>
                </c:pt>
                <c:pt idx="442">
                  <c:v>-57.229241698501056</c:v>
                </c:pt>
                <c:pt idx="443">
                  <c:v>-57.333250653317911</c:v>
                </c:pt>
                <c:pt idx="444">
                  <c:v>-57.43682543827962</c:v>
                </c:pt>
                <c:pt idx="445">
                  <c:v>-57.539969340075459</c:v>
                </c:pt>
                <c:pt idx="446">
                  <c:v>-57.642685608953755</c:v>
                </c:pt>
                <c:pt idx="447">
                  <c:v>-57.744977459244915</c:v>
                </c:pt>
                <c:pt idx="448">
                  <c:v>-57.846848069875598</c:v>
                </c:pt>
                <c:pt idx="449">
                  <c:v>-57.948300584874019</c:v>
                </c:pt>
                <c:pt idx="450">
                  <c:v>-58.049338113866575</c:v>
                </c:pt>
                <c:pt idx="451">
                  <c:v>-58.14996373256605</c:v>
                </c:pt>
                <c:pt idx="452">
                  <c:v>-58.250180483251398</c:v>
                </c:pt>
                <c:pt idx="453">
                  <c:v>-58.349991375239526</c:v>
                </c:pt>
                <c:pt idx="454">
                  <c:v>-58.449399385348961</c:v>
                </c:pt>
                <c:pt idx="455">
                  <c:v>-58.548407458355676</c:v>
                </c:pt>
                <c:pt idx="456">
                  <c:v>-58.647018507441317</c:v>
                </c:pt>
                <c:pt idx="457">
                  <c:v>-58.74523541463379</c:v>
                </c:pt>
                <c:pt idx="458">
                  <c:v>-58.843061031240524</c:v>
                </c:pt>
                <c:pt idx="459">
                  <c:v>-58.94049817827441</c:v>
                </c:pt>
                <c:pt idx="460">
                  <c:v>-59.037549646872719</c:v>
                </c:pt>
                <c:pt idx="461">
                  <c:v>-59.134218198708936</c:v>
                </c:pt>
                <c:pt idx="462">
                  <c:v>-59.230506566397814</c:v>
                </c:pt>
                <c:pt idx="463">
                  <c:v>-59.326417453893697</c:v>
                </c:pt>
                <c:pt idx="464">
                  <c:v>-59.421953536882278</c:v>
                </c:pt>
                <c:pt idx="465">
                  <c:v>-59.517117463165818</c:v>
                </c:pt>
                <c:pt idx="466">
                  <c:v>-59.611911853042123</c:v>
                </c:pt>
                <c:pt idx="467">
                  <c:v>-59.706339299677261</c:v>
                </c:pt>
                <c:pt idx="468">
                  <c:v>-59.800402369472152</c:v>
                </c:pt>
                <c:pt idx="469">
                  <c:v>-59.894103602423179</c:v>
                </c:pt>
                <c:pt idx="470">
                  <c:v>-59.987445512476967</c:v>
                </c:pt>
                <c:pt idx="471">
                  <c:v>-60.080430587879363</c:v>
                </c:pt>
                <c:pt idx="472">
                  <c:v>-60.173061291518721</c:v>
                </c:pt>
                <c:pt idx="473">
                  <c:v>-60.265340061263743</c:v>
                </c:pt>
                <c:pt idx="474">
                  <c:v>-60.357269310295734</c:v>
                </c:pt>
                <c:pt idx="475">
                  <c:v>-60.44885142743567</c:v>
                </c:pt>
                <c:pt idx="476">
                  <c:v>-60.540088777465833</c:v>
                </c:pt>
                <c:pt idx="477">
                  <c:v>-60.630983701446468</c:v>
                </c:pt>
                <c:pt idx="478">
                  <c:v>-60.721538517027284</c:v>
                </c:pt>
                <c:pt idx="479">
                  <c:v>-60.811755518754033</c:v>
                </c:pt>
                <c:pt idx="480">
                  <c:v>-60.901636978370199</c:v>
                </c:pt>
                <c:pt idx="481">
                  <c:v>-60.991185145113896</c:v>
                </c:pt>
                <c:pt idx="482">
                  <c:v>-61.080402246010152</c:v>
                </c:pt>
                <c:pt idx="483">
                  <c:v>-61.169290486158452</c:v>
                </c:pt>
                <c:pt idx="484">
                  <c:v>-61.257852049015881</c:v>
                </c:pt>
                <c:pt idx="485">
                  <c:v>-61.346089096675733</c:v>
                </c:pt>
                <c:pt idx="486">
                  <c:v>-61.434003770141878</c:v>
                </c:pt>
                <c:pt idx="487">
                  <c:v>-61.521598189598677</c:v>
                </c:pt>
                <c:pt idx="488">
                  <c:v>-61.608874454676894</c:v>
                </c:pt>
                <c:pt idx="489">
                  <c:v>-61.695834644715234</c:v>
                </c:pt>
                <c:pt idx="490">
                  <c:v>-61.782480819018126</c:v>
                </c:pt>
                <c:pt idx="491">
                  <c:v>-61.868815017109284</c:v>
                </c:pt>
                <c:pt idx="492">
                  <c:v>-61.954839258981416</c:v>
                </c:pt>
                <c:pt idx="493">
                  <c:v>-62.040555545342208</c:v>
                </c:pt>
                <c:pt idx="494">
                  <c:v>-62.125965857856343</c:v>
                </c:pt>
                <c:pt idx="495">
                  <c:v>-62.211072159384045</c:v>
                </c:pt>
                <c:pt idx="496">
                  <c:v>-62.295876394215753</c:v>
                </c:pt>
                <c:pt idx="497">
                  <c:v>-62.380380488303402</c:v>
                </c:pt>
                <c:pt idx="498">
                  <c:v>-62.464586349488059</c:v>
                </c:pt>
                <c:pt idx="499">
                  <c:v>-62.548495867724263</c:v>
                </c:pt>
                <c:pt idx="500">
                  <c:v>-62.632110915300807</c:v>
                </c:pt>
                <c:pt idx="501">
                  <c:v>-62.71543334705833</c:v>
                </c:pt>
                <c:pt idx="502">
                  <c:v>-62.798465000603571</c:v>
                </c:pt>
                <c:pt idx="503">
                  <c:v>-62.881207696520363</c:v>
                </c:pt>
                <c:pt idx="504">
                  <c:v>-62.963663238577666</c:v>
                </c:pt>
                <c:pt idx="505">
                  <c:v>-63.045833413934211</c:v>
                </c:pt>
                <c:pt idx="506">
                  <c:v>-63.127719993340385</c:v>
                </c:pt>
                <c:pt idx="507">
                  <c:v>-63.209324731336871</c:v>
                </c:pt>
                <c:pt idx="508">
                  <c:v>-63.290649366450545</c:v>
                </c:pt>
                <c:pt idx="509">
                  <c:v>-63.371695621387346</c:v>
                </c:pt>
                <c:pt idx="510">
                  <c:v>-63.452465203222403</c:v>
                </c:pt>
                <c:pt idx="511">
                  <c:v>-63.532959803587246</c:v>
                </c:pt>
                <c:pt idx="512">
                  <c:v>-63.61318109885444</c:v>
                </c:pt>
                <c:pt idx="513">
                  <c:v>-63.693130750319334</c:v>
                </c:pt>
                <c:pt idx="514">
                  <c:v>-63.7728104043793</c:v>
                </c:pt>
                <c:pt idx="515">
                  <c:v>-63.852221692710323</c:v>
                </c:pt>
                <c:pt idx="516">
                  <c:v>-63.931366232440972</c:v>
                </c:pt>
                <c:pt idx="517">
                  <c:v>-64.010245626323965</c:v>
                </c:pt>
                <c:pt idx="518">
                  <c:v>-64.088861462905101</c:v>
                </c:pt>
                <c:pt idx="519">
                  <c:v>-64.167215316689948</c:v>
                </c:pt>
                <c:pt idx="520">
                  <c:v>-64.245308748307949</c:v>
                </c:pt>
                <c:pt idx="521">
                  <c:v>-64.323143304674318</c:v>
                </c:pt>
                <c:pt idx="522">
                  <c:v>-64.400720519149502</c:v>
                </c:pt>
                <c:pt idx="523">
                  <c:v>-64.478041911696536</c:v>
                </c:pt>
                <c:pt idx="524">
                  <c:v>-64.555108989035915</c:v>
                </c:pt>
                <c:pt idx="525">
                  <c:v>-64.6319232447985</c:v>
                </c:pt>
                <c:pt idx="526">
                  <c:v>-64.708486159676141</c:v>
                </c:pt>
                <c:pt idx="527">
                  <c:v>-64.784799201570195</c:v>
                </c:pt>
                <c:pt idx="528">
                  <c:v>-64.860863825737923</c:v>
                </c:pt>
                <c:pt idx="529">
                  <c:v>-64.936681474936876</c:v>
                </c:pt>
                <c:pt idx="530">
                  <c:v>-65.012253579567272</c:v>
                </c:pt>
                <c:pt idx="531">
                  <c:v>-65.087581557812257</c:v>
                </c:pt>
                <c:pt idx="532">
                  <c:v>-65.162666815776376</c:v>
                </c:pt>
                <c:pt idx="533">
                  <c:v>-65.237510747622011</c:v>
                </c:pt>
                <c:pt idx="534">
                  <c:v>-65.312114735703958</c:v>
                </c:pt>
                <c:pt idx="535">
                  <c:v>-65.386480150702099</c:v>
                </c:pt>
                <c:pt idx="536">
                  <c:v>-65.460608351752285</c:v>
                </c:pt>
                <c:pt idx="537">
                  <c:v>-65.534500686575456</c:v>
                </c:pt>
                <c:pt idx="538">
                  <c:v>-65.608158491604854</c:v>
                </c:pt>
                <c:pt idx="539">
                  <c:v>-65.681583092111595</c:v>
                </c:pt>
                <c:pt idx="540">
                  <c:v>-65.754775802328552</c:v>
                </c:pt>
                <c:pt idx="541">
                  <c:v>-65.827737925572393</c:v>
                </c:pt>
                <c:pt idx="542">
                  <c:v>-65.900470754364065</c:v>
                </c:pt>
                <c:pt idx="543">
                  <c:v>-65.972975570547717</c:v>
                </c:pt>
                <c:pt idx="544">
                  <c:v>-66.045253645407868</c:v>
                </c:pt>
                <c:pt idx="545">
                  <c:v>-66.11730623978498</c:v>
                </c:pt>
                <c:pt idx="546">
                  <c:v>-66.189134604189647</c:v>
                </c:pt>
                <c:pt idx="547">
                  <c:v>-66.260739978915083</c:v>
                </c:pt>
                <c:pt idx="548">
                  <c:v>-66.332123594148101</c:v>
                </c:pt>
                <c:pt idx="549">
                  <c:v>-66.403286670078771</c:v>
                </c:pt>
                <c:pt idx="550">
                  <c:v>-66.474230417008386</c:v>
                </c:pt>
                <c:pt idx="551">
                  <c:v>-66.544956035456153</c:v>
                </c:pt>
                <c:pt idx="552">
                  <c:v>-66.615464716264441</c:v>
                </c:pt>
                <c:pt idx="553">
                  <c:v>-66.685757640702519</c:v>
                </c:pt>
                <c:pt idx="554">
                  <c:v>-66.755835980569088</c:v>
                </c:pt>
                <c:pt idx="555">
                  <c:v>-66.825700898293292</c:v>
                </c:pt>
                <c:pt idx="556">
                  <c:v>-66.895353547034588</c:v>
                </c:pt>
                <c:pt idx="557">
                  <c:v>-66.964795070781079</c:v>
                </c:pt>
                <c:pt idx="558">
                  <c:v>-67.03402660444678</c:v>
                </c:pt>
                <c:pt idx="559">
                  <c:v>-67.1030492739674</c:v>
                </c:pt>
                <c:pt idx="560">
                  <c:v>-67.171864196395077</c:v>
                </c:pt>
                <c:pt idx="561">
                  <c:v>-67.240472479991752</c:v>
                </c:pt>
                <c:pt idx="562">
                  <c:v>-67.30887522432127</c:v>
                </c:pt>
                <c:pt idx="563">
                  <c:v>-67.377073520340531</c:v>
                </c:pt>
                <c:pt idx="564">
                  <c:v>-67.445068450489217</c:v>
                </c:pt>
                <c:pt idx="565">
                  <c:v>-67.512861088778422</c:v>
                </c:pt>
                <c:pt idx="566">
                  <c:v>-67.580452500878238</c:v>
                </c:pt>
                <c:pt idx="567">
                  <c:v>-67.647843744204124</c:v>
                </c:pt>
                <c:pt idx="568">
                  <c:v>-67.715035868002204</c:v>
                </c:pt>
                <c:pt idx="569">
                  <c:v>-67.782029913433405</c:v>
                </c:pt>
                <c:pt idx="570">
                  <c:v>-67.84882691365668</c:v>
                </c:pt>
                <c:pt idx="571">
                  <c:v>-67.915427893911001</c:v>
                </c:pt>
                <c:pt idx="572">
                  <c:v>-67.981833871596379</c:v>
                </c:pt>
                <c:pt idx="573">
                  <c:v>-68.048045856353909</c:v>
                </c:pt>
                <c:pt idx="574">
                  <c:v>-68.114064850144715</c:v>
                </c:pt>
                <c:pt idx="575">
                  <c:v>-68.179891847327966</c:v>
                </c:pt>
                <c:pt idx="576">
                  <c:v>-68.245527834737857</c:v>
                </c:pt>
                <c:pt idx="577">
                  <c:v>-68.310973791759665</c:v>
                </c:pt>
                <c:pt idx="578">
                  <c:v>-68.376230690404881</c:v>
                </c:pt>
                <c:pt idx="579">
                  <c:v>-68.441299495385266</c:v>
                </c:pt>
                <c:pt idx="580">
                  <c:v>-68.506181164186174</c:v>
                </c:pt>
                <c:pt idx="581">
                  <c:v>-68.570876647138817</c:v>
                </c:pt>
                <c:pt idx="582">
                  <c:v>-68.635386887491691</c:v>
                </c:pt>
                <c:pt idx="583">
                  <c:v>-68.699712821481114</c:v>
                </c:pt>
                <c:pt idx="584">
                  <c:v>-68.763855378400905</c:v>
                </c:pt>
                <c:pt idx="585">
                  <c:v>-68.827815480671163</c:v>
                </c:pt>
                <c:pt idx="586">
                  <c:v>-68.891594043906238</c:v>
                </c:pt>
                <c:pt idx="587">
                  <c:v>-68.955191976981865</c:v>
                </c:pt>
                <c:pt idx="588">
                  <c:v>-69.018610182101455</c:v>
                </c:pt>
                <c:pt idx="589">
                  <c:v>-69.081849554861591</c:v>
                </c:pt>
                <c:pt idx="590">
                  <c:v>-69.144910984316695</c:v>
                </c:pt>
                <c:pt idx="591">
                  <c:v>-69.207795353043025</c:v>
                </c:pt>
                <c:pt idx="592">
                  <c:v>-69.270503537201662</c:v>
                </c:pt>
                <c:pt idx="593">
                  <c:v>-69.333036406601039</c:v>
                </c:pt>
                <c:pt idx="594">
                  <c:v>-69.395394824758455</c:v>
                </c:pt>
                <c:pt idx="595">
                  <c:v>-69.45757964896093</c:v>
                </c:pt>
                <c:pt idx="596">
                  <c:v>-69.519591730325459</c:v>
                </c:pt>
                <c:pt idx="597">
                  <c:v>-69.581431913858282</c:v>
                </c:pt>
                <c:pt idx="598">
                  <c:v>-69.643101038513734</c:v>
                </c:pt>
                <c:pt idx="599">
                  <c:v>-69.704599937252141</c:v>
                </c:pt>
                <c:pt idx="600">
                  <c:v>-69.765929437097171</c:v>
                </c:pt>
                <c:pt idx="601">
                  <c:v>-69.827090359192525</c:v>
                </c:pt>
                <c:pt idx="602">
                  <c:v>-69.888083518857769</c:v>
                </c:pt>
                <c:pt idx="603">
                  <c:v>-69.948909725643759</c:v>
                </c:pt>
                <c:pt idx="604">
                  <c:v>-70.009569783387207</c:v>
                </c:pt>
                <c:pt idx="605">
                  <c:v>-70.070064490264741</c:v>
                </c:pt>
                <c:pt idx="606">
                  <c:v>-72.900113754227291</c:v>
                </c:pt>
                <c:pt idx="607">
                  <c:v>-75.400647144199183</c:v>
                </c:pt>
                <c:pt idx="608">
                  <c:v>-77.633384285301219</c:v>
                </c:pt>
                <c:pt idx="609">
                  <c:v>-79.64468530141697</c:v>
                </c:pt>
                <c:pt idx="610">
                  <c:v>-81.470271963172948</c:v>
                </c:pt>
                <c:pt idx="611">
                  <c:v>-83.138248263833304</c:v>
                </c:pt>
                <c:pt idx="612">
                  <c:v>-84.671109031750802</c:v>
                </c:pt>
                <c:pt idx="613">
                  <c:v>-86.087120864815716</c:v>
                </c:pt>
                <c:pt idx="614">
                  <c:v>-87.401299332315219</c:v>
                </c:pt>
                <c:pt idx="615">
                  <c:v>-88.626117994822536</c:v>
                </c:pt>
                <c:pt idx="616">
                  <c:v>-89.772034105893766</c:v>
                </c:pt>
                <c:pt idx="617">
                  <c:v>-90.847885767526989</c:v>
                </c:pt>
                <c:pt idx="618">
                  <c:v>-91.260332133431135</c:v>
                </c:pt>
                <c:pt idx="619">
                  <c:v>-91.663214568600353</c:v>
                </c:pt>
                <c:pt idx="620">
                  <c:v>-92.056938287388903</c:v>
                </c:pt>
                <c:pt idx="621">
                  <c:v>-92.441885002166245</c:v>
                </c:pt>
                <c:pt idx="622">
                  <c:v>-92.818414614162492</c:v>
                </c:pt>
                <c:pt idx="623">
                  <c:v>-93.186866759343076</c:v>
                </c:pt>
                <c:pt idx="624">
                  <c:v>-93.547562223873825</c:v>
                </c:pt>
                <c:pt idx="625">
                  <c:v>-93.900804242041872</c:v>
                </c:pt>
                <c:pt idx="626">
                  <c:v>-94.24687968802759</c:v>
                </c:pt>
                <c:pt idx="627">
                  <c:v>-94.58606017164621</c:v>
                </c:pt>
                <c:pt idx="628">
                  <c:v>-94.918603047063229</c:v>
                </c:pt>
                <c:pt idx="629">
                  <c:v>-95.244752342515383</c:v>
                </c:pt>
                <c:pt idx="630">
                  <c:v>-95.564739618214745</c:v>
                </c:pt>
                <c:pt idx="631">
                  <c:v>-95.878784758865294</c:v>
                </c:pt>
                <c:pt idx="632">
                  <c:v>-96.187096706559615</c:v>
                </c:pt>
                <c:pt idx="633">
                  <c:v>-96.489874139241394</c:v>
                </c:pt>
                <c:pt idx="634">
                  <c:v>-96.787306099403295</c:v>
                </c:pt>
                <c:pt idx="635">
                  <c:v>-97.079572577231886</c:v>
                </c:pt>
                <c:pt idx="636">
                  <c:v>-97.366845052004976</c:v>
                </c:pt>
                <c:pt idx="637">
                  <c:v>-97.649286995184553</c:v>
                </c:pt>
                <c:pt idx="638">
                  <c:v>-97.927054338325547</c:v>
                </c:pt>
                <c:pt idx="639">
                  <c:v>-98.200295908631489</c:v>
                </c:pt>
                <c:pt idx="640">
                  <c:v>-98.469153834729823</c:v>
                </c:pt>
                <c:pt idx="641">
                  <c:v>-98.733763925007736</c:v>
                </c:pt>
                <c:pt idx="642">
                  <c:v>-98.994256020640577</c:v>
                </c:pt>
                <c:pt idx="643">
                  <c:v>-99.250754325257844</c:v>
                </c:pt>
                <c:pt idx="644">
                  <c:v>-99.503377713022317</c:v>
                </c:pt>
                <c:pt idx="645">
                  <c:v>-99.752240016746029</c:v>
                </c:pt>
                <c:pt idx="646">
                  <c:v>-99.99745029752782</c:v>
                </c:pt>
                <c:pt idx="647">
                  <c:v>-100.2391130972739</c:v>
                </c:pt>
                <c:pt idx="648">
                  <c:v>-100.47732867534856</c:v>
                </c:pt>
                <c:pt idx="649">
                  <c:v>-100.71219323050053</c:v>
                </c:pt>
                <c:pt idx="650">
                  <c:v>-100.94379910911704</c:v>
                </c:pt>
                <c:pt idx="651">
                  <c:v>-101.17223500077262</c:v>
                </c:pt>
                <c:pt idx="652">
                  <c:v>-101.39758612196349</c:v>
                </c:pt>
                <c:pt idx="653">
                  <c:v>-101.61993438884718</c:v>
                </c:pt>
                <c:pt idx="654">
                  <c:v>-101.83935857974356</c:v>
                </c:pt>
                <c:pt idx="655">
                  <c:v>-102.05593448809489</c:v>
                </c:pt>
                <c:pt idx="656">
                  <c:v>-102.26973506652884</c:v>
                </c:pt>
                <c:pt idx="657">
                  <c:v>-102.48083056261956</c:v>
                </c:pt>
                <c:pt idx="658">
                  <c:v>-102.68928864689734</c:v>
                </c:pt>
                <c:pt idx="659">
                  <c:v>-102.89517453361606</c:v>
                </c:pt>
                <c:pt idx="660">
                  <c:v>-103.09855109475008</c:v>
                </c:pt>
                <c:pt idx="661">
                  <c:v>-103.29947896765776</c:v>
                </c:pt>
                <c:pt idx="662">
                  <c:v>-103.49801665681709</c:v>
                </c:pt>
                <c:pt idx="663">
                  <c:v>-103.69422063000899</c:v>
                </c:pt>
                <c:pt idx="664">
                  <c:v>-103.88814540929877</c:v>
                </c:pt>
                <c:pt idx="665">
                  <c:v>-104.07984365713888</c:v>
                </c:pt>
                <c:pt idx="666">
                  <c:v>-104.2693662578961</c:v>
                </c:pt>
                <c:pt idx="667">
                  <c:v>-104.45676239508279</c:v>
                </c:pt>
              </c:numCache>
            </c:numRef>
          </c:yVal>
          <c:smooth val="0"/>
          <c:extLst>
            <c:ext xmlns:c16="http://schemas.microsoft.com/office/drawing/2014/chart" uri="{C3380CC4-5D6E-409C-BE32-E72D297353CC}">
              <c16:uniqueId val="{00000000-C323-45F5-AD89-2A9969707A73}"/>
            </c:ext>
          </c:extLst>
        </c:ser>
        <c:ser>
          <c:idx val="2"/>
          <c:order val="2"/>
          <c:tx>
            <c:v>Actual gain</c:v>
          </c:tx>
          <c:spPr>
            <a:ln w="38100">
              <a:solidFill>
                <a:srgbClr val="FF0000"/>
              </a:solidFill>
              <a:prstDash val="solid"/>
            </a:ln>
          </c:spPr>
          <c:marker>
            <c:symbol val="none"/>
          </c:marker>
          <c:xVal>
            <c:numRef>
              <c:f>'Bode Plots Calculations'!$A$9:$A$676</c:f>
              <c:numCache>
                <c:formatCode>General</c:formatCode>
                <c:ptCount val="668"/>
                <c:pt idx="0">
                  <c:v>1</c:v>
                </c:pt>
                <c:pt idx="1">
                  <c:v>2</c:v>
                </c:pt>
                <c:pt idx="2">
                  <c:v>3</c:v>
                </c:pt>
                <c:pt idx="3">
                  <c:v>4</c:v>
                </c:pt>
                <c:pt idx="4">
                  <c:v>5</c:v>
                </c:pt>
                <c:pt idx="5">
                  <c:v>6</c:v>
                </c:pt>
                <c:pt idx="6">
                  <c:v>7</c:v>
                </c:pt>
                <c:pt idx="7">
                  <c:v>8</c:v>
                </c:pt>
                <c:pt idx="8">
                  <c:v>9</c:v>
                </c:pt>
                <c:pt idx="9">
                  <c:v>10</c:v>
                </c:pt>
                <c:pt idx="10">
                  <c:v>20</c:v>
                </c:pt>
                <c:pt idx="11">
                  <c:v>30</c:v>
                </c:pt>
                <c:pt idx="12">
                  <c:v>40</c:v>
                </c:pt>
                <c:pt idx="13">
                  <c:v>50</c:v>
                </c:pt>
                <c:pt idx="14">
                  <c:v>60</c:v>
                </c:pt>
                <c:pt idx="15">
                  <c:v>70</c:v>
                </c:pt>
                <c:pt idx="16">
                  <c:v>80</c:v>
                </c:pt>
                <c:pt idx="17">
                  <c:v>90</c:v>
                </c:pt>
                <c:pt idx="18">
                  <c:v>100</c:v>
                </c:pt>
                <c:pt idx="19">
                  <c:v>200</c:v>
                </c:pt>
                <c:pt idx="20">
                  <c:v>300</c:v>
                </c:pt>
                <c:pt idx="21">
                  <c:v>400</c:v>
                </c:pt>
                <c:pt idx="22">
                  <c:v>500</c:v>
                </c:pt>
                <c:pt idx="23">
                  <c:v>600</c:v>
                </c:pt>
                <c:pt idx="24">
                  <c:v>700</c:v>
                </c:pt>
                <c:pt idx="25">
                  <c:v>800</c:v>
                </c:pt>
                <c:pt idx="26">
                  <c:v>900</c:v>
                </c:pt>
                <c:pt idx="27">
                  <c:v>1000</c:v>
                </c:pt>
                <c:pt idx="28">
                  <c:v>1500</c:v>
                </c:pt>
                <c:pt idx="29">
                  <c:v>2000</c:v>
                </c:pt>
                <c:pt idx="30">
                  <c:v>2500</c:v>
                </c:pt>
                <c:pt idx="31">
                  <c:v>3000</c:v>
                </c:pt>
                <c:pt idx="32">
                  <c:v>3500</c:v>
                </c:pt>
                <c:pt idx="33">
                  <c:v>4000</c:v>
                </c:pt>
                <c:pt idx="34">
                  <c:v>4500</c:v>
                </c:pt>
                <c:pt idx="35">
                  <c:v>5000</c:v>
                </c:pt>
                <c:pt idx="36">
                  <c:v>5500</c:v>
                </c:pt>
                <c:pt idx="37">
                  <c:v>6000</c:v>
                </c:pt>
                <c:pt idx="38">
                  <c:v>6500</c:v>
                </c:pt>
                <c:pt idx="39">
                  <c:v>7000</c:v>
                </c:pt>
                <c:pt idx="40">
                  <c:v>7500</c:v>
                </c:pt>
                <c:pt idx="41">
                  <c:v>8000</c:v>
                </c:pt>
                <c:pt idx="42">
                  <c:v>8500</c:v>
                </c:pt>
                <c:pt idx="43">
                  <c:v>9000</c:v>
                </c:pt>
                <c:pt idx="44">
                  <c:v>9500</c:v>
                </c:pt>
                <c:pt idx="45">
                  <c:v>10000</c:v>
                </c:pt>
                <c:pt idx="46">
                  <c:v>10500</c:v>
                </c:pt>
                <c:pt idx="47">
                  <c:v>11000</c:v>
                </c:pt>
                <c:pt idx="48">
                  <c:v>11500</c:v>
                </c:pt>
                <c:pt idx="49">
                  <c:v>12000</c:v>
                </c:pt>
                <c:pt idx="50">
                  <c:v>12500</c:v>
                </c:pt>
                <c:pt idx="51">
                  <c:v>13000</c:v>
                </c:pt>
                <c:pt idx="52">
                  <c:v>13500</c:v>
                </c:pt>
                <c:pt idx="53">
                  <c:v>14000</c:v>
                </c:pt>
                <c:pt idx="54">
                  <c:v>14500</c:v>
                </c:pt>
                <c:pt idx="55">
                  <c:v>15000</c:v>
                </c:pt>
                <c:pt idx="56">
                  <c:v>15500</c:v>
                </c:pt>
                <c:pt idx="57">
                  <c:v>16000</c:v>
                </c:pt>
                <c:pt idx="58">
                  <c:v>16500</c:v>
                </c:pt>
                <c:pt idx="59">
                  <c:v>17000</c:v>
                </c:pt>
                <c:pt idx="60">
                  <c:v>17500</c:v>
                </c:pt>
                <c:pt idx="61">
                  <c:v>18000</c:v>
                </c:pt>
                <c:pt idx="62">
                  <c:v>18500</c:v>
                </c:pt>
                <c:pt idx="63">
                  <c:v>19000</c:v>
                </c:pt>
                <c:pt idx="64">
                  <c:v>19500</c:v>
                </c:pt>
                <c:pt idx="65">
                  <c:v>20000</c:v>
                </c:pt>
                <c:pt idx="66">
                  <c:v>20500</c:v>
                </c:pt>
                <c:pt idx="67">
                  <c:v>21000</c:v>
                </c:pt>
                <c:pt idx="68">
                  <c:v>21500</c:v>
                </c:pt>
                <c:pt idx="69">
                  <c:v>22000</c:v>
                </c:pt>
                <c:pt idx="70">
                  <c:v>22500</c:v>
                </c:pt>
                <c:pt idx="71">
                  <c:v>23000</c:v>
                </c:pt>
                <c:pt idx="72">
                  <c:v>23500</c:v>
                </c:pt>
                <c:pt idx="73">
                  <c:v>24000</c:v>
                </c:pt>
                <c:pt idx="74">
                  <c:v>24500</c:v>
                </c:pt>
                <c:pt idx="75">
                  <c:v>25000</c:v>
                </c:pt>
                <c:pt idx="76">
                  <c:v>25500</c:v>
                </c:pt>
                <c:pt idx="77">
                  <c:v>26000</c:v>
                </c:pt>
                <c:pt idx="78">
                  <c:v>26500</c:v>
                </c:pt>
                <c:pt idx="79">
                  <c:v>27000</c:v>
                </c:pt>
                <c:pt idx="80">
                  <c:v>27500</c:v>
                </c:pt>
                <c:pt idx="81">
                  <c:v>28000</c:v>
                </c:pt>
                <c:pt idx="82">
                  <c:v>28500</c:v>
                </c:pt>
                <c:pt idx="83">
                  <c:v>29000</c:v>
                </c:pt>
                <c:pt idx="84">
                  <c:v>29500</c:v>
                </c:pt>
                <c:pt idx="85">
                  <c:v>30000</c:v>
                </c:pt>
                <c:pt idx="86">
                  <c:v>30500</c:v>
                </c:pt>
                <c:pt idx="87">
                  <c:v>31000</c:v>
                </c:pt>
                <c:pt idx="88">
                  <c:v>31500</c:v>
                </c:pt>
                <c:pt idx="89">
                  <c:v>32000</c:v>
                </c:pt>
                <c:pt idx="90">
                  <c:v>32500</c:v>
                </c:pt>
                <c:pt idx="91">
                  <c:v>33000</c:v>
                </c:pt>
                <c:pt idx="92">
                  <c:v>33500</c:v>
                </c:pt>
                <c:pt idx="93">
                  <c:v>34000</c:v>
                </c:pt>
                <c:pt idx="94">
                  <c:v>34500</c:v>
                </c:pt>
                <c:pt idx="95">
                  <c:v>35000</c:v>
                </c:pt>
                <c:pt idx="96">
                  <c:v>35500</c:v>
                </c:pt>
                <c:pt idx="97">
                  <c:v>36000</c:v>
                </c:pt>
                <c:pt idx="98">
                  <c:v>36500</c:v>
                </c:pt>
                <c:pt idx="99">
                  <c:v>37000</c:v>
                </c:pt>
                <c:pt idx="100">
                  <c:v>37500</c:v>
                </c:pt>
                <c:pt idx="101">
                  <c:v>38000</c:v>
                </c:pt>
                <c:pt idx="102">
                  <c:v>38500</c:v>
                </c:pt>
                <c:pt idx="103">
                  <c:v>39000</c:v>
                </c:pt>
                <c:pt idx="104">
                  <c:v>39500</c:v>
                </c:pt>
                <c:pt idx="105">
                  <c:v>40000</c:v>
                </c:pt>
                <c:pt idx="106">
                  <c:v>40500</c:v>
                </c:pt>
                <c:pt idx="107">
                  <c:v>41000</c:v>
                </c:pt>
                <c:pt idx="108">
                  <c:v>41500</c:v>
                </c:pt>
                <c:pt idx="109">
                  <c:v>42000</c:v>
                </c:pt>
                <c:pt idx="110">
                  <c:v>42500</c:v>
                </c:pt>
                <c:pt idx="111">
                  <c:v>43000</c:v>
                </c:pt>
                <c:pt idx="112">
                  <c:v>43500</c:v>
                </c:pt>
                <c:pt idx="113">
                  <c:v>44000</c:v>
                </c:pt>
                <c:pt idx="114">
                  <c:v>44500</c:v>
                </c:pt>
                <c:pt idx="115">
                  <c:v>45000</c:v>
                </c:pt>
                <c:pt idx="116">
                  <c:v>45500</c:v>
                </c:pt>
                <c:pt idx="117">
                  <c:v>46000</c:v>
                </c:pt>
                <c:pt idx="118">
                  <c:v>46500</c:v>
                </c:pt>
                <c:pt idx="119">
                  <c:v>47000</c:v>
                </c:pt>
                <c:pt idx="120">
                  <c:v>47500</c:v>
                </c:pt>
                <c:pt idx="121">
                  <c:v>48000</c:v>
                </c:pt>
                <c:pt idx="122">
                  <c:v>48500</c:v>
                </c:pt>
                <c:pt idx="123">
                  <c:v>49000</c:v>
                </c:pt>
                <c:pt idx="124">
                  <c:v>49500</c:v>
                </c:pt>
                <c:pt idx="125">
                  <c:v>50000</c:v>
                </c:pt>
                <c:pt idx="126">
                  <c:v>50500</c:v>
                </c:pt>
                <c:pt idx="127">
                  <c:v>51000</c:v>
                </c:pt>
                <c:pt idx="128">
                  <c:v>51500</c:v>
                </c:pt>
                <c:pt idx="129">
                  <c:v>52000</c:v>
                </c:pt>
                <c:pt idx="130">
                  <c:v>52500</c:v>
                </c:pt>
                <c:pt idx="131">
                  <c:v>53000</c:v>
                </c:pt>
                <c:pt idx="132">
                  <c:v>53500</c:v>
                </c:pt>
                <c:pt idx="133">
                  <c:v>54000</c:v>
                </c:pt>
                <c:pt idx="134">
                  <c:v>54500</c:v>
                </c:pt>
                <c:pt idx="135">
                  <c:v>55000</c:v>
                </c:pt>
                <c:pt idx="136">
                  <c:v>55500</c:v>
                </c:pt>
                <c:pt idx="137">
                  <c:v>56000</c:v>
                </c:pt>
                <c:pt idx="138">
                  <c:v>56500</c:v>
                </c:pt>
                <c:pt idx="139">
                  <c:v>57000</c:v>
                </c:pt>
                <c:pt idx="140">
                  <c:v>57500</c:v>
                </c:pt>
                <c:pt idx="141">
                  <c:v>58000</c:v>
                </c:pt>
                <c:pt idx="142">
                  <c:v>58500</c:v>
                </c:pt>
                <c:pt idx="143">
                  <c:v>59000</c:v>
                </c:pt>
                <c:pt idx="144">
                  <c:v>59500</c:v>
                </c:pt>
                <c:pt idx="145">
                  <c:v>60000</c:v>
                </c:pt>
                <c:pt idx="146">
                  <c:v>60500</c:v>
                </c:pt>
                <c:pt idx="147">
                  <c:v>61000</c:v>
                </c:pt>
                <c:pt idx="148">
                  <c:v>61500</c:v>
                </c:pt>
                <c:pt idx="149">
                  <c:v>62000</c:v>
                </c:pt>
                <c:pt idx="150">
                  <c:v>62500</c:v>
                </c:pt>
                <c:pt idx="151">
                  <c:v>63000</c:v>
                </c:pt>
                <c:pt idx="152">
                  <c:v>63500</c:v>
                </c:pt>
                <c:pt idx="153">
                  <c:v>64000</c:v>
                </c:pt>
                <c:pt idx="154">
                  <c:v>64500</c:v>
                </c:pt>
                <c:pt idx="155">
                  <c:v>65000</c:v>
                </c:pt>
                <c:pt idx="156">
                  <c:v>65500</c:v>
                </c:pt>
                <c:pt idx="157">
                  <c:v>66000</c:v>
                </c:pt>
                <c:pt idx="158">
                  <c:v>66500</c:v>
                </c:pt>
                <c:pt idx="159">
                  <c:v>67000</c:v>
                </c:pt>
                <c:pt idx="160">
                  <c:v>67500</c:v>
                </c:pt>
                <c:pt idx="161">
                  <c:v>68000</c:v>
                </c:pt>
                <c:pt idx="162">
                  <c:v>68500</c:v>
                </c:pt>
                <c:pt idx="163">
                  <c:v>69000</c:v>
                </c:pt>
                <c:pt idx="164">
                  <c:v>69500</c:v>
                </c:pt>
                <c:pt idx="165">
                  <c:v>70000</c:v>
                </c:pt>
                <c:pt idx="166">
                  <c:v>70500</c:v>
                </c:pt>
                <c:pt idx="167">
                  <c:v>71000</c:v>
                </c:pt>
                <c:pt idx="168">
                  <c:v>71500</c:v>
                </c:pt>
                <c:pt idx="169">
                  <c:v>72000</c:v>
                </c:pt>
                <c:pt idx="170">
                  <c:v>72500</c:v>
                </c:pt>
                <c:pt idx="171">
                  <c:v>73000</c:v>
                </c:pt>
                <c:pt idx="172">
                  <c:v>73500</c:v>
                </c:pt>
                <c:pt idx="173">
                  <c:v>74000</c:v>
                </c:pt>
                <c:pt idx="174">
                  <c:v>74500</c:v>
                </c:pt>
                <c:pt idx="175">
                  <c:v>75000</c:v>
                </c:pt>
                <c:pt idx="176">
                  <c:v>75500</c:v>
                </c:pt>
                <c:pt idx="177">
                  <c:v>76000</c:v>
                </c:pt>
                <c:pt idx="178">
                  <c:v>76500</c:v>
                </c:pt>
                <c:pt idx="179">
                  <c:v>77000</c:v>
                </c:pt>
                <c:pt idx="180">
                  <c:v>77500</c:v>
                </c:pt>
                <c:pt idx="181">
                  <c:v>78000</c:v>
                </c:pt>
                <c:pt idx="182">
                  <c:v>78500</c:v>
                </c:pt>
                <c:pt idx="183">
                  <c:v>79000</c:v>
                </c:pt>
                <c:pt idx="184">
                  <c:v>79500</c:v>
                </c:pt>
                <c:pt idx="185">
                  <c:v>80000</c:v>
                </c:pt>
                <c:pt idx="186">
                  <c:v>80500</c:v>
                </c:pt>
                <c:pt idx="187">
                  <c:v>81000</c:v>
                </c:pt>
                <c:pt idx="188">
                  <c:v>81500</c:v>
                </c:pt>
                <c:pt idx="189">
                  <c:v>82000</c:v>
                </c:pt>
                <c:pt idx="190">
                  <c:v>82500</c:v>
                </c:pt>
                <c:pt idx="191">
                  <c:v>83000</c:v>
                </c:pt>
                <c:pt idx="192">
                  <c:v>83500</c:v>
                </c:pt>
                <c:pt idx="193">
                  <c:v>84000</c:v>
                </c:pt>
                <c:pt idx="194">
                  <c:v>84500</c:v>
                </c:pt>
                <c:pt idx="195">
                  <c:v>85000</c:v>
                </c:pt>
                <c:pt idx="196">
                  <c:v>85500</c:v>
                </c:pt>
                <c:pt idx="197">
                  <c:v>86000</c:v>
                </c:pt>
                <c:pt idx="198">
                  <c:v>86500</c:v>
                </c:pt>
                <c:pt idx="199">
                  <c:v>87000</c:v>
                </c:pt>
                <c:pt idx="200">
                  <c:v>87500</c:v>
                </c:pt>
                <c:pt idx="201">
                  <c:v>88000</c:v>
                </c:pt>
                <c:pt idx="202">
                  <c:v>88500</c:v>
                </c:pt>
                <c:pt idx="203">
                  <c:v>89000</c:v>
                </c:pt>
                <c:pt idx="204">
                  <c:v>89500</c:v>
                </c:pt>
                <c:pt idx="205">
                  <c:v>90000</c:v>
                </c:pt>
                <c:pt idx="206">
                  <c:v>90500</c:v>
                </c:pt>
                <c:pt idx="207">
                  <c:v>91000</c:v>
                </c:pt>
                <c:pt idx="208">
                  <c:v>91500</c:v>
                </c:pt>
                <c:pt idx="209">
                  <c:v>92000</c:v>
                </c:pt>
                <c:pt idx="210">
                  <c:v>92500</c:v>
                </c:pt>
                <c:pt idx="211">
                  <c:v>93000</c:v>
                </c:pt>
                <c:pt idx="212">
                  <c:v>93500</c:v>
                </c:pt>
                <c:pt idx="213">
                  <c:v>94000</c:v>
                </c:pt>
                <c:pt idx="214">
                  <c:v>94500</c:v>
                </c:pt>
                <c:pt idx="215">
                  <c:v>95000</c:v>
                </c:pt>
                <c:pt idx="216">
                  <c:v>95500</c:v>
                </c:pt>
                <c:pt idx="217">
                  <c:v>96000</c:v>
                </c:pt>
                <c:pt idx="218">
                  <c:v>96500</c:v>
                </c:pt>
                <c:pt idx="219">
                  <c:v>97000</c:v>
                </c:pt>
                <c:pt idx="220">
                  <c:v>97500</c:v>
                </c:pt>
                <c:pt idx="221">
                  <c:v>98000</c:v>
                </c:pt>
                <c:pt idx="222">
                  <c:v>98500</c:v>
                </c:pt>
                <c:pt idx="223">
                  <c:v>99000</c:v>
                </c:pt>
                <c:pt idx="224">
                  <c:v>99500</c:v>
                </c:pt>
                <c:pt idx="225">
                  <c:v>100000</c:v>
                </c:pt>
                <c:pt idx="226">
                  <c:v>105000</c:v>
                </c:pt>
                <c:pt idx="227">
                  <c:v>110000</c:v>
                </c:pt>
                <c:pt idx="228">
                  <c:v>115000</c:v>
                </c:pt>
                <c:pt idx="229">
                  <c:v>120000</c:v>
                </c:pt>
                <c:pt idx="230">
                  <c:v>125000</c:v>
                </c:pt>
                <c:pt idx="231">
                  <c:v>130000</c:v>
                </c:pt>
                <c:pt idx="232">
                  <c:v>135000</c:v>
                </c:pt>
                <c:pt idx="233">
                  <c:v>140000</c:v>
                </c:pt>
                <c:pt idx="234">
                  <c:v>145000</c:v>
                </c:pt>
                <c:pt idx="235">
                  <c:v>150000</c:v>
                </c:pt>
                <c:pt idx="236">
                  <c:v>155000</c:v>
                </c:pt>
                <c:pt idx="237">
                  <c:v>160000</c:v>
                </c:pt>
                <c:pt idx="238">
                  <c:v>165000</c:v>
                </c:pt>
                <c:pt idx="239">
                  <c:v>170000</c:v>
                </c:pt>
                <c:pt idx="240">
                  <c:v>175000</c:v>
                </c:pt>
                <c:pt idx="241">
                  <c:v>180000</c:v>
                </c:pt>
                <c:pt idx="242">
                  <c:v>185000</c:v>
                </c:pt>
                <c:pt idx="243">
                  <c:v>190000</c:v>
                </c:pt>
                <c:pt idx="244">
                  <c:v>195000</c:v>
                </c:pt>
                <c:pt idx="245">
                  <c:v>200000</c:v>
                </c:pt>
                <c:pt idx="246">
                  <c:v>205000</c:v>
                </c:pt>
                <c:pt idx="247">
                  <c:v>210000</c:v>
                </c:pt>
                <c:pt idx="248">
                  <c:v>215000</c:v>
                </c:pt>
                <c:pt idx="249">
                  <c:v>220000</c:v>
                </c:pt>
                <c:pt idx="250">
                  <c:v>225000</c:v>
                </c:pt>
                <c:pt idx="251">
                  <c:v>230000</c:v>
                </c:pt>
                <c:pt idx="252">
                  <c:v>235000</c:v>
                </c:pt>
                <c:pt idx="253">
                  <c:v>240000</c:v>
                </c:pt>
                <c:pt idx="254">
                  <c:v>245000</c:v>
                </c:pt>
                <c:pt idx="255">
                  <c:v>250000</c:v>
                </c:pt>
                <c:pt idx="256">
                  <c:v>255000</c:v>
                </c:pt>
                <c:pt idx="257">
                  <c:v>260000</c:v>
                </c:pt>
                <c:pt idx="258">
                  <c:v>265000</c:v>
                </c:pt>
                <c:pt idx="259">
                  <c:v>270000</c:v>
                </c:pt>
                <c:pt idx="260">
                  <c:v>275000</c:v>
                </c:pt>
                <c:pt idx="261">
                  <c:v>280000</c:v>
                </c:pt>
                <c:pt idx="262">
                  <c:v>285000</c:v>
                </c:pt>
                <c:pt idx="263">
                  <c:v>290000</c:v>
                </c:pt>
                <c:pt idx="264">
                  <c:v>295000</c:v>
                </c:pt>
                <c:pt idx="265">
                  <c:v>300000</c:v>
                </c:pt>
                <c:pt idx="266">
                  <c:v>305000</c:v>
                </c:pt>
                <c:pt idx="267">
                  <c:v>310000</c:v>
                </c:pt>
                <c:pt idx="268">
                  <c:v>315000</c:v>
                </c:pt>
                <c:pt idx="269">
                  <c:v>320000</c:v>
                </c:pt>
                <c:pt idx="270">
                  <c:v>325000</c:v>
                </c:pt>
                <c:pt idx="271">
                  <c:v>330000</c:v>
                </c:pt>
                <c:pt idx="272">
                  <c:v>335000</c:v>
                </c:pt>
                <c:pt idx="273">
                  <c:v>340000</c:v>
                </c:pt>
                <c:pt idx="274">
                  <c:v>345000</c:v>
                </c:pt>
                <c:pt idx="275">
                  <c:v>350000</c:v>
                </c:pt>
                <c:pt idx="276">
                  <c:v>355000</c:v>
                </c:pt>
                <c:pt idx="277">
                  <c:v>360000</c:v>
                </c:pt>
                <c:pt idx="278">
                  <c:v>365000</c:v>
                </c:pt>
                <c:pt idx="279">
                  <c:v>370000</c:v>
                </c:pt>
                <c:pt idx="280">
                  <c:v>375000</c:v>
                </c:pt>
                <c:pt idx="281">
                  <c:v>380000</c:v>
                </c:pt>
                <c:pt idx="282">
                  <c:v>385000</c:v>
                </c:pt>
                <c:pt idx="283">
                  <c:v>390000</c:v>
                </c:pt>
                <c:pt idx="284">
                  <c:v>395000</c:v>
                </c:pt>
                <c:pt idx="285">
                  <c:v>400000</c:v>
                </c:pt>
                <c:pt idx="286">
                  <c:v>405000</c:v>
                </c:pt>
                <c:pt idx="287">
                  <c:v>410000</c:v>
                </c:pt>
                <c:pt idx="288">
                  <c:v>415000</c:v>
                </c:pt>
                <c:pt idx="289">
                  <c:v>420000</c:v>
                </c:pt>
                <c:pt idx="290">
                  <c:v>425000</c:v>
                </c:pt>
                <c:pt idx="291">
                  <c:v>430000</c:v>
                </c:pt>
                <c:pt idx="292">
                  <c:v>435000</c:v>
                </c:pt>
                <c:pt idx="293">
                  <c:v>440000</c:v>
                </c:pt>
                <c:pt idx="294">
                  <c:v>445000</c:v>
                </c:pt>
                <c:pt idx="295">
                  <c:v>450000</c:v>
                </c:pt>
                <c:pt idx="296">
                  <c:v>455000</c:v>
                </c:pt>
                <c:pt idx="297">
                  <c:v>460000</c:v>
                </c:pt>
                <c:pt idx="298">
                  <c:v>465000</c:v>
                </c:pt>
                <c:pt idx="299">
                  <c:v>470000</c:v>
                </c:pt>
                <c:pt idx="300">
                  <c:v>475000</c:v>
                </c:pt>
                <c:pt idx="301">
                  <c:v>480000</c:v>
                </c:pt>
                <c:pt idx="302">
                  <c:v>485000</c:v>
                </c:pt>
                <c:pt idx="303">
                  <c:v>490000</c:v>
                </c:pt>
                <c:pt idx="304">
                  <c:v>495000</c:v>
                </c:pt>
                <c:pt idx="305">
                  <c:v>500000</c:v>
                </c:pt>
                <c:pt idx="306">
                  <c:v>505000</c:v>
                </c:pt>
                <c:pt idx="307">
                  <c:v>510000</c:v>
                </c:pt>
                <c:pt idx="308">
                  <c:v>515000</c:v>
                </c:pt>
                <c:pt idx="309">
                  <c:v>520000</c:v>
                </c:pt>
                <c:pt idx="310">
                  <c:v>525000</c:v>
                </c:pt>
                <c:pt idx="311">
                  <c:v>530000</c:v>
                </c:pt>
                <c:pt idx="312">
                  <c:v>535000</c:v>
                </c:pt>
                <c:pt idx="313">
                  <c:v>540000</c:v>
                </c:pt>
                <c:pt idx="314">
                  <c:v>545000</c:v>
                </c:pt>
                <c:pt idx="315">
                  <c:v>550000</c:v>
                </c:pt>
                <c:pt idx="316">
                  <c:v>555000</c:v>
                </c:pt>
                <c:pt idx="317">
                  <c:v>560000</c:v>
                </c:pt>
                <c:pt idx="318">
                  <c:v>565000</c:v>
                </c:pt>
                <c:pt idx="319">
                  <c:v>570000</c:v>
                </c:pt>
                <c:pt idx="320">
                  <c:v>575000</c:v>
                </c:pt>
                <c:pt idx="321">
                  <c:v>580000</c:v>
                </c:pt>
                <c:pt idx="322">
                  <c:v>585000</c:v>
                </c:pt>
                <c:pt idx="323">
                  <c:v>590000</c:v>
                </c:pt>
                <c:pt idx="324">
                  <c:v>595000</c:v>
                </c:pt>
                <c:pt idx="325">
                  <c:v>600000</c:v>
                </c:pt>
                <c:pt idx="326">
                  <c:v>605000</c:v>
                </c:pt>
                <c:pt idx="327">
                  <c:v>610000</c:v>
                </c:pt>
                <c:pt idx="328">
                  <c:v>615000</c:v>
                </c:pt>
                <c:pt idx="329">
                  <c:v>620000</c:v>
                </c:pt>
                <c:pt idx="330">
                  <c:v>625000</c:v>
                </c:pt>
                <c:pt idx="331">
                  <c:v>630000</c:v>
                </c:pt>
                <c:pt idx="332">
                  <c:v>635000</c:v>
                </c:pt>
                <c:pt idx="333">
                  <c:v>640000</c:v>
                </c:pt>
                <c:pt idx="334">
                  <c:v>645000</c:v>
                </c:pt>
                <c:pt idx="335">
                  <c:v>650000</c:v>
                </c:pt>
                <c:pt idx="336">
                  <c:v>655000</c:v>
                </c:pt>
                <c:pt idx="337">
                  <c:v>660000</c:v>
                </c:pt>
                <c:pt idx="338">
                  <c:v>665000</c:v>
                </c:pt>
                <c:pt idx="339">
                  <c:v>670000</c:v>
                </c:pt>
                <c:pt idx="340">
                  <c:v>675000</c:v>
                </c:pt>
                <c:pt idx="341">
                  <c:v>680000</c:v>
                </c:pt>
                <c:pt idx="342">
                  <c:v>685000</c:v>
                </c:pt>
                <c:pt idx="343">
                  <c:v>690000</c:v>
                </c:pt>
                <c:pt idx="344">
                  <c:v>695000</c:v>
                </c:pt>
                <c:pt idx="345">
                  <c:v>700000</c:v>
                </c:pt>
                <c:pt idx="346">
                  <c:v>705000</c:v>
                </c:pt>
                <c:pt idx="347">
                  <c:v>710000</c:v>
                </c:pt>
                <c:pt idx="348">
                  <c:v>715000</c:v>
                </c:pt>
                <c:pt idx="349">
                  <c:v>720000</c:v>
                </c:pt>
                <c:pt idx="350">
                  <c:v>725000</c:v>
                </c:pt>
                <c:pt idx="351">
                  <c:v>730000</c:v>
                </c:pt>
                <c:pt idx="352">
                  <c:v>735000</c:v>
                </c:pt>
                <c:pt idx="353">
                  <c:v>740000</c:v>
                </c:pt>
                <c:pt idx="354">
                  <c:v>745000</c:v>
                </c:pt>
                <c:pt idx="355">
                  <c:v>750000</c:v>
                </c:pt>
                <c:pt idx="356">
                  <c:v>755000</c:v>
                </c:pt>
                <c:pt idx="357">
                  <c:v>760000</c:v>
                </c:pt>
                <c:pt idx="358">
                  <c:v>765000</c:v>
                </c:pt>
                <c:pt idx="359">
                  <c:v>770000</c:v>
                </c:pt>
                <c:pt idx="360">
                  <c:v>775000</c:v>
                </c:pt>
                <c:pt idx="361">
                  <c:v>780000</c:v>
                </c:pt>
                <c:pt idx="362">
                  <c:v>785000</c:v>
                </c:pt>
                <c:pt idx="363">
                  <c:v>790000</c:v>
                </c:pt>
                <c:pt idx="364">
                  <c:v>795000</c:v>
                </c:pt>
                <c:pt idx="365">
                  <c:v>800000</c:v>
                </c:pt>
                <c:pt idx="366">
                  <c:v>805000</c:v>
                </c:pt>
                <c:pt idx="367">
                  <c:v>810000</c:v>
                </c:pt>
                <c:pt idx="368">
                  <c:v>815000</c:v>
                </c:pt>
                <c:pt idx="369">
                  <c:v>820000</c:v>
                </c:pt>
                <c:pt idx="370">
                  <c:v>825000</c:v>
                </c:pt>
                <c:pt idx="371">
                  <c:v>830000</c:v>
                </c:pt>
                <c:pt idx="372">
                  <c:v>835000</c:v>
                </c:pt>
                <c:pt idx="373">
                  <c:v>840000</c:v>
                </c:pt>
                <c:pt idx="374">
                  <c:v>845000</c:v>
                </c:pt>
                <c:pt idx="375">
                  <c:v>850000</c:v>
                </c:pt>
                <c:pt idx="376">
                  <c:v>855000</c:v>
                </c:pt>
                <c:pt idx="377">
                  <c:v>860000</c:v>
                </c:pt>
                <c:pt idx="378">
                  <c:v>865000</c:v>
                </c:pt>
                <c:pt idx="379">
                  <c:v>870000</c:v>
                </c:pt>
                <c:pt idx="380">
                  <c:v>875000</c:v>
                </c:pt>
                <c:pt idx="381">
                  <c:v>880000</c:v>
                </c:pt>
                <c:pt idx="382">
                  <c:v>885000</c:v>
                </c:pt>
                <c:pt idx="383">
                  <c:v>890000</c:v>
                </c:pt>
                <c:pt idx="384">
                  <c:v>895000</c:v>
                </c:pt>
                <c:pt idx="385">
                  <c:v>900000</c:v>
                </c:pt>
                <c:pt idx="386">
                  <c:v>905000</c:v>
                </c:pt>
                <c:pt idx="387">
                  <c:v>910000</c:v>
                </c:pt>
                <c:pt idx="388">
                  <c:v>915000</c:v>
                </c:pt>
                <c:pt idx="389">
                  <c:v>920000</c:v>
                </c:pt>
                <c:pt idx="390">
                  <c:v>925000</c:v>
                </c:pt>
                <c:pt idx="391">
                  <c:v>930000</c:v>
                </c:pt>
                <c:pt idx="392">
                  <c:v>935000</c:v>
                </c:pt>
                <c:pt idx="393">
                  <c:v>940000</c:v>
                </c:pt>
                <c:pt idx="394">
                  <c:v>945000</c:v>
                </c:pt>
                <c:pt idx="395">
                  <c:v>950000</c:v>
                </c:pt>
                <c:pt idx="396">
                  <c:v>955000</c:v>
                </c:pt>
                <c:pt idx="397">
                  <c:v>960000</c:v>
                </c:pt>
                <c:pt idx="398">
                  <c:v>965000</c:v>
                </c:pt>
                <c:pt idx="399">
                  <c:v>970000</c:v>
                </c:pt>
                <c:pt idx="400">
                  <c:v>975000</c:v>
                </c:pt>
                <c:pt idx="401">
                  <c:v>980000</c:v>
                </c:pt>
                <c:pt idx="402">
                  <c:v>985000</c:v>
                </c:pt>
                <c:pt idx="403">
                  <c:v>990000</c:v>
                </c:pt>
                <c:pt idx="404">
                  <c:v>995000</c:v>
                </c:pt>
                <c:pt idx="405">
                  <c:v>1000000</c:v>
                </c:pt>
                <c:pt idx="406">
                  <c:v>1005000</c:v>
                </c:pt>
                <c:pt idx="407">
                  <c:v>1010000</c:v>
                </c:pt>
                <c:pt idx="408">
                  <c:v>1015000</c:v>
                </c:pt>
                <c:pt idx="409">
                  <c:v>1020000</c:v>
                </c:pt>
                <c:pt idx="410">
                  <c:v>1025000</c:v>
                </c:pt>
                <c:pt idx="411">
                  <c:v>1030000</c:v>
                </c:pt>
                <c:pt idx="412">
                  <c:v>1035000</c:v>
                </c:pt>
                <c:pt idx="413">
                  <c:v>1040000</c:v>
                </c:pt>
                <c:pt idx="414">
                  <c:v>1045000</c:v>
                </c:pt>
                <c:pt idx="415">
                  <c:v>1050000</c:v>
                </c:pt>
                <c:pt idx="416">
                  <c:v>1055000</c:v>
                </c:pt>
                <c:pt idx="417">
                  <c:v>1060000</c:v>
                </c:pt>
                <c:pt idx="418">
                  <c:v>1065000</c:v>
                </c:pt>
                <c:pt idx="419">
                  <c:v>1070000</c:v>
                </c:pt>
                <c:pt idx="420">
                  <c:v>1075000</c:v>
                </c:pt>
                <c:pt idx="421">
                  <c:v>1080000</c:v>
                </c:pt>
                <c:pt idx="422">
                  <c:v>1085000</c:v>
                </c:pt>
                <c:pt idx="423">
                  <c:v>1090000</c:v>
                </c:pt>
                <c:pt idx="424">
                  <c:v>1095000</c:v>
                </c:pt>
                <c:pt idx="425">
                  <c:v>1100000</c:v>
                </c:pt>
                <c:pt idx="426">
                  <c:v>1105000</c:v>
                </c:pt>
                <c:pt idx="427">
                  <c:v>1110000</c:v>
                </c:pt>
                <c:pt idx="428">
                  <c:v>1115000</c:v>
                </c:pt>
                <c:pt idx="429">
                  <c:v>1120000</c:v>
                </c:pt>
                <c:pt idx="430">
                  <c:v>1125000</c:v>
                </c:pt>
                <c:pt idx="431">
                  <c:v>1130000</c:v>
                </c:pt>
                <c:pt idx="432">
                  <c:v>1135000</c:v>
                </c:pt>
                <c:pt idx="433">
                  <c:v>1140000</c:v>
                </c:pt>
                <c:pt idx="434">
                  <c:v>1145000</c:v>
                </c:pt>
                <c:pt idx="435">
                  <c:v>1150000</c:v>
                </c:pt>
                <c:pt idx="436">
                  <c:v>1155000</c:v>
                </c:pt>
                <c:pt idx="437">
                  <c:v>1160000</c:v>
                </c:pt>
                <c:pt idx="438">
                  <c:v>1165000</c:v>
                </c:pt>
                <c:pt idx="439">
                  <c:v>1170000</c:v>
                </c:pt>
                <c:pt idx="440">
                  <c:v>1175000</c:v>
                </c:pt>
                <c:pt idx="441">
                  <c:v>1180000</c:v>
                </c:pt>
                <c:pt idx="442">
                  <c:v>1185000</c:v>
                </c:pt>
                <c:pt idx="443">
                  <c:v>1190000</c:v>
                </c:pt>
                <c:pt idx="444">
                  <c:v>1195000</c:v>
                </c:pt>
                <c:pt idx="445">
                  <c:v>1200000</c:v>
                </c:pt>
                <c:pt idx="446">
                  <c:v>1205000</c:v>
                </c:pt>
                <c:pt idx="447">
                  <c:v>1210000</c:v>
                </c:pt>
                <c:pt idx="448">
                  <c:v>1215000</c:v>
                </c:pt>
                <c:pt idx="449">
                  <c:v>1220000</c:v>
                </c:pt>
                <c:pt idx="450">
                  <c:v>1225000</c:v>
                </c:pt>
                <c:pt idx="451">
                  <c:v>1230000</c:v>
                </c:pt>
                <c:pt idx="452">
                  <c:v>1235000</c:v>
                </c:pt>
                <c:pt idx="453">
                  <c:v>1240000</c:v>
                </c:pt>
                <c:pt idx="454">
                  <c:v>1245000</c:v>
                </c:pt>
                <c:pt idx="455">
                  <c:v>1250000</c:v>
                </c:pt>
                <c:pt idx="456">
                  <c:v>1255000</c:v>
                </c:pt>
                <c:pt idx="457">
                  <c:v>1260000</c:v>
                </c:pt>
                <c:pt idx="458">
                  <c:v>1265000</c:v>
                </c:pt>
                <c:pt idx="459">
                  <c:v>1270000</c:v>
                </c:pt>
                <c:pt idx="460">
                  <c:v>1275000</c:v>
                </c:pt>
                <c:pt idx="461">
                  <c:v>1280000</c:v>
                </c:pt>
                <c:pt idx="462">
                  <c:v>1285000</c:v>
                </c:pt>
                <c:pt idx="463">
                  <c:v>1290000</c:v>
                </c:pt>
                <c:pt idx="464">
                  <c:v>1295000</c:v>
                </c:pt>
                <c:pt idx="465">
                  <c:v>1300000</c:v>
                </c:pt>
                <c:pt idx="466">
                  <c:v>1305000</c:v>
                </c:pt>
                <c:pt idx="467">
                  <c:v>1310000</c:v>
                </c:pt>
                <c:pt idx="468">
                  <c:v>1315000</c:v>
                </c:pt>
                <c:pt idx="469">
                  <c:v>1320000</c:v>
                </c:pt>
                <c:pt idx="470">
                  <c:v>1325000</c:v>
                </c:pt>
                <c:pt idx="471">
                  <c:v>1330000</c:v>
                </c:pt>
                <c:pt idx="472">
                  <c:v>1335000</c:v>
                </c:pt>
                <c:pt idx="473">
                  <c:v>1340000</c:v>
                </c:pt>
                <c:pt idx="474">
                  <c:v>1345000</c:v>
                </c:pt>
                <c:pt idx="475">
                  <c:v>1350000</c:v>
                </c:pt>
                <c:pt idx="476">
                  <c:v>1355000</c:v>
                </c:pt>
                <c:pt idx="477">
                  <c:v>1360000</c:v>
                </c:pt>
                <c:pt idx="478">
                  <c:v>1365000</c:v>
                </c:pt>
                <c:pt idx="479">
                  <c:v>1370000</c:v>
                </c:pt>
                <c:pt idx="480">
                  <c:v>1375000</c:v>
                </c:pt>
                <c:pt idx="481">
                  <c:v>1380000</c:v>
                </c:pt>
                <c:pt idx="482">
                  <c:v>1385000</c:v>
                </c:pt>
                <c:pt idx="483">
                  <c:v>1390000</c:v>
                </c:pt>
                <c:pt idx="484">
                  <c:v>1395000</c:v>
                </c:pt>
                <c:pt idx="485">
                  <c:v>1400000</c:v>
                </c:pt>
                <c:pt idx="486">
                  <c:v>1405000</c:v>
                </c:pt>
                <c:pt idx="487">
                  <c:v>1410000</c:v>
                </c:pt>
                <c:pt idx="488">
                  <c:v>1415000</c:v>
                </c:pt>
                <c:pt idx="489">
                  <c:v>1420000</c:v>
                </c:pt>
                <c:pt idx="490">
                  <c:v>1425000</c:v>
                </c:pt>
                <c:pt idx="491">
                  <c:v>1430000</c:v>
                </c:pt>
                <c:pt idx="492">
                  <c:v>1435000</c:v>
                </c:pt>
                <c:pt idx="493">
                  <c:v>1440000</c:v>
                </c:pt>
                <c:pt idx="494">
                  <c:v>1445000</c:v>
                </c:pt>
                <c:pt idx="495">
                  <c:v>1450000</c:v>
                </c:pt>
                <c:pt idx="496">
                  <c:v>1455000</c:v>
                </c:pt>
                <c:pt idx="497">
                  <c:v>1460000</c:v>
                </c:pt>
                <c:pt idx="498">
                  <c:v>1465000</c:v>
                </c:pt>
                <c:pt idx="499">
                  <c:v>1470000</c:v>
                </c:pt>
                <c:pt idx="500">
                  <c:v>1475000</c:v>
                </c:pt>
                <c:pt idx="501">
                  <c:v>1480000</c:v>
                </c:pt>
                <c:pt idx="502">
                  <c:v>1485000</c:v>
                </c:pt>
                <c:pt idx="503">
                  <c:v>1490000</c:v>
                </c:pt>
                <c:pt idx="504">
                  <c:v>1495000</c:v>
                </c:pt>
                <c:pt idx="505">
                  <c:v>1500000</c:v>
                </c:pt>
                <c:pt idx="506">
                  <c:v>1505000</c:v>
                </c:pt>
                <c:pt idx="507">
                  <c:v>1510000</c:v>
                </c:pt>
                <c:pt idx="508">
                  <c:v>1515000</c:v>
                </c:pt>
                <c:pt idx="509">
                  <c:v>1520000</c:v>
                </c:pt>
                <c:pt idx="510">
                  <c:v>1525000</c:v>
                </c:pt>
                <c:pt idx="511">
                  <c:v>1530000</c:v>
                </c:pt>
                <c:pt idx="512">
                  <c:v>1535000</c:v>
                </c:pt>
                <c:pt idx="513">
                  <c:v>1540000</c:v>
                </c:pt>
                <c:pt idx="514">
                  <c:v>1545000</c:v>
                </c:pt>
                <c:pt idx="515">
                  <c:v>1550000</c:v>
                </c:pt>
                <c:pt idx="516">
                  <c:v>1555000</c:v>
                </c:pt>
                <c:pt idx="517">
                  <c:v>1560000</c:v>
                </c:pt>
                <c:pt idx="518">
                  <c:v>1565000</c:v>
                </c:pt>
                <c:pt idx="519">
                  <c:v>1570000</c:v>
                </c:pt>
                <c:pt idx="520">
                  <c:v>1575000</c:v>
                </c:pt>
                <c:pt idx="521">
                  <c:v>1580000</c:v>
                </c:pt>
                <c:pt idx="522">
                  <c:v>1585000</c:v>
                </c:pt>
                <c:pt idx="523">
                  <c:v>1590000</c:v>
                </c:pt>
                <c:pt idx="524">
                  <c:v>1595000</c:v>
                </c:pt>
                <c:pt idx="525">
                  <c:v>1600000</c:v>
                </c:pt>
                <c:pt idx="526">
                  <c:v>1605000</c:v>
                </c:pt>
                <c:pt idx="527">
                  <c:v>1610000</c:v>
                </c:pt>
                <c:pt idx="528">
                  <c:v>1615000</c:v>
                </c:pt>
                <c:pt idx="529">
                  <c:v>1620000</c:v>
                </c:pt>
                <c:pt idx="530">
                  <c:v>1625000</c:v>
                </c:pt>
                <c:pt idx="531">
                  <c:v>1630000</c:v>
                </c:pt>
                <c:pt idx="532">
                  <c:v>1635000</c:v>
                </c:pt>
                <c:pt idx="533">
                  <c:v>1640000</c:v>
                </c:pt>
                <c:pt idx="534">
                  <c:v>1645000</c:v>
                </c:pt>
                <c:pt idx="535">
                  <c:v>1650000</c:v>
                </c:pt>
                <c:pt idx="536">
                  <c:v>1655000</c:v>
                </c:pt>
                <c:pt idx="537">
                  <c:v>1660000</c:v>
                </c:pt>
                <c:pt idx="538">
                  <c:v>1665000</c:v>
                </c:pt>
                <c:pt idx="539">
                  <c:v>1670000</c:v>
                </c:pt>
                <c:pt idx="540">
                  <c:v>1675000</c:v>
                </c:pt>
                <c:pt idx="541">
                  <c:v>1680000</c:v>
                </c:pt>
                <c:pt idx="542">
                  <c:v>1685000</c:v>
                </c:pt>
                <c:pt idx="543">
                  <c:v>1690000</c:v>
                </c:pt>
                <c:pt idx="544">
                  <c:v>1695000</c:v>
                </c:pt>
                <c:pt idx="545">
                  <c:v>1700000</c:v>
                </c:pt>
                <c:pt idx="546">
                  <c:v>1705000</c:v>
                </c:pt>
                <c:pt idx="547">
                  <c:v>1710000</c:v>
                </c:pt>
                <c:pt idx="548">
                  <c:v>1715000</c:v>
                </c:pt>
                <c:pt idx="549">
                  <c:v>1720000</c:v>
                </c:pt>
                <c:pt idx="550">
                  <c:v>1725000</c:v>
                </c:pt>
                <c:pt idx="551">
                  <c:v>1730000</c:v>
                </c:pt>
                <c:pt idx="552">
                  <c:v>1735000</c:v>
                </c:pt>
                <c:pt idx="553">
                  <c:v>1740000</c:v>
                </c:pt>
                <c:pt idx="554">
                  <c:v>1745000</c:v>
                </c:pt>
                <c:pt idx="555">
                  <c:v>1750000</c:v>
                </c:pt>
                <c:pt idx="556">
                  <c:v>1755000</c:v>
                </c:pt>
                <c:pt idx="557">
                  <c:v>1760000</c:v>
                </c:pt>
                <c:pt idx="558">
                  <c:v>1765000</c:v>
                </c:pt>
                <c:pt idx="559">
                  <c:v>1770000</c:v>
                </c:pt>
                <c:pt idx="560">
                  <c:v>1775000</c:v>
                </c:pt>
                <c:pt idx="561">
                  <c:v>1780000</c:v>
                </c:pt>
                <c:pt idx="562">
                  <c:v>1785000</c:v>
                </c:pt>
                <c:pt idx="563">
                  <c:v>1790000</c:v>
                </c:pt>
                <c:pt idx="564">
                  <c:v>1795000</c:v>
                </c:pt>
                <c:pt idx="565">
                  <c:v>1800000</c:v>
                </c:pt>
                <c:pt idx="566">
                  <c:v>1805000</c:v>
                </c:pt>
                <c:pt idx="567">
                  <c:v>1810000</c:v>
                </c:pt>
                <c:pt idx="568">
                  <c:v>1815000</c:v>
                </c:pt>
                <c:pt idx="569">
                  <c:v>1820000</c:v>
                </c:pt>
                <c:pt idx="570">
                  <c:v>1825000</c:v>
                </c:pt>
                <c:pt idx="571">
                  <c:v>1830000</c:v>
                </c:pt>
                <c:pt idx="572">
                  <c:v>1835000</c:v>
                </c:pt>
                <c:pt idx="573">
                  <c:v>1840000</c:v>
                </c:pt>
                <c:pt idx="574">
                  <c:v>1845000</c:v>
                </c:pt>
                <c:pt idx="575">
                  <c:v>1850000</c:v>
                </c:pt>
                <c:pt idx="576">
                  <c:v>1855000</c:v>
                </c:pt>
                <c:pt idx="577">
                  <c:v>1860000</c:v>
                </c:pt>
                <c:pt idx="578">
                  <c:v>1865000</c:v>
                </c:pt>
                <c:pt idx="579">
                  <c:v>1870000</c:v>
                </c:pt>
                <c:pt idx="580">
                  <c:v>1875000</c:v>
                </c:pt>
                <c:pt idx="581">
                  <c:v>1880000</c:v>
                </c:pt>
                <c:pt idx="582">
                  <c:v>1885000</c:v>
                </c:pt>
                <c:pt idx="583">
                  <c:v>1890000</c:v>
                </c:pt>
                <c:pt idx="584">
                  <c:v>1895000</c:v>
                </c:pt>
                <c:pt idx="585">
                  <c:v>1900000</c:v>
                </c:pt>
                <c:pt idx="586">
                  <c:v>1905000</c:v>
                </c:pt>
                <c:pt idx="587">
                  <c:v>1910000</c:v>
                </c:pt>
                <c:pt idx="588">
                  <c:v>1915000</c:v>
                </c:pt>
                <c:pt idx="589">
                  <c:v>1920000</c:v>
                </c:pt>
                <c:pt idx="590">
                  <c:v>1925000</c:v>
                </c:pt>
                <c:pt idx="591">
                  <c:v>1930000</c:v>
                </c:pt>
                <c:pt idx="592">
                  <c:v>1935000</c:v>
                </c:pt>
                <c:pt idx="593">
                  <c:v>1940000</c:v>
                </c:pt>
                <c:pt idx="594">
                  <c:v>1945000</c:v>
                </c:pt>
                <c:pt idx="595">
                  <c:v>1950000</c:v>
                </c:pt>
                <c:pt idx="596">
                  <c:v>1955000</c:v>
                </c:pt>
                <c:pt idx="597">
                  <c:v>1960000</c:v>
                </c:pt>
                <c:pt idx="598">
                  <c:v>1965000</c:v>
                </c:pt>
                <c:pt idx="599">
                  <c:v>1970000</c:v>
                </c:pt>
                <c:pt idx="600">
                  <c:v>1975000</c:v>
                </c:pt>
                <c:pt idx="601">
                  <c:v>1980000</c:v>
                </c:pt>
                <c:pt idx="602">
                  <c:v>1985000</c:v>
                </c:pt>
                <c:pt idx="603">
                  <c:v>1990000</c:v>
                </c:pt>
                <c:pt idx="604">
                  <c:v>1995000</c:v>
                </c:pt>
                <c:pt idx="605">
                  <c:v>2000000</c:v>
                </c:pt>
                <c:pt idx="606">
                  <c:v>2250000</c:v>
                </c:pt>
                <c:pt idx="607">
                  <c:v>2500000</c:v>
                </c:pt>
                <c:pt idx="608">
                  <c:v>2750000</c:v>
                </c:pt>
                <c:pt idx="609">
                  <c:v>3000000</c:v>
                </c:pt>
                <c:pt idx="610">
                  <c:v>3250000</c:v>
                </c:pt>
                <c:pt idx="611">
                  <c:v>3500000</c:v>
                </c:pt>
                <c:pt idx="612">
                  <c:v>3750000</c:v>
                </c:pt>
                <c:pt idx="613">
                  <c:v>4000000</c:v>
                </c:pt>
                <c:pt idx="614">
                  <c:v>4250000</c:v>
                </c:pt>
                <c:pt idx="615">
                  <c:v>4500000</c:v>
                </c:pt>
                <c:pt idx="616">
                  <c:v>4750000</c:v>
                </c:pt>
                <c:pt idx="617">
                  <c:v>5000000</c:v>
                </c:pt>
                <c:pt idx="618">
                  <c:v>5100000</c:v>
                </c:pt>
                <c:pt idx="619">
                  <c:v>5200000</c:v>
                </c:pt>
                <c:pt idx="620">
                  <c:v>5300000</c:v>
                </c:pt>
                <c:pt idx="621">
                  <c:v>5400000</c:v>
                </c:pt>
                <c:pt idx="622">
                  <c:v>5500000</c:v>
                </c:pt>
                <c:pt idx="623">
                  <c:v>5600000</c:v>
                </c:pt>
                <c:pt idx="624">
                  <c:v>5700000</c:v>
                </c:pt>
                <c:pt idx="625">
                  <c:v>5800000</c:v>
                </c:pt>
                <c:pt idx="626">
                  <c:v>5900000</c:v>
                </c:pt>
                <c:pt idx="627">
                  <c:v>6000000</c:v>
                </c:pt>
                <c:pt idx="628">
                  <c:v>6100000</c:v>
                </c:pt>
                <c:pt idx="629">
                  <c:v>6200000</c:v>
                </c:pt>
                <c:pt idx="630">
                  <c:v>6300000</c:v>
                </c:pt>
                <c:pt idx="631">
                  <c:v>6400000</c:v>
                </c:pt>
                <c:pt idx="632">
                  <c:v>6500000</c:v>
                </c:pt>
                <c:pt idx="633">
                  <c:v>6600000</c:v>
                </c:pt>
                <c:pt idx="634">
                  <c:v>6700000</c:v>
                </c:pt>
                <c:pt idx="635">
                  <c:v>6800000</c:v>
                </c:pt>
                <c:pt idx="636">
                  <c:v>6900000</c:v>
                </c:pt>
                <c:pt idx="637">
                  <c:v>7000000</c:v>
                </c:pt>
                <c:pt idx="638">
                  <c:v>7100000</c:v>
                </c:pt>
                <c:pt idx="639">
                  <c:v>7200000</c:v>
                </c:pt>
                <c:pt idx="640">
                  <c:v>7300000</c:v>
                </c:pt>
                <c:pt idx="641">
                  <c:v>7400000</c:v>
                </c:pt>
                <c:pt idx="642">
                  <c:v>7500000</c:v>
                </c:pt>
                <c:pt idx="643">
                  <c:v>7600000</c:v>
                </c:pt>
                <c:pt idx="644">
                  <c:v>7700000</c:v>
                </c:pt>
                <c:pt idx="645">
                  <c:v>7800000</c:v>
                </c:pt>
                <c:pt idx="646">
                  <c:v>7900000</c:v>
                </c:pt>
                <c:pt idx="647">
                  <c:v>8000000</c:v>
                </c:pt>
                <c:pt idx="648">
                  <c:v>8100000</c:v>
                </c:pt>
                <c:pt idx="649">
                  <c:v>8200000</c:v>
                </c:pt>
                <c:pt idx="650">
                  <c:v>8300000</c:v>
                </c:pt>
                <c:pt idx="651">
                  <c:v>8400000</c:v>
                </c:pt>
                <c:pt idx="652">
                  <c:v>8500000</c:v>
                </c:pt>
                <c:pt idx="653">
                  <c:v>8600000</c:v>
                </c:pt>
                <c:pt idx="654">
                  <c:v>8700000</c:v>
                </c:pt>
                <c:pt idx="655">
                  <c:v>8800000</c:v>
                </c:pt>
                <c:pt idx="656">
                  <c:v>8900000</c:v>
                </c:pt>
                <c:pt idx="657">
                  <c:v>9000000</c:v>
                </c:pt>
                <c:pt idx="658">
                  <c:v>9100000</c:v>
                </c:pt>
                <c:pt idx="659">
                  <c:v>9200000</c:v>
                </c:pt>
                <c:pt idx="660">
                  <c:v>9300000</c:v>
                </c:pt>
                <c:pt idx="661">
                  <c:v>9400000</c:v>
                </c:pt>
                <c:pt idx="662">
                  <c:v>9500000</c:v>
                </c:pt>
                <c:pt idx="663">
                  <c:v>9600000</c:v>
                </c:pt>
                <c:pt idx="664">
                  <c:v>9700000</c:v>
                </c:pt>
                <c:pt idx="665">
                  <c:v>9800000</c:v>
                </c:pt>
                <c:pt idx="666">
                  <c:v>9900000</c:v>
                </c:pt>
                <c:pt idx="667">
                  <c:v>10000000</c:v>
                </c:pt>
              </c:numCache>
            </c:numRef>
          </c:xVal>
          <c:yVal>
            <c:numRef>
              <c:f>'Bode Plots Calculations'!$BF$9:$BF$676</c:f>
              <c:numCache>
                <c:formatCode>General</c:formatCode>
                <c:ptCount val="668"/>
                <c:pt idx="0">
                  <c:v>70.414314155198312</c:v>
                </c:pt>
                <c:pt idx="1">
                  <c:v>64.460215053163324</c:v>
                </c:pt>
                <c:pt idx="2">
                  <c:v>60.950835110952767</c:v>
                </c:pt>
                <c:pt idx="3">
                  <c:v>58.456445629182774</c:v>
                </c:pt>
                <c:pt idx="4">
                  <c:v>56.52029963942929</c:v>
                </c:pt>
                <c:pt idx="5">
                  <c:v>54.937815461173408</c:v>
                </c:pt>
                <c:pt idx="6">
                  <c:v>53.599593108566957</c:v>
                </c:pt>
                <c:pt idx="7">
                  <c:v>52.440243527529105</c:v>
                </c:pt>
                <c:pt idx="8">
                  <c:v>51.417555474090335</c:v>
                </c:pt>
                <c:pt idx="9">
                  <c:v>50.502692258180574</c:v>
                </c:pt>
                <c:pt idx="10">
                  <c:v>44.483965757707928</c:v>
                </c:pt>
                <c:pt idx="11">
                  <c:v>40.96426466920822</c:v>
                </c:pt>
                <c:pt idx="12">
                  <c:v>38.468331307400689</c:v>
                </c:pt>
                <c:pt idx="13">
                  <c:v>36.533745900753431</c:v>
                </c:pt>
                <c:pt idx="14">
                  <c:v>34.95452172489464</c:v>
                </c:pt>
                <c:pt idx="15">
                  <c:v>33.620775236160661</c:v>
                </c:pt>
                <c:pt idx="16">
                  <c:v>32.466913598242272</c:v>
                </c:pt>
                <c:pt idx="17">
                  <c:v>31.450626437767788</c:v>
                </c:pt>
                <c:pt idx="18">
                  <c:v>30.543023048851765</c:v>
                </c:pt>
                <c:pt idx="19">
                  <c:v>24.639991411848726</c:v>
                </c:pt>
                <c:pt idx="20">
                  <c:v>21.307880819427677</c:v>
                </c:pt>
                <c:pt idx="21">
                  <c:v>19.062669372733353</c:v>
                </c:pt>
                <c:pt idx="22">
                  <c:v>17.431991304481432</c:v>
                </c:pt>
                <c:pt idx="23">
                  <c:v>16.199498221774483</c:v>
                </c:pt>
                <c:pt idx="24">
                  <c:v>15.245395425099614</c:v>
                </c:pt>
                <c:pt idx="25">
                  <c:v>14.495207644120072</c:v>
                </c:pt>
                <c:pt idx="26">
                  <c:v>13.899055563834203</c:v>
                </c:pt>
                <c:pt idx="27">
                  <c:v>13.421852249976922</c:v>
                </c:pt>
                <c:pt idx="28">
                  <c:v>12.119313263894075</c:v>
                </c:pt>
                <c:pt idx="29">
                  <c:v>11.733515276892881</c:v>
                </c:pt>
                <c:pt idx="30">
                  <c:v>11.760738459794226</c:v>
                </c:pt>
                <c:pt idx="31">
                  <c:v>12.022303492460786</c:v>
                </c:pt>
                <c:pt idx="32">
                  <c:v>12.444511564311638</c:v>
                </c:pt>
                <c:pt idx="33">
                  <c:v>12.993826567859056</c:v>
                </c:pt>
                <c:pt idx="34">
                  <c:v>13.654581726427029</c:v>
                </c:pt>
                <c:pt idx="35">
                  <c:v>14.420236332483043</c:v>
                </c:pt>
                <c:pt idx="36">
                  <c:v>15.289332651715917</c:v>
                </c:pt>
                <c:pt idx="37">
                  <c:v>16.262825738307441</c:v>
                </c:pt>
                <c:pt idx="38">
                  <c:v>17.340839443849358</c:v>
                </c:pt>
                <c:pt idx="39">
                  <c:v>18.516557485024862</c:v>
                </c:pt>
                <c:pt idx="40">
                  <c:v>19.763327030385746</c:v>
                </c:pt>
                <c:pt idx="41">
                  <c:v>21.00923038755144</c:v>
                </c:pt>
                <c:pt idx="42">
                  <c:v>22.099575521312911</c:v>
                </c:pt>
                <c:pt idx="43">
                  <c:v>22.786831454421261</c:v>
                </c:pt>
                <c:pt idx="44">
                  <c:v>22.844588206329306</c:v>
                </c:pt>
                <c:pt idx="45">
                  <c:v>22.270148347012942</c:v>
                </c:pt>
                <c:pt idx="46">
                  <c:v>21.286206973249669</c:v>
                </c:pt>
                <c:pt idx="47">
                  <c:v>20.138676941273481</c:v>
                </c:pt>
                <c:pt idx="48">
                  <c:v>18.980784073800603</c:v>
                </c:pt>
                <c:pt idx="49">
                  <c:v>17.882155779983275</c:v>
                </c:pt>
                <c:pt idx="50">
                  <c:v>16.86619592238721</c:v>
                </c:pt>
                <c:pt idx="51">
                  <c:v>15.935460468876263</c:v>
                </c:pt>
                <c:pt idx="52">
                  <c:v>15.084332500666466</c:v>
                </c:pt>
                <c:pt idx="53">
                  <c:v>14.304651001413722</c:v>
                </c:pt>
                <c:pt idx="54">
                  <c:v>13.588040256408755</c:v>
                </c:pt>
                <c:pt idx="55">
                  <c:v>12.926787035912371</c:v>
                </c:pt>
                <c:pt idx="56">
                  <c:v>12.314099669347058</c:v>
                </c:pt>
                <c:pt idx="57">
                  <c:v>11.744115099433863</c:v>
                </c:pt>
                <c:pt idx="58">
                  <c:v>11.211812597266661</c:v>
                </c:pt>
                <c:pt idx="59">
                  <c:v>10.712901695972279</c:v>
                </c:pt>
                <c:pt idx="60">
                  <c:v>10.243711870179439</c:v>
                </c:pt>
                <c:pt idx="61">
                  <c:v>9.8010939764803933</c:v>
                </c:pt>
                <c:pt idx="62">
                  <c:v>9.3823359560915076</c:v>
                </c:pt>
                <c:pt idx="63">
                  <c:v>8.9850922433652336</c:v>
                </c:pt>
                <c:pt idx="64">
                  <c:v>8.6073252404457179</c:v>
                </c:pt>
                <c:pt idx="65">
                  <c:v>8.2472569874985062</c:v>
                </c:pt>
                <c:pt idx="66">
                  <c:v>7.9033292718882828</c:v>
                </c:pt>
                <c:pt idx="67">
                  <c:v>7.574170651135379</c:v>
                </c:pt>
                <c:pt idx="68">
                  <c:v>7.2585691150364795</c:v>
                </c:pt>
                <c:pt idx="69">
                  <c:v>6.9554493426551147</c:v>
                </c:pt>
                <c:pt idx="70">
                  <c:v>6.6638537072908086</c:v>
                </c:pt>
                <c:pt idx="71">
                  <c:v>6.3829263458585999</c:v>
                </c:pt>
                <c:pt idx="72">
                  <c:v>6.1118997417109791</c:v>
                </c:pt>
                <c:pt idx="73">
                  <c:v>5.8500833765154949</c:v>
                </c:pt>
                <c:pt idx="74">
                  <c:v>5.5968540920539187</c:v>
                </c:pt>
                <c:pt idx="75">
                  <c:v>5.3516478708859525</c:v>
                </c:pt>
                <c:pt idx="76">
                  <c:v>5.1139527992008951</c:v>
                </c:pt>
                <c:pt idx="77">
                  <c:v>4.8833030186922706</c:v>
                </c:pt>
                <c:pt idx="78">
                  <c:v>4.6592735091931576</c:v>
                </c:pt>
                <c:pt idx="79">
                  <c:v>4.441475571893716</c:v>
                </c:pt>
                <c:pt idx="80">
                  <c:v>4.2295529056365266</c:v>
                </c:pt>
                <c:pt idx="81">
                  <c:v>4.0231781871600578</c:v>
                </c:pt>
                <c:pt idx="82">
                  <c:v>3.8220500811060338</c:v>
                </c:pt>
                <c:pt idx="83">
                  <c:v>3.6258906178108168</c:v>
                </c:pt>
                <c:pt idx="84">
                  <c:v>3.434442886903613</c:v>
                </c:pt>
                <c:pt idx="85">
                  <c:v>3.2474690029652202</c:v>
                </c:pt>
                <c:pt idx="86">
                  <c:v>3.0647483062983873</c:v>
                </c:pt>
                <c:pt idx="87">
                  <c:v>2.8860757674953246</c:v>
                </c:pt>
                <c:pt idx="88">
                  <c:v>2.7112605691757317</c:v>
                </c:pt>
                <c:pt idx="89">
                  <c:v>2.5401248421817719</c:v>
                </c:pt>
                <c:pt idx="90">
                  <c:v>2.3725025367946797</c:v>
                </c:pt>
                <c:pt idx="91">
                  <c:v>2.2082384122927898</c:v>
                </c:pt>
                <c:pt idx="92">
                  <c:v>2.0471871304942195</c:v>
                </c:pt>
                <c:pt idx="93">
                  <c:v>1.8892124408919309</c:v>
                </c:pt>
                <c:pt idx="94">
                  <c:v>1.7341864466565757</c:v>
                </c:pt>
                <c:pt idx="95">
                  <c:v>1.5819889422005033</c:v>
                </c:pt>
                <c:pt idx="96">
                  <c:v>1.432506814207126</c:v>
                </c:pt>
                <c:pt idx="97">
                  <c:v>1.2856334990654195</c:v>
                </c:pt>
                <c:pt idx="98">
                  <c:v>1.1412684905380317</c:v>
                </c:pt>
                <c:pt idx="99">
                  <c:v>0.99931689225576226</c:v>
                </c:pt>
                <c:pt idx="100">
                  <c:v>0.85968901029065115</c:v>
                </c:pt>
                <c:pt idx="101">
                  <c:v>0.72229998162940634</c:v>
                </c:pt>
                <c:pt idx="102">
                  <c:v>0.58706943486295848</c:v>
                </c:pt>
                <c:pt idx="103">
                  <c:v>0.4539211798366477</c:v>
                </c:pt>
                <c:pt idx="104">
                  <c:v>0.32278292337890846</c:v>
                </c:pt>
                <c:pt idx="105">
                  <c:v>0.19358600855185976</c:v>
                </c:pt>
                <c:pt idx="106">
                  <c:v>6.6265175151919292E-2</c:v>
                </c:pt>
                <c:pt idx="107">
                  <c:v>-5.9241660562197096E-2</c:v>
                </c:pt>
                <c:pt idx="108">
                  <c:v>-0.18299360871770726</c:v>
                </c:pt>
                <c:pt idx="109">
                  <c:v>-0.30504699286371567</c:v>
                </c:pt>
                <c:pt idx="110">
                  <c:v>-0.4254555226366189</c:v>
                </c:pt>
                <c:pt idx="111">
                  <c:v>-0.54427045334714996</c:v>
                </c:pt>
                <c:pt idx="112">
                  <c:v>-0.66154073364898081</c:v>
                </c:pt>
                <c:pt idx="113">
                  <c:v>-0.7773131423316092</c:v>
                </c:pt>
                <c:pt idx="114">
                  <c:v>-0.89163241517631531</c:v>
                </c:pt>
                <c:pt idx="115">
                  <c:v>-1.0045413627215682</c:v>
                </c:pt>
                <c:pt idx="116">
                  <c:v>-1.1160809797021802</c:v>
                </c:pt>
                <c:pt idx="117">
                  <c:v>-1.2262905468530081</c:v>
                </c:pt>
                <c:pt idx="118">
                  <c:v>-1.3352077257028037</c:v>
                </c:pt>
                <c:pt idx="119">
                  <c:v>-1.4428686469251182</c:v>
                </c:pt>
                <c:pt idx="120">
                  <c:v>-1.5493079927610109</c:v>
                </c:pt>
                <c:pt idx="121">
                  <c:v>-1.6545590739811109</c:v>
                </c:pt>
                <c:pt idx="122">
                  <c:v>-1.758653901812639</c:v>
                </c:pt>
                <c:pt idx="123">
                  <c:v>-1.861623255218896</c:v>
                </c:pt>
                <c:pt idx="124">
                  <c:v>-1.9634967438848185</c:v>
                </c:pt>
                <c:pt idx="125">
                  <c:v>-2.0643028672312607</c:v>
                </c:pt>
                <c:pt idx="126">
                  <c:v>-2.1640690697529417</c:v>
                </c:pt>
                <c:pt idx="127">
                  <c:v>-2.2628217929500827</c:v>
                </c:pt>
                <c:pt idx="128">
                  <c:v>-2.3605865241007331</c:v>
                </c:pt>
                <c:pt idx="129">
                  <c:v>-2.4573878421007285</c:v>
                </c:pt>
                <c:pt idx="130">
                  <c:v>-2.5532494605789493</c:v>
                </c:pt>
                <c:pt idx="131">
                  <c:v>-2.6481942684793558</c:v>
                </c:pt>
                <c:pt idx="132">
                  <c:v>-2.7422443682852258</c:v>
                </c:pt>
                <c:pt idx="133">
                  <c:v>-2.8354211120475998</c:v>
                </c:pt>
                <c:pt idx="134">
                  <c:v>-2.9277451353668078</c:v>
                </c:pt>
                <c:pt idx="135">
                  <c:v>-3.0192363894645453</c:v>
                </c:pt>
                <c:pt idx="136">
                  <c:v>-3.1099141714733767</c:v>
                </c:pt>
                <c:pt idx="137">
                  <c:v>-3.1997971530607643</c:v>
                </c:pt>
                <c:pt idx="138">
                  <c:v>-3.2889034074959351</c:v>
                </c:pt>
                <c:pt idx="139">
                  <c:v>-3.3772504352598807</c:v>
                </c:pt>
                <c:pt idx="140">
                  <c:v>-3.4648551882912471</c:v>
                </c:pt>
                <c:pt idx="141">
                  <c:v>-3.5517340929540926</c:v>
                </c:pt>
                <c:pt idx="142">
                  <c:v>-3.6379030718074024</c:v>
                </c:pt>
                <c:pt idx="143">
                  <c:v>-3.7233775642503075</c:v>
                </c:pt>
                <c:pt idx="144">
                  <c:v>-3.8081725461118419</c:v>
                </c:pt>
                <c:pt idx="145">
                  <c:v>-3.8923025482491895</c:v>
                </c:pt>
                <c:pt idx="146">
                  <c:v>-3.9757816742139083</c:v>
                </c:pt>
                <c:pt idx="147">
                  <c:v>-4.0586236170414782</c:v>
                </c:pt>
                <c:pt idx="148">
                  <c:v>-4.1408416752158175</c:v>
                </c:pt>
                <c:pt idx="149">
                  <c:v>-4.2224487678567826</c:v>
                </c:pt>
                <c:pt idx="150">
                  <c:v>-4.3034574491756477</c:v>
                </c:pt>
                <c:pt idx="151">
                  <c:v>-4.3838799222402702</c:v>
                </c:pt>
                <c:pt idx="152">
                  <c:v>-4.4637280520892419</c:v>
                </c:pt>
                <c:pt idx="153">
                  <c:v>-4.543013378231465</c:v>
                </c:pt>
                <c:pt idx="154">
                  <c:v>-4.6217471265653645</c:v>
                </c:pt>
                <c:pt idx="155">
                  <c:v>-4.6999402207498306</c:v>
                </c:pt>
                <c:pt idx="156">
                  <c:v>-4.7776032930567549</c:v>
                </c:pt>
                <c:pt idx="157">
                  <c:v>-4.8547466947332945</c:v>
                </c:pt>
                <c:pt idx="158">
                  <c:v>-4.9313805059001634</c:v>
                </c:pt>
                <c:pt idx="159">
                  <c:v>-5.0075145450107001</c:v>
                </c:pt>
                <c:pt idx="160">
                  <c:v>-5.0831583778937954</c:v>
                </c:pt>
                <c:pt idx="161">
                  <c:v>-5.1583213264025325</c:v>
                </c:pt>
                <c:pt idx="162">
                  <c:v>-5.2330124766889705</c:v>
                </c:pt>
                <c:pt idx="163">
                  <c:v>-5.3072406871242492</c:v>
                </c:pt>
                <c:pt idx="164">
                  <c:v>-5.3810145958821884</c:v>
                </c:pt>
                <c:pt idx="165">
                  <c:v>-5.4543426282033067</c:v>
                </c:pt>
                <c:pt idx="166">
                  <c:v>-5.5272330033554082</c:v>
                </c:pt>
                <c:pt idx="167">
                  <c:v>-5.5996937413056935</c:v>
                </c:pt>
                <c:pt idx="168">
                  <c:v>-5.6717326691187235</c:v>
                </c:pt>
                <c:pt idx="169">
                  <c:v>-5.7433574270936782</c:v>
                </c:pt>
                <c:pt idx="170">
                  <c:v>-5.8145754746534362</c:v>
                </c:pt>
                <c:pt idx="171">
                  <c:v>-5.8853940959976372</c:v>
                </c:pt>
                <c:pt idx="172">
                  <c:v>-5.9558204055307726</c:v>
                </c:pt>
                <c:pt idx="173">
                  <c:v>-6.0258613530761753</c:v>
                </c:pt>
                <c:pt idx="174">
                  <c:v>-6.0955237288858886</c:v>
                </c:pt>
                <c:pt idx="175">
                  <c:v>-6.1648141684559281</c:v>
                </c:pt>
                <c:pt idx="176">
                  <c:v>-6.2337391571560161</c:v>
                </c:pt>
                <c:pt idx="177">
                  <c:v>-6.3023050346823153</c:v>
                </c:pt>
                <c:pt idx="178">
                  <c:v>-6.3705179993411623</c:v>
                </c:pt>
                <c:pt idx="179">
                  <c:v>-6.4383841121715859</c:v>
                </c:pt>
                <c:pt idx="180">
                  <c:v>-6.5059093009137214</c:v>
                </c:pt>
                <c:pt idx="181">
                  <c:v>-6.5730993638301696</c:v>
                </c:pt>
                <c:pt idx="182">
                  <c:v>-6.6399599733866266</c:v>
                </c:pt>
                <c:pt idx="183">
                  <c:v>-6.7064966797981249</c:v>
                </c:pt>
                <c:pt idx="184">
                  <c:v>-6.7727149144467429</c:v>
                </c:pt>
                <c:pt idx="185">
                  <c:v>-6.8386199931762395</c:v>
                </c:pt>
                <c:pt idx="186">
                  <c:v>-6.9042171194690773</c:v>
                </c:pt>
                <c:pt idx="187">
                  <c:v>-6.9695113875107868</c:v>
                </c:pt>
                <c:pt idx="188">
                  <c:v>-7.0345077851463955</c:v>
                </c:pt>
                <c:pt idx="189">
                  <c:v>-7.0992111967336422</c:v>
                </c:pt>
                <c:pt idx="190">
                  <c:v>-7.1636264058971344</c:v>
                </c:pt>
                <c:pt idx="191">
                  <c:v>-7.2277580981876755</c:v>
                </c:pt>
                <c:pt idx="192">
                  <c:v>-7.2916108636506429</c:v>
                </c:pt>
                <c:pt idx="193">
                  <c:v>-7.3551891993071727</c:v>
                </c:pt>
                <c:pt idx="194">
                  <c:v>-7.4184975115516796</c:v>
                </c:pt>
                <c:pt idx="195">
                  <c:v>-7.4815401184691419</c:v>
                </c:pt>
                <c:pt idx="196">
                  <c:v>-7.5443212520753526</c:v>
                </c:pt>
                <c:pt idx="197">
                  <c:v>-7.6068450604832636</c:v>
                </c:pt>
                <c:pt idx="198">
                  <c:v>-7.6691156099982569</c:v>
                </c:pt>
                <c:pt idx="199">
                  <c:v>-7.7311368871453281</c:v>
                </c:pt>
                <c:pt idx="200">
                  <c:v>-7.7929128006306714</c:v>
                </c:pt>
                <c:pt idx="201">
                  <c:v>-7.854447183240346</c:v>
                </c:pt>
                <c:pt idx="202">
                  <c:v>-7.9157437936784287</c:v>
                </c:pt>
                <c:pt idx="203">
                  <c:v>-7.9768063183469629</c:v>
                </c:pt>
                <c:pt idx="204">
                  <c:v>-8.0376383730699814</c:v>
                </c:pt>
                <c:pt idx="205">
                  <c:v>-8.0982435047636852</c:v>
                </c:pt>
                <c:pt idx="206">
                  <c:v>-8.1586251930548563</c:v>
                </c:pt>
                <c:pt idx="207">
                  <c:v>-8.2187868518494351</c:v>
                </c:pt>
                <c:pt idx="208">
                  <c:v>-8.2787318308531095</c:v>
                </c:pt>
                <c:pt idx="209">
                  <c:v>-8.3384634170457357</c:v>
                </c:pt>
                <c:pt idx="210">
                  <c:v>-8.3979848361112861</c:v>
                </c:pt>
                <c:pt idx="211">
                  <c:v>-8.4572992538249299</c:v>
                </c:pt>
                <c:pt idx="212">
                  <c:v>-8.5164097773988701</c:v>
                </c:pt>
                <c:pt idx="213">
                  <c:v>-8.575319456788387</c:v>
                </c:pt>
                <c:pt idx="214">
                  <c:v>-8.6340312859595567</c:v>
                </c:pt>
                <c:pt idx="215">
                  <c:v>-8.6925482041199853</c:v>
                </c:pt>
                <c:pt idx="216">
                  <c:v>-8.7508730969139439</c:v>
                </c:pt>
                <c:pt idx="217">
                  <c:v>-8.8090087975831093</c:v>
                </c:pt>
                <c:pt idx="218">
                  <c:v>-8.8669580880941599</c:v>
                </c:pt>
                <c:pt idx="219">
                  <c:v>-8.9247237002343791</c:v>
                </c:pt>
                <c:pt idx="220">
                  <c:v>-8.9823083166763844</c:v>
                </c:pt>
                <c:pt idx="221">
                  <c:v>-9.0397145720130876</c:v>
                </c:pt>
                <c:pt idx="222">
                  <c:v>-9.0969450537638501</c:v>
                </c:pt>
                <c:pt idx="223">
                  <c:v>-9.1540023033529199</c:v>
                </c:pt>
                <c:pt idx="224">
                  <c:v>-9.2108888170609777</c:v>
                </c:pt>
                <c:pt idx="225">
                  <c:v>-9.2676070469508538</c:v>
                </c:pt>
                <c:pt idx="226">
                  <c:v>-9.8260433070586206</c:v>
                </c:pt>
                <c:pt idx="227">
                  <c:v>-10.37005195596085</c:v>
                </c:pt>
                <c:pt idx="228">
                  <c:v>-10.901476751053323</c:v>
                </c:pt>
                <c:pt idx="229">
                  <c:v>-11.421870038413289</c:v>
                </c:pt>
                <c:pt idx="230">
                  <c:v>-11.932539984317966</c:v>
                </c:pt>
                <c:pt idx="231">
                  <c:v>-12.434588519680599</c:v>
                </c:pt>
                <c:pt idx="232">
                  <c:v>-12.928942317722822</c:v>
                </c:pt>
                <c:pt idx="233">
                  <c:v>-13.416378463444246</c:v>
                </c:pt>
                <c:pt idx="234">
                  <c:v>-13.897546012141229</c:v>
                </c:pt>
                <c:pt idx="235">
                  <c:v>-14.372984308745711</c:v>
                </c:pt>
                <c:pt idx="236">
                  <c:v>-14.843138708067922</c:v>
                </c:pt>
                <c:pt idx="237">
                  <c:v>-15.308374170162091</c:v>
                </c:pt>
                <c:pt idx="238">
                  <c:v>-15.768987085963031</c:v>
                </c:pt>
                <c:pt idx="239">
                  <c:v>-16.225215602837931</c:v>
                </c:pt>
                <c:pt idx="240">
                  <c:v>-16.677248658393594</c:v>
                </c:pt>
                <c:pt idx="241">
                  <c:v>-17.125233887029172</c:v>
                </c:pt>
                <c:pt idx="242">
                  <c:v>-17.569284532411118</c:v>
                </c:pt>
                <c:pt idx="243">
                  <c:v>-18.009485476662679</c:v>
                </c:pt>
                <c:pt idx="244">
                  <c:v>-18.445898480952362</c:v>
                </c:pt>
                <c:pt idx="245">
                  <c:v>-18.878566720392303</c:v>
                </c:pt>
                <c:pt idx="246">
                  <c:v>-19.307518687312822</c:v>
                </c:pt>
                <c:pt idx="247">
                  <c:v>-19.732771530061065</c:v>
                </c:pt>
                <c:pt idx="248">
                  <c:v>-20.154333888783253</c:v>
                </c:pt>
                <c:pt idx="249">
                  <c:v>-20.572208284722286</c:v>
                </c:pt>
                <c:pt idx="250">
                  <c:v>-20.986393115094138</c:v>
                </c:pt>
                <c:pt idx="251">
                  <c:v>-21.396884301415874</c:v>
                </c:pt>
                <c:pt idx="252">
                  <c:v>-21.803676635147639</c:v>
                </c:pt>
                <c:pt idx="253">
                  <c:v>-22.206764860637858</c:v>
                </c:pt>
                <c:pt idx="254">
                  <c:v>-22.60614453161773</c:v>
                </c:pt>
                <c:pt idx="255">
                  <c:v>-23.00181267388929</c:v>
                </c:pt>
                <c:pt idx="256">
                  <c:v>-23.393768283411497</c:v>
                </c:pt>
                <c:pt idx="257">
                  <c:v>-23.782012685733477</c:v>
                </c:pt>
                <c:pt idx="258">
                  <c:v>-24.166549779673083</c:v>
                </c:pt>
                <c:pt idx="259">
                  <c:v>-24.547386185307708</c:v>
                </c:pt>
                <c:pt idx="260">
                  <c:v>-24.924531313741795</c:v>
                </c:pt>
                <c:pt idx="261">
                  <c:v>-25.297997373745638</c:v>
                </c:pt>
                <c:pt idx="262">
                  <c:v>-25.667799328220827</c:v>
                </c:pt>
                <c:pt idx="263">
                  <c:v>-26.033954811532396</c:v>
                </c:pt>
                <c:pt idx="264">
                  <c:v>-26.396484017047133</c:v>
                </c:pt>
                <c:pt idx="265">
                  <c:v>-26.755409562717773</c:v>
                </c:pt>
                <c:pt idx="266">
                  <c:v>-27.110756341240787</c:v>
                </c:pt>
                <c:pt idx="267">
                  <c:v>-27.462551360174473</c:v>
                </c:pt>
                <c:pt idx="268">
                  <c:v>-27.810823576419072</c:v>
                </c:pt>
                <c:pt idx="269">
                  <c:v>-28.15560372861567</c:v>
                </c:pt>
                <c:pt idx="270">
                  <c:v>-28.496924170299977</c:v>
                </c:pt>
                <c:pt idx="271">
                  <c:v>-28.834818706037385</c:v>
                </c:pt>
                <c:pt idx="272">
                  <c:v>-29.169322432251931</c:v>
                </c:pt>
                <c:pt idx="273">
                  <c:v>-29.500471584033253</c:v>
                </c:pt>
                <c:pt idx="274">
                  <c:v>-29.828303388849609</c:v>
                </c:pt>
                <c:pt idx="275">
                  <c:v>-30.15285592780198</c:v>
                </c:pt>
                <c:pt idx="276">
                  <c:v>-30.47416800481556</c:v>
                </c:pt>
                <c:pt idx="277">
                  <c:v>-30.792279023971446</c:v>
                </c:pt>
                <c:pt idx="278">
                  <c:v>-31.107228875027218</c:v>
                </c:pt>
                <c:pt idx="279">
                  <c:v>-31.41905782705323</c:v>
                </c:pt>
                <c:pt idx="280">
                  <c:v>-31.727806430017225</c:v>
                </c:pt>
                <c:pt idx="281">
                  <c:v>-32.033515424078367</c:v>
                </c:pt>
                <c:pt idx="282">
                  <c:v>-32.336225656298751</c:v>
                </c:pt>
                <c:pt idx="283">
                  <c:v>-32.635978004443565</c:v>
                </c:pt>
                <c:pt idx="284">
                  <c:v>-32.932813307515879</c:v>
                </c:pt>
                <c:pt idx="285">
                  <c:v>-33.22677230265792</c:v>
                </c:pt>
                <c:pt idx="286">
                  <c:v>-33.51789556804394</c:v>
                </c:pt>
                <c:pt idx="287">
                  <c:v>-33.806223471389998</c:v>
                </c:pt>
                <c:pt idx="288">
                  <c:v>-34.091796123710971</c:v>
                </c:pt>
                <c:pt idx="289">
                  <c:v>-34.37465333796397</c:v>
                </c:pt>
                <c:pt idx="290">
                  <c:v>-34.654834592229008</c:v>
                </c:pt>
                <c:pt idx="291">
                  <c:v>-34.932378997091782</c:v>
                </c:pt>
                <c:pt idx="292">
                  <c:v>-35.207325266908548</c:v>
                </c:pt>
                <c:pt idx="293">
                  <c:v>-35.47971169464909</c:v>
                </c:pt>
                <c:pt idx="294">
                  <c:v>-35.749576130030825</c:v>
                </c:pt>
                <c:pt idx="295">
                  <c:v>-36.01695596067345</c:v>
                </c:pt>
                <c:pt idx="296">
                  <c:v>-36.281888096020424</c:v>
                </c:pt>
                <c:pt idx="297">
                  <c:v>-36.544408953790061</c:v>
                </c:pt>
                <c:pt idx="298">
                  <c:v>-36.804554448734784</c:v>
                </c:pt>
                <c:pt idx="299">
                  <c:v>-37.062359983502418</c:v>
                </c:pt>
                <c:pt idx="300">
                  <c:v>-37.317860441408378</c:v>
                </c:pt>
                <c:pt idx="301">
                  <c:v>-37.571090180941319</c:v>
                </c:pt>
                <c:pt idx="302">
                  <c:v>-37.822083031838247</c:v>
                </c:pt>
                <c:pt idx="303">
                  <c:v>-38.070872292577846</c:v>
                </c:pt>
                <c:pt idx="304">
                  <c:v>-38.317490729152034</c:v>
                </c:pt>
                <c:pt idx="305">
                  <c:v>-38.561970574987498</c:v>
                </c:pt>
                <c:pt idx="306">
                  <c:v>-38.804343531898809</c:v>
                </c:pt>
                <c:pt idx="307">
                  <c:v>-39.044640771964666</c:v>
                </c:pt>
                <c:pt idx="308">
                  <c:v>-39.282892940227597</c:v>
                </c:pt>
                <c:pt idx="309">
                  <c:v>-39.519130158126082</c:v>
                </c:pt>
                <c:pt idx="310">
                  <c:v>-39.753382027575469</c:v>
                </c:pt>
                <c:pt idx="311">
                  <c:v>-39.985677635621556</c:v>
                </c:pt>
                <c:pt idx="312">
                  <c:v>-40.216045559597191</c:v>
                </c:pt>
                <c:pt idx="313">
                  <c:v>-40.444513872718247</c:v>
                </c:pt>
                <c:pt idx="314">
                  <c:v>-40.671110150061345</c:v>
                </c:pt>
                <c:pt idx="315">
                  <c:v>-40.895861474870543</c:v>
                </c:pt>
                <c:pt idx="316">
                  <c:v>-41.118794445145149</c:v>
                </c:pt>
                <c:pt idx="317">
                  <c:v>-41.339935180465382</c:v>
                </c:pt>
                <c:pt idx="318">
                  <c:v>-41.559309329016294</c:v>
                </c:pt>
                <c:pt idx="319">
                  <c:v>-41.776942074774482</c:v>
                </c:pt>
                <c:pt idx="320">
                  <c:v>-41.992858144825249</c:v>
                </c:pt>
                <c:pt idx="321">
                  <c:v>-42.207081816781155</c:v>
                </c:pt>
                <c:pt idx="322">
                  <c:v>-42.4196369262757</c:v>
                </c:pt>
                <c:pt idx="323">
                  <c:v>-42.630546874508454</c:v>
                </c:pt>
                <c:pt idx="324">
                  <c:v>-42.83983463582058</c:v>
                </c:pt>
                <c:pt idx="325">
                  <c:v>-43.047522765281549</c:v>
                </c:pt>
                <c:pt idx="326">
                  <c:v>-43.253633406270033</c:v>
                </c:pt>
                <c:pt idx="327">
                  <c:v>-43.458188298034031</c:v>
                </c:pt>
                <c:pt idx="328">
                  <c:v>-43.661208783216324</c:v>
                </c:pt>
                <c:pt idx="329">
                  <c:v>-43.86271581533353</c:v>
                </c:pt>
                <c:pt idx="330">
                  <c:v>-44.06272996619802</c:v>
                </c:pt>
                <c:pt idx="331">
                  <c:v>-44.261271433273492</c:v>
                </c:pt>
                <c:pt idx="332">
                  <c:v>-44.458360046955683</c:v>
                </c:pt>
                <c:pt idx="333">
                  <c:v>-44.654015277771471</c:v>
                </c:pt>
                <c:pt idx="334">
                  <c:v>-44.848256243489729</c:v>
                </c:pt>
                <c:pt idx="335">
                  <c:v>-45.041101716138968</c:v>
                </c:pt>
                <c:pt idx="336">
                  <c:v>-45.232570128926845</c:v>
                </c:pt>
                <c:pt idx="337">
                  <c:v>-45.422679583057928</c:v>
                </c:pt>
                <c:pt idx="338">
                  <c:v>-45.611447854446382</c:v>
                </c:pt>
                <c:pt idx="339">
                  <c:v>-45.798892400320845</c:v>
                </c:pt>
                <c:pt idx="340">
                  <c:v>-45.985030365719552</c:v>
                </c:pt>
                <c:pt idx="341">
                  <c:v>-46.169878589873854</c:v>
                </c:pt>
                <c:pt idx="342">
                  <c:v>-46.353453612479015</c:v>
                </c:pt>
                <c:pt idx="343">
                  <c:v>-46.535771679851472</c:v>
                </c:pt>
                <c:pt idx="344">
                  <c:v>-46.716848750971764</c:v>
                </c:pt>
                <c:pt idx="345">
                  <c:v>-46.896700503413307</c:v>
                </c:pt>
                <c:pt idx="346">
                  <c:v>-47.075342339156883</c:v>
                </c:pt>
                <c:pt idx="347">
                  <c:v>-47.252789390291021</c:v>
                </c:pt>
                <c:pt idx="348">
                  <c:v>-47.429056524599041</c:v>
                </c:pt>
                <c:pt idx="349">
                  <c:v>-47.604158351033384</c:v>
                </c:pt>
                <c:pt idx="350">
                  <c:v>-47.778109225078033</c:v>
                </c:pt>
                <c:pt idx="351">
                  <c:v>-47.950923254000116</c:v>
                </c:pt>
                <c:pt idx="352">
                  <c:v>-48.122614301991987</c:v>
                </c:pt>
                <c:pt idx="353">
                  <c:v>-48.293195995204741</c:v>
                </c:pt>
                <c:pt idx="354">
                  <c:v>-48.462681726674965</c:v>
                </c:pt>
                <c:pt idx="355">
                  <c:v>-48.631084661145785</c:v>
                </c:pt>
                <c:pt idx="356">
                  <c:v>-48.79841773978405</c:v>
                </c:pt>
                <c:pt idx="357">
                  <c:v>-48.964693684795066</c:v>
                </c:pt>
                <c:pt idx="358">
                  <c:v>-49.129925003936592</c:v>
                </c:pt>
                <c:pt idx="359">
                  <c:v>-49.294123994933841</c:v>
                </c:pt>
                <c:pt idx="360">
                  <c:v>-49.457302749797151</c:v>
                </c:pt>
                <c:pt idx="361">
                  <c:v>-49.619473159043963</c:v>
                </c:pt>
                <c:pt idx="362">
                  <c:v>-49.780646915827191</c:v>
                </c:pt>
                <c:pt idx="363">
                  <c:v>-49.940835519971422</c:v>
                </c:pt>
                <c:pt idx="364">
                  <c:v>-50.100050281918946</c:v>
                </c:pt>
                <c:pt idx="365">
                  <c:v>-50.258302326587341</c:v>
                </c:pt>
                <c:pt idx="366">
                  <c:v>-50.415602597140435</c:v>
                </c:pt>
                <c:pt idx="367">
                  <c:v>-50.571961858674321</c:v>
                </c:pt>
                <c:pt idx="368">
                  <c:v>-50.727390701820397</c:v>
                </c:pt>
                <c:pt idx="369">
                  <c:v>-50.881899546267036</c:v>
                </c:pt>
                <c:pt idx="370">
                  <c:v>-51.035498644201652</c:v>
                </c:pt>
                <c:pt idx="371">
                  <c:v>-51.188198083675005</c:v>
                </c:pt>
                <c:pt idx="372">
                  <c:v>-51.340007791889306</c:v>
                </c:pt>
                <c:pt idx="373">
                  <c:v>-51.49093753841197</c:v>
                </c:pt>
                <c:pt idx="374">
                  <c:v>-51.640996938316526</c:v>
                </c:pt>
                <c:pt idx="375">
                  <c:v>-51.790195455252473</c:v>
                </c:pt>
                <c:pt idx="376">
                  <c:v>-51.938542404445599</c:v>
                </c:pt>
                <c:pt idx="377">
                  <c:v>-52.086046955630465</c:v>
                </c:pt>
                <c:pt idx="378">
                  <c:v>-52.232718135916478</c:v>
                </c:pt>
                <c:pt idx="379">
                  <c:v>-52.378564832589248</c:v>
                </c:pt>
                <c:pt idx="380">
                  <c:v>-52.523595795848628</c:v>
                </c:pt>
                <c:pt idx="381">
                  <c:v>-52.667819641484961</c:v>
                </c:pt>
                <c:pt idx="382">
                  <c:v>-52.811244853495012</c:v>
                </c:pt>
                <c:pt idx="383">
                  <c:v>-52.953879786638993</c:v>
                </c:pt>
                <c:pt idx="384">
                  <c:v>-53.095732668940094</c:v>
                </c:pt>
                <c:pt idx="385">
                  <c:v>-53.236811604127794</c:v>
                </c:pt>
                <c:pt idx="386">
                  <c:v>-53.377124574026467</c:v>
                </c:pt>
                <c:pt idx="387">
                  <c:v>-53.516679440890478</c:v>
                </c:pt>
                <c:pt idx="388">
                  <c:v>-53.655483949687024</c:v>
                </c:pt>
                <c:pt idx="389">
                  <c:v>-53.793545730328105</c:v>
                </c:pt>
                <c:pt idx="390">
                  <c:v>-53.93087229985268</c:v>
                </c:pt>
                <c:pt idx="391">
                  <c:v>-54.067471064560394</c:v>
                </c:pt>
                <c:pt idx="392">
                  <c:v>-54.203349322097907</c:v>
                </c:pt>
                <c:pt idx="393">
                  <c:v>-54.338514263498972</c:v>
                </c:pt>
                <c:pt idx="394">
                  <c:v>-54.472972975179495</c:v>
                </c:pt>
                <c:pt idx="395">
                  <c:v>-54.606732440888557</c:v>
                </c:pt>
                <c:pt idx="396">
                  <c:v>-54.73979954361652</c:v>
                </c:pt>
                <c:pt idx="397">
                  <c:v>-54.872181067461185</c:v>
                </c:pt>
                <c:pt idx="398">
                  <c:v>-55.003883699453134</c:v>
                </c:pt>
                <c:pt idx="399">
                  <c:v>-55.134914031341168</c:v>
                </c:pt>
                <c:pt idx="400">
                  <c:v>-55.265278561338732</c:v>
                </c:pt>
                <c:pt idx="401">
                  <c:v>-55.394983695832479</c:v>
                </c:pt>
                <c:pt idx="402">
                  <c:v>-55.524035751053724</c:v>
                </c:pt>
                <c:pt idx="403">
                  <c:v>-55.65244095471364</c:v>
                </c:pt>
                <c:pt idx="404">
                  <c:v>-55.780205447603279</c:v>
                </c:pt>
                <c:pt idx="405">
                  <c:v>-55.907335285159114</c:v>
                </c:pt>
                <c:pt idx="406">
                  <c:v>-56.033836438994875</c:v>
                </c:pt>
                <c:pt idx="407">
                  <c:v>-56.159714798400714</c:v>
                </c:pt>
                <c:pt idx="408">
                  <c:v>-56.284976171810264</c:v>
                </c:pt>
                <c:pt idx="409">
                  <c:v>-56.409626288236474</c:v>
                </c:pt>
                <c:pt idx="410">
                  <c:v>-56.533670798676951</c:v>
                </c:pt>
                <c:pt idx="411">
                  <c:v>-56.657115277489481</c:v>
                </c:pt>
                <c:pt idx="412">
                  <c:v>-56.779965223738664</c:v>
                </c:pt>
                <c:pt idx="413">
                  <c:v>-56.902226062513897</c:v>
                </c:pt>
                <c:pt idx="414">
                  <c:v>-57.023903146219972</c:v>
                </c:pt>
                <c:pt idx="415">
                  <c:v>-57.145001755840468</c:v>
                </c:pt>
                <c:pt idx="416">
                  <c:v>-57.265527102174772</c:v>
                </c:pt>
                <c:pt idx="417">
                  <c:v>-57.385484327049468</c:v>
                </c:pt>
                <c:pt idx="418">
                  <c:v>-57.50487850450439</c:v>
                </c:pt>
                <c:pt idx="419">
                  <c:v>-57.623714641954265</c:v>
                </c:pt>
                <c:pt idx="420">
                  <c:v>-57.741997681326367</c:v>
                </c:pt>
                <c:pt idx="421">
                  <c:v>-57.859732500174673</c:v>
                </c:pt>
                <c:pt idx="422">
                  <c:v>-57.976923912771269</c:v>
                </c:pt>
                <c:pt idx="423">
                  <c:v>-58.093576671175349</c:v>
                </c:pt>
                <c:pt idx="424">
                  <c:v>-58.209695466280458</c:v>
                </c:pt>
                <c:pt idx="425">
                  <c:v>-58.325284928840489</c:v>
                </c:pt>
                <c:pt idx="426">
                  <c:v>-58.440349630474742</c:v>
                </c:pt>
                <c:pt idx="427">
                  <c:v>-58.55489408465283</c:v>
                </c:pt>
                <c:pt idx="428">
                  <c:v>-58.668922747659636</c:v>
                </c:pt>
                <c:pt idx="429">
                  <c:v>-58.782440019540935</c:v>
                </c:pt>
                <c:pt idx="430">
                  <c:v>-58.895450245030112</c:v>
                </c:pt>
                <c:pt idx="431">
                  <c:v>-59.007957714456303</c:v>
                </c:pt>
                <c:pt idx="432">
                  <c:v>-59.119966664634518</c:v>
                </c:pt>
                <c:pt idx="433">
                  <c:v>-59.231481279738119</c:v>
                </c:pt>
                <c:pt idx="434">
                  <c:v>-59.342505692154013</c:v>
                </c:pt>
                <c:pt idx="435">
                  <c:v>-59.453043983320953</c:v>
                </c:pt>
                <c:pt idx="436">
                  <c:v>-59.563100184551459</c:v>
                </c:pt>
                <c:pt idx="437">
                  <c:v>-59.672678277837562</c:v>
                </c:pt>
                <c:pt idx="438">
                  <c:v>-59.781782196640791</c:v>
                </c:pt>
                <c:pt idx="439">
                  <c:v>-59.890415826666874</c:v>
                </c:pt>
                <c:pt idx="440">
                  <c:v>-59.998583006625338</c:v>
                </c:pt>
                <c:pt idx="441">
                  <c:v>-60.106287528974335</c:v>
                </c:pt>
                <c:pt idx="442">
                  <c:v>-60.213533140651315</c:v>
                </c:pt>
                <c:pt idx="443">
                  <c:v>-60.320323543789414</c:v>
                </c:pt>
                <c:pt idx="444">
                  <c:v>-60.426662396420248</c:v>
                </c:pt>
                <c:pt idx="445">
                  <c:v>-60.532553313163277</c:v>
                </c:pt>
                <c:pt idx="446">
                  <c:v>-60.637999865901932</c:v>
                </c:pt>
                <c:pt idx="447">
                  <c:v>-60.743005584447062</c:v>
                </c:pt>
                <c:pt idx="448">
                  <c:v>-60.847573957187706</c:v>
                </c:pt>
                <c:pt idx="449">
                  <c:v>-60.95170843172955</c:v>
                </c:pt>
                <c:pt idx="450">
                  <c:v>-61.055412415521566</c:v>
                </c:pt>
                <c:pt idx="451">
                  <c:v>-61.158689276470682</c:v>
                </c:pt>
                <c:pt idx="452">
                  <c:v>-61.261542343545081</c:v>
                </c:pt>
                <c:pt idx="453">
                  <c:v>-61.363974907366241</c:v>
                </c:pt>
                <c:pt idx="454">
                  <c:v>-61.465990220789983</c:v>
                </c:pt>
                <c:pt idx="455">
                  <c:v>-61.56759149947672</c:v>
                </c:pt>
                <c:pt idx="456">
                  <c:v>-61.668781922451203</c:v>
                </c:pt>
                <c:pt idx="457">
                  <c:v>-61.769564632651999</c:v>
                </c:pt>
                <c:pt idx="458">
                  <c:v>-61.869942737470836</c:v>
                </c:pt>
                <c:pt idx="459">
                  <c:v>-61.969919309282119</c:v>
                </c:pt>
                <c:pt idx="460">
                  <c:v>-62.069497385962755</c:v>
                </c:pt>
                <c:pt idx="461">
                  <c:v>-62.168679971402625</c:v>
                </c:pt>
                <c:pt idx="462">
                  <c:v>-62.267470036005648</c:v>
                </c:pt>
                <c:pt idx="463">
                  <c:v>-62.365870517181975</c:v>
                </c:pt>
                <c:pt idx="464">
                  <c:v>-62.46388431983118</c:v>
                </c:pt>
                <c:pt idx="465">
                  <c:v>-62.561514316816861</c:v>
                </c:pt>
                <c:pt idx="466">
                  <c:v>-62.658763349432704</c:v>
                </c:pt>
                <c:pt idx="467">
                  <c:v>-62.75563422786027</c:v>
                </c:pt>
                <c:pt idx="468">
                  <c:v>-62.852129731618611</c:v>
                </c:pt>
                <c:pt idx="469">
                  <c:v>-62.948252610005937</c:v>
                </c:pt>
                <c:pt idx="470">
                  <c:v>-63.044005582533472</c:v>
                </c:pt>
                <c:pt idx="471">
                  <c:v>-63.139391339351647</c:v>
                </c:pt>
                <c:pt idx="472">
                  <c:v>-63.234412541668839</c:v>
                </c:pt>
                <c:pt idx="473">
                  <c:v>-63.32907182216276</c:v>
                </c:pt>
                <c:pt idx="474">
                  <c:v>-63.423371785384688</c:v>
                </c:pt>
                <c:pt idx="475">
                  <c:v>-63.517315008156601</c:v>
                </c:pt>
                <c:pt idx="476">
                  <c:v>-63.610904039961518</c:v>
                </c:pt>
                <c:pt idx="477">
                  <c:v>-63.704141403326979</c:v>
                </c:pt>
                <c:pt idx="478">
                  <c:v>-63.797029594202044</c:v>
                </c:pt>
                <c:pt idx="479">
                  <c:v>-63.889571082327656</c:v>
                </c:pt>
                <c:pt idx="480">
                  <c:v>-63.981768311600796</c:v>
                </c:pt>
                <c:pt idx="481">
                  <c:v>-64.07362370043235</c:v>
                </c:pt>
                <c:pt idx="482">
                  <c:v>-64.165139642098865</c:v>
                </c:pt>
                <c:pt idx="483">
                  <c:v>-64.256318505088373</c:v>
                </c:pt>
                <c:pt idx="484">
                  <c:v>-64.347162633440334</c:v>
                </c:pt>
                <c:pt idx="485">
                  <c:v>-64.437674347079877</c:v>
                </c:pt>
                <c:pt idx="486">
                  <c:v>-64.527855942146374</c:v>
                </c:pt>
                <c:pt idx="487">
                  <c:v>-64.617709691316477</c:v>
                </c:pt>
                <c:pt idx="488">
                  <c:v>-64.707237844121849</c:v>
                </c:pt>
                <c:pt idx="489">
                  <c:v>-64.796442627261499</c:v>
                </c:pt>
                <c:pt idx="490">
                  <c:v>-64.885326244908995</c:v>
                </c:pt>
                <c:pt idx="491">
                  <c:v>-64.973890879014547</c:v>
                </c:pt>
                <c:pt idx="492">
                  <c:v>-65.062138689602065</c:v>
                </c:pt>
                <c:pt idx="493">
                  <c:v>-65.150071815061381</c:v>
                </c:pt>
                <c:pt idx="494">
                  <c:v>-65.237692372435689</c:v>
                </c:pt>
                <c:pt idx="495">
                  <c:v>-65.325002457704187</c:v>
                </c:pt>
                <c:pt idx="496">
                  <c:v>-65.412004146060127</c:v>
                </c:pt>
                <c:pt idx="497">
                  <c:v>-65.498699492184471</c:v>
                </c:pt>
                <c:pt idx="498">
                  <c:v>-65.585090530514861</c:v>
                </c:pt>
                <c:pt idx="499">
                  <c:v>-65.671179275510468</c:v>
                </c:pt>
                <c:pt idx="500">
                  <c:v>-65.756967721912389</c:v>
                </c:pt>
                <c:pt idx="501">
                  <c:v>-65.842457845000055</c:v>
                </c:pt>
                <c:pt idx="502">
                  <c:v>-65.927651600843248</c:v>
                </c:pt>
                <c:pt idx="503">
                  <c:v>-66.012550926550318</c:v>
                </c:pt>
                <c:pt idx="504">
                  <c:v>-66.097157740512401</c:v>
                </c:pt>
                <c:pt idx="505">
                  <c:v>-66.18147394264362</c:v>
                </c:pt>
                <c:pt idx="506">
                  <c:v>-66.26550141461766</c:v>
                </c:pt>
                <c:pt idx="507">
                  <c:v>-66.349242020100434</c:v>
                </c:pt>
                <c:pt idx="508">
                  <c:v>-66.432697604979211</c:v>
                </c:pt>
                <c:pt idx="509">
                  <c:v>-66.515869997588069</c:v>
                </c:pt>
                <c:pt idx="510">
                  <c:v>-66.598761008929841</c:v>
                </c:pt>
                <c:pt idx="511">
                  <c:v>-66.681372432894577</c:v>
                </c:pt>
                <c:pt idx="512">
                  <c:v>-66.76370604647461</c:v>
                </c:pt>
                <c:pt idx="513">
                  <c:v>-66.84576360997626</c:v>
                </c:pt>
                <c:pt idx="514">
                  <c:v>-66.927546867228344</c:v>
                </c:pt>
                <c:pt idx="515">
                  <c:v>-67.009057545787272</c:v>
                </c:pt>
                <c:pt idx="516">
                  <c:v>-67.090297357139249</c:v>
                </c:pt>
                <c:pt idx="517">
                  <c:v>-67.17126799689909</c:v>
                </c:pt>
                <c:pt idx="518">
                  <c:v>-67.251971145006209</c:v>
                </c:pt>
                <c:pt idx="519">
                  <c:v>-67.332408465917524</c:v>
                </c:pt>
                <c:pt idx="520">
                  <c:v>-67.41258160879741</c:v>
                </c:pt>
                <c:pt idx="521">
                  <c:v>-67.492492207704757</c:v>
                </c:pt>
                <c:pt idx="522">
                  <c:v>-67.57214188177727</c:v>
                </c:pt>
                <c:pt idx="523">
                  <c:v>-67.65153223541293</c:v>
                </c:pt>
                <c:pt idx="524">
                  <c:v>-67.730664858448677</c:v>
                </c:pt>
                <c:pt idx="525">
                  <c:v>-67.809541326336543</c:v>
                </c:pt>
                <c:pt idx="526">
                  <c:v>-67.888163200316981</c:v>
                </c:pt>
                <c:pt idx="527">
                  <c:v>-67.966532027589736</c:v>
                </c:pt>
                <c:pt idx="528">
                  <c:v>-68.044649341482085</c:v>
                </c:pt>
                <c:pt idx="529">
                  <c:v>-68.122516661614696</c:v>
                </c:pt>
                <c:pt idx="530">
                  <c:v>-68.200135494064796</c:v>
                </c:pt>
                <c:pt idx="531">
                  <c:v>-68.277507331527246</c:v>
                </c:pt>
                <c:pt idx="532">
                  <c:v>-68.354633653472945</c:v>
                </c:pt>
                <c:pt idx="533">
                  <c:v>-68.431515926305138</c:v>
                </c:pt>
                <c:pt idx="534">
                  <c:v>-68.508155603513231</c:v>
                </c:pt>
                <c:pt idx="535">
                  <c:v>-68.584554125824567</c:v>
                </c:pt>
                <c:pt idx="536">
                  <c:v>-68.660712921353806</c:v>
                </c:pt>
                <c:pt idx="537">
                  <c:v>-68.73663340575024</c:v>
                </c:pt>
                <c:pt idx="538">
                  <c:v>-68.812316982342963</c:v>
                </c:pt>
                <c:pt idx="539">
                  <c:v>-68.887765042283874</c:v>
                </c:pt>
                <c:pt idx="540">
                  <c:v>-68.962978964688716</c:v>
                </c:pt>
                <c:pt idx="541">
                  <c:v>-69.037960116776048</c:v>
                </c:pt>
                <c:pt idx="542">
                  <c:v>-69.112709854004123</c:v>
                </c:pt>
                <c:pt idx="543">
                  <c:v>-69.187229520206046</c:v>
                </c:pt>
                <c:pt idx="544">
                  <c:v>-69.261520447722745</c:v>
                </c:pt>
                <c:pt idx="545">
                  <c:v>-69.33558395753424</c:v>
                </c:pt>
                <c:pt idx="546">
                  <c:v>-69.409421359388915</c:v>
                </c:pt>
                <c:pt idx="547">
                  <c:v>-69.483033951931063</c:v>
                </c:pt>
                <c:pt idx="548">
                  <c:v>-69.556423022826621</c:v>
                </c:pt>
                <c:pt idx="549">
                  <c:v>-69.629589848886994</c:v>
                </c:pt>
                <c:pt idx="550">
                  <c:v>-69.702535696191433</c:v>
                </c:pt>
                <c:pt idx="551">
                  <c:v>-69.775261820207305</c:v>
                </c:pt>
                <c:pt idx="552">
                  <c:v>-69.84776946590911</c:v>
                </c:pt>
                <c:pt idx="553">
                  <c:v>-69.920059867895489</c:v>
                </c:pt>
                <c:pt idx="554">
                  <c:v>-69.992134250504776</c:v>
                </c:pt>
                <c:pt idx="555">
                  <c:v>-70.063993827928982</c:v>
                </c:pt>
                <c:pt idx="556">
                  <c:v>-70.13563980432609</c:v>
                </c:pt>
                <c:pt idx="557">
                  <c:v>-70.207073373930882</c:v>
                </c:pt>
                <c:pt idx="558">
                  <c:v>-70.27829572116417</c:v>
                </c:pt>
                <c:pt idx="559">
                  <c:v>-70.349308020740693</c:v>
                </c:pt>
                <c:pt idx="560">
                  <c:v>-70.420111437775262</c:v>
                </c:pt>
                <c:pt idx="561">
                  <c:v>-70.490707127887788</c:v>
                </c:pt>
                <c:pt idx="562">
                  <c:v>-70.5610962373066</c:v>
                </c:pt>
                <c:pt idx="563">
                  <c:v>-70.631279902970519</c:v>
                </c:pt>
                <c:pt idx="564">
                  <c:v>-70.701259252629512</c:v>
                </c:pt>
                <c:pt idx="565">
                  <c:v>-70.771035404943959</c:v>
                </c:pt>
                <c:pt idx="566">
                  <c:v>-70.840609469582631</c:v>
                </c:pt>
                <c:pt idx="567">
                  <c:v>-70.909982547319331</c:v>
                </c:pt>
                <c:pt idx="568">
                  <c:v>-70.979155730128213</c:v>
                </c:pt>
                <c:pt idx="569">
                  <c:v>-71.048130101277877</c:v>
                </c:pt>
                <c:pt idx="570">
                  <c:v>-71.116906735424209</c:v>
                </c:pt>
                <c:pt idx="571">
                  <c:v>-71.185486698701922</c:v>
                </c:pt>
                <c:pt idx="572">
                  <c:v>-71.253871048814929</c:v>
                </c:pt>
                <c:pt idx="573">
                  <c:v>-71.322060835125569</c:v>
                </c:pt>
                <c:pt idx="574">
                  <c:v>-71.390057098742574</c:v>
                </c:pt>
                <c:pt idx="575">
                  <c:v>-71.457860872607895</c:v>
                </c:pt>
                <c:pt idx="576">
                  <c:v>-71.525473181582441</c:v>
                </c:pt>
                <c:pt idx="577">
                  <c:v>-71.592895042530643</c:v>
                </c:pt>
                <c:pt idx="578">
                  <c:v>-71.660127464403899</c:v>
                </c:pt>
                <c:pt idx="579">
                  <c:v>-71.727171448323048</c:v>
                </c:pt>
                <c:pt idx="580">
                  <c:v>-71.794027987659589</c:v>
                </c:pt>
                <c:pt idx="581">
                  <c:v>-71.860698068116008</c:v>
                </c:pt>
                <c:pt idx="582">
                  <c:v>-71.927182667805027</c:v>
                </c:pt>
                <c:pt idx="583">
                  <c:v>-71.993482757327712</c:v>
                </c:pt>
                <c:pt idx="584">
                  <c:v>-72.05959929985076</c:v>
                </c:pt>
                <c:pt idx="585">
                  <c:v>-72.125533251182688</c:v>
                </c:pt>
                <c:pt idx="586">
                  <c:v>-72.191285559849078</c:v>
                </c:pt>
                <c:pt idx="587">
                  <c:v>-72.256857167166785</c:v>
                </c:pt>
                <c:pt idx="588">
                  <c:v>-72.322249007317353</c:v>
                </c:pt>
                <c:pt idx="589">
                  <c:v>-72.387462007419359</c:v>
                </c:pt>
                <c:pt idx="590">
                  <c:v>-72.45249708759988</c:v>
                </c:pt>
                <c:pt idx="591">
                  <c:v>-72.517355161065097</c:v>
                </c:pt>
                <c:pt idx="592">
                  <c:v>-72.58203713416998</c:v>
                </c:pt>
                <c:pt idx="593">
                  <c:v>-72.646543906487068</c:v>
                </c:pt>
                <c:pt idx="594">
                  <c:v>-72.710876370874402</c:v>
                </c:pt>
                <c:pt idx="595">
                  <c:v>-72.775035413542696</c:v>
                </c:pt>
                <c:pt idx="596">
                  <c:v>-72.839021914121489</c:v>
                </c:pt>
                <c:pt idx="597">
                  <c:v>-72.902836745724628</c:v>
                </c:pt>
                <c:pt idx="598">
                  <c:v>-72.966480775014887</c:v>
                </c:pt>
                <c:pt idx="599">
                  <c:v>-73.029954862267758</c:v>
                </c:pt>
                <c:pt idx="600">
                  <c:v>-73.093259861434447</c:v>
                </c:pt>
                <c:pt idx="601">
                  <c:v>-73.15639662020422</c:v>
                </c:pt>
                <c:pt idx="602">
                  <c:v>-73.21936598006576</c:v>
                </c:pt>
                <c:pt idx="603">
                  <c:v>-73.282168776367996</c:v>
                </c:pt>
                <c:pt idx="604">
                  <c:v>-73.344805838379997</c:v>
                </c:pt>
                <c:pt idx="605">
                  <c:v>-73.407277989350263</c:v>
                </c:pt>
                <c:pt idx="606">
                  <c:v>-76.337223128881362</c:v>
                </c:pt>
                <c:pt idx="607">
                  <c:v>-78.940909102783337</c:v>
                </c:pt>
                <c:pt idx="608">
                  <c:v>-81.281132844257073</c:v>
                </c:pt>
                <c:pt idx="609">
                  <c:v>-83.404689880805321</c:v>
                </c:pt>
                <c:pt idx="610">
                  <c:v>-85.347376925443598</c:v>
                </c:pt>
                <c:pt idx="611">
                  <c:v>-87.137163752645833</c:v>
                </c:pt>
                <c:pt idx="612">
                  <c:v>-88.796288261032657</c:v>
                </c:pt>
                <c:pt idx="613">
                  <c:v>-90.342689430659604</c:v>
                </c:pt>
                <c:pt idx="614">
                  <c:v>-91.791017196141041</c:v>
                </c:pt>
                <c:pt idx="615">
                  <c:v>-93.153362674159439</c:v>
                </c:pt>
                <c:pt idx="616">
                  <c:v>-94.439797946046994</c:v>
                </c:pt>
                <c:pt idx="617">
                  <c:v>-95.658782666170481</c:v>
                </c:pt>
                <c:pt idx="618">
                  <c:v>-96.127840073039792</c:v>
                </c:pt>
                <c:pt idx="619">
                  <c:v>-96.587679116907708</c:v>
                </c:pt>
                <c:pt idx="620">
                  <c:v>-97.038685364276887</c:v>
                </c:pt>
                <c:pt idx="621">
                  <c:v>-97.481221037765522</c:v>
                </c:pt>
                <c:pt idx="622">
                  <c:v>-97.915626766068712</c:v>
                </c:pt>
                <c:pt idx="623">
                  <c:v>-98.342223179917156</c:v>
                </c:pt>
                <c:pt idx="624">
                  <c:v>-98.761312369759509</c:v>
                </c:pt>
                <c:pt idx="625">
                  <c:v>-99.173179219033329</c:v>
                </c:pt>
                <c:pt idx="626">
                  <c:v>-99.578092625282665</c:v>
                </c:pt>
                <c:pt idx="627">
                  <c:v>-99.976306619986786</c:v>
                </c:pt>
                <c:pt idx="628">
                  <c:v>-100.36806139675299</c:v>
                </c:pt>
                <c:pt idx="629">
                  <c:v>-100.75358425647012</c:v>
                </c:pt>
                <c:pt idx="630">
                  <c:v>-101.13309047709609</c:v>
                </c:pt>
                <c:pt idx="631">
                  <c:v>-101.5067841149414</c:v>
                </c:pt>
                <c:pt idx="632">
                  <c:v>-101.87485874359966</c:v>
                </c:pt>
                <c:pt idx="633">
                  <c:v>-102.23749813604715</c:v>
                </c:pt>
                <c:pt idx="634">
                  <c:v>-102.59487689487906</c:v>
                </c:pt>
                <c:pt idx="635">
                  <c:v>-102.94716103515836</c:v>
                </c:pt>
                <c:pt idx="636">
                  <c:v>-103.2945085239171</c:v>
                </c:pt>
                <c:pt idx="637">
                  <c:v>-103.63706977996196</c:v>
                </c:pt>
                <c:pt idx="638">
                  <c:v>-103.97498813728933</c:v>
                </c:pt>
                <c:pt idx="639">
                  <c:v>-104.30840027510689</c:v>
                </c:pt>
                <c:pt idx="640">
                  <c:v>-104.63743661718172</c:v>
                </c:pt>
                <c:pt idx="641">
                  <c:v>-104.96222170298751</c:v>
                </c:pt>
                <c:pt idx="642">
                  <c:v>-105.28287453289992</c:v>
                </c:pt>
                <c:pt idx="643">
                  <c:v>-105.59950888949091</c:v>
                </c:pt>
                <c:pt idx="644">
                  <c:v>-105.91223363679003</c:v>
                </c:pt>
                <c:pt idx="645">
                  <c:v>-106.22115299922052</c:v>
                </c:pt>
                <c:pt idx="646">
                  <c:v>-106.52636682176944</c:v>
                </c:pt>
                <c:pt idx="647">
                  <c:v>-106.82797081281878</c:v>
                </c:pt>
                <c:pt idx="648">
                  <c:v>-107.12605677094459</c:v>
                </c:pt>
                <c:pt idx="649">
                  <c:v>-107.4207127968812</c:v>
                </c:pt>
                <c:pt idx="650">
                  <c:v>-107.71202349174911</c:v>
                </c:pt>
                <c:pt idx="651">
                  <c:v>-108.000070142555</c:v>
                </c:pt>
                <c:pt idx="652">
                  <c:v>-108.28493089589043</c:v>
                </c:pt>
                <c:pt idx="653">
                  <c:v>-108.56668092068078</c:v>
                </c:pt>
                <c:pt idx="654">
                  <c:v>-108.84539256076891</c:v>
                </c:pt>
                <c:pt idx="655">
                  <c:v>-109.12113547805475</c:v>
                </c:pt>
                <c:pt idx="656">
                  <c:v>-109.39397678685651</c:v>
                </c:pt>
                <c:pt idx="657">
                  <c:v>-109.66398118010656</c:v>
                </c:pt>
                <c:pt idx="658">
                  <c:v>-109.93121104794808</c:v>
                </c:pt>
                <c:pt idx="659">
                  <c:v>-110.19572658925526</c:v>
                </c:pt>
                <c:pt idx="660">
                  <c:v>-110.45758591655938</c:v>
                </c:pt>
                <c:pt idx="661">
                  <c:v>-110.71684515482779</c:v>
                </c:pt>
                <c:pt idx="662">
                  <c:v>-110.97355853450821</c:v>
                </c:pt>
                <c:pt idx="663">
                  <c:v>-111.22777847922082</c:v>
                </c:pt>
                <c:pt idx="664">
                  <c:v>-111.47955568845198</c:v>
                </c:pt>
                <c:pt idx="665">
                  <c:v>-111.72893921557785</c:v>
                </c:pt>
                <c:pt idx="666">
                  <c:v>-111.9759765415216</c:v>
                </c:pt>
                <c:pt idx="667">
                  <c:v>-112.22071364432695</c:v>
                </c:pt>
              </c:numCache>
            </c:numRef>
          </c:yVal>
          <c:smooth val="1"/>
          <c:extLst>
            <c:ext xmlns:c16="http://schemas.microsoft.com/office/drawing/2014/chart" uri="{C3380CC4-5D6E-409C-BE32-E72D297353CC}">
              <c16:uniqueId val="{00000001-C323-45F5-AD89-2A9969707A73}"/>
            </c:ext>
          </c:extLst>
        </c:ser>
        <c:dLbls>
          <c:showLegendKey val="0"/>
          <c:showVal val="0"/>
          <c:showCatName val="0"/>
          <c:showSerName val="0"/>
          <c:showPercent val="0"/>
          <c:showBubbleSize val="0"/>
        </c:dLbls>
        <c:axId val="177420544"/>
        <c:axId val="177426816"/>
      </c:scatterChart>
      <c:scatterChart>
        <c:scatterStyle val="lineMarker"/>
        <c:varyColors val="0"/>
        <c:ser>
          <c:idx val="1"/>
          <c:order val="1"/>
          <c:tx>
            <c:v>PhaseMargin</c:v>
          </c:tx>
          <c:spPr>
            <a:ln w="12700">
              <a:solidFill>
                <a:srgbClr val="000000"/>
              </a:solidFill>
              <a:prstDash val="lgDash"/>
            </a:ln>
          </c:spPr>
          <c:marker>
            <c:symbol val="square"/>
            <c:size val="3"/>
            <c:spPr>
              <a:noFill/>
              <a:ln w="9525">
                <a:noFill/>
              </a:ln>
            </c:spPr>
          </c:marker>
          <c:xVal>
            <c:numRef>
              <c:f>'Bode Plots Calculations'!$A$9:$A$676</c:f>
              <c:numCache>
                <c:formatCode>General</c:formatCode>
                <c:ptCount val="668"/>
                <c:pt idx="0">
                  <c:v>1</c:v>
                </c:pt>
                <c:pt idx="1">
                  <c:v>2</c:v>
                </c:pt>
                <c:pt idx="2">
                  <c:v>3</c:v>
                </c:pt>
                <c:pt idx="3">
                  <c:v>4</c:v>
                </c:pt>
                <c:pt idx="4">
                  <c:v>5</c:v>
                </c:pt>
                <c:pt idx="5">
                  <c:v>6</c:v>
                </c:pt>
                <c:pt idx="6">
                  <c:v>7</c:v>
                </c:pt>
                <c:pt idx="7">
                  <c:v>8</c:v>
                </c:pt>
                <c:pt idx="8">
                  <c:v>9</c:v>
                </c:pt>
                <c:pt idx="9">
                  <c:v>10</c:v>
                </c:pt>
                <c:pt idx="10">
                  <c:v>20</c:v>
                </c:pt>
                <c:pt idx="11">
                  <c:v>30</c:v>
                </c:pt>
                <c:pt idx="12">
                  <c:v>40</c:v>
                </c:pt>
                <c:pt idx="13">
                  <c:v>50</c:v>
                </c:pt>
                <c:pt idx="14">
                  <c:v>60</c:v>
                </c:pt>
                <c:pt idx="15">
                  <c:v>70</c:v>
                </c:pt>
                <c:pt idx="16">
                  <c:v>80</c:v>
                </c:pt>
                <c:pt idx="17">
                  <c:v>90</c:v>
                </c:pt>
                <c:pt idx="18">
                  <c:v>100</c:v>
                </c:pt>
                <c:pt idx="19">
                  <c:v>200</c:v>
                </c:pt>
                <c:pt idx="20">
                  <c:v>300</c:v>
                </c:pt>
                <c:pt idx="21">
                  <c:v>400</c:v>
                </c:pt>
                <c:pt idx="22">
                  <c:v>500</c:v>
                </c:pt>
                <c:pt idx="23">
                  <c:v>600</c:v>
                </c:pt>
                <c:pt idx="24">
                  <c:v>700</c:v>
                </c:pt>
                <c:pt idx="25">
                  <c:v>800</c:v>
                </c:pt>
                <c:pt idx="26">
                  <c:v>900</c:v>
                </c:pt>
                <c:pt idx="27">
                  <c:v>1000</c:v>
                </c:pt>
                <c:pt idx="28">
                  <c:v>1500</c:v>
                </c:pt>
                <c:pt idx="29">
                  <c:v>2000</c:v>
                </c:pt>
                <c:pt idx="30">
                  <c:v>2500</c:v>
                </c:pt>
                <c:pt idx="31">
                  <c:v>3000</c:v>
                </c:pt>
                <c:pt idx="32">
                  <c:v>3500</c:v>
                </c:pt>
                <c:pt idx="33">
                  <c:v>4000</c:v>
                </c:pt>
                <c:pt idx="34">
                  <c:v>4500</c:v>
                </c:pt>
                <c:pt idx="35">
                  <c:v>5000</c:v>
                </c:pt>
                <c:pt idx="36">
                  <c:v>5500</c:v>
                </c:pt>
                <c:pt idx="37">
                  <c:v>6000</c:v>
                </c:pt>
                <c:pt idx="38">
                  <c:v>6500</c:v>
                </c:pt>
                <c:pt idx="39">
                  <c:v>7000</c:v>
                </c:pt>
                <c:pt idx="40">
                  <c:v>7500</c:v>
                </c:pt>
                <c:pt idx="41">
                  <c:v>8000</c:v>
                </c:pt>
                <c:pt idx="42">
                  <c:v>8500</c:v>
                </c:pt>
                <c:pt idx="43">
                  <c:v>9000</c:v>
                </c:pt>
                <c:pt idx="44">
                  <c:v>9500</c:v>
                </c:pt>
                <c:pt idx="45">
                  <c:v>10000</c:v>
                </c:pt>
                <c:pt idx="46">
                  <c:v>10500</c:v>
                </c:pt>
                <c:pt idx="47">
                  <c:v>11000</c:v>
                </c:pt>
                <c:pt idx="48">
                  <c:v>11500</c:v>
                </c:pt>
                <c:pt idx="49">
                  <c:v>12000</c:v>
                </c:pt>
                <c:pt idx="50">
                  <c:v>12500</c:v>
                </c:pt>
                <c:pt idx="51">
                  <c:v>13000</c:v>
                </c:pt>
                <c:pt idx="52">
                  <c:v>13500</c:v>
                </c:pt>
                <c:pt idx="53">
                  <c:v>14000</c:v>
                </c:pt>
                <c:pt idx="54">
                  <c:v>14500</c:v>
                </c:pt>
                <c:pt idx="55">
                  <c:v>15000</c:v>
                </c:pt>
                <c:pt idx="56">
                  <c:v>15500</c:v>
                </c:pt>
                <c:pt idx="57">
                  <c:v>16000</c:v>
                </c:pt>
                <c:pt idx="58">
                  <c:v>16500</c:v>
                </c:pt>
                <c:pt idx="59">
                  <c:v>17000</c:v>
                </c:pt>
                <c:pt idx="60">
                  <c:v>17500</c:v>
                </c:pt>
                <c:pt idx="61">
                  <c:v>18000</c:v>
                </c:pt>
                <c:pt idx="62">
                  <c:v>18500</c:v>
                </c:pt>
                <c:pt idx="63">
                  <c:v>19000</c:v>
                </c:pt>
                <c:pt idx="64">
                  <c:v>19500</c:v>
                </c:pt>
                <c:pt idx="65">
                  <c:v>20000</c:v>
                </c:pt>
                <c:pt idx="66">
                  <c:v>20500</c:v>
                </c:pt>
                <c:pt idx="67">
                  <c:v>21000</c:v>
                </c:pt>
                <c:pt idx="68">
                  <c:v>21500</c:v>
                </c:pt>
                <c:pt idx="69">
                  <c:v>22000</c:v>
                </c:pt>
                <c:pt idx="70">
                  <c:v>22500</c:v>
                </c:pt>
                <c:pt idx="71">
                  <c:v>23000</c:v>
                </c:pt>
                <c:pt idx="72">
                  <c:v>23500</c:v>
                </c:pt>
                <c:pt idx="73">
                  <c:v>24000</c:v>
                </c:pt>
                <c:pt idx="74">
                  <c:v>24500</c:v>
                </c:pt>
                <c:pt idx="75">
                  <c:v>25000</c:v>
                </c:pt>
                <c:pt idx="76">
                  <c:v>25500</c:v>
                </c:pt>
                <c:pt idx="77">
                  <c:v>26000</c:v>
                </c:pt>
                <c:pt idx="78">
                  <c:v>26500</c:v>
                </c:pt>
                <c:pt idx="79">
                  <c:v>27000</c:v>
                </c:pt>
                <c:pt idx="80">
                  <c:v>27500</c:v>
                </c:pt>
                <c:pt idx="81">
                  <c:v>28000</c:v>
                </c:pt>
                <c:pt idx="82">
                  <c:v>28500</c:v>
                </c:pt>
                <c:pt idx="83">
                  <c:v>29000</c:v>
                </c:pt>
                <c:pt idx="84">
                  <c:v>29500</c:v>
                </c:pt>
                <c:pt idx="85">
                  <c:v>30000</c:v>
                </c:pt>
                <c:pt idx="86">
                  <c:v>30500</c:v>
                </c:pt>
                <c:pt idx="87">
                  <c:v>31000</c:v>
                </c:pt>
                <c:pt idx="88">
                  <c:v>31500</c:v>
                </c:pt>
                <c:pt idx="89">
                  <c:v>32000</c:v>
                </c:pt>
                <c:pt idx="90">
                  <c:v>32500</c:v>
                </c:pt>
                <c:pt idx="91">
                  <c:v>33000</c:v>
                </c:pt>
                <c:pt idx="92">
                  <c:v>33500</c:v>
                </c:pt>
                <c:pt idx="93">
                  <c:v>34000</c:v>
                </c:pt>
                <c:pt idx="94">
                  <c:v>34500</c:v>
                </c:pt>
                <c:pt idx="95">
                  <c:v>35000</c:v>
                </c:pt>
                <c:pt idx="96">
                  <c:v>35500</c:v>
                </c:pt>
                <c:pt idx="97">
                  <c:v>36000</c:v>
                </c:pt>
                <c:pt idx="98">
                  <c:v>36500</c:v>
                </c:pt>
                <c:pt idx="99">
                  <c:v>37000</c:v>
                </c:pt>
                <c:pt idx="100">
                  <c:v>37500</c:v>
                </c:pt>
                <c:pt idx="101">
                  <c:v>38000</c:v>
                </c:pt>
                <c:pt idx="102">
                  <c:v>38500</c:v>
                </c:pt>
                <c:pt idx="103">
                  <c:v>39000</c:v>
                </c:pt>
                <c:pt idx="104">
                  <c:v>39500</c:v>
                </c:pt>
                <c:pt idx="105">
                  <c:v>40000</c:v>
                </c:pt>
                <c:pt idx="106">
                  <c:v>40500</c:v>
                </c:pt>
                <c:pt idx="107">
                  <c:v>41000</c:v>
                </c:pt>
                <c:pt idx="108">
                  <c:v>41500</c:v>
                </c:pt>
                <c:pt idx="109">
                  <c:v>42000</c:v>
                </c:pt>
                <c:pt idx="110">
                  <c:v>42500</c:v>
                </c:pt>
                <c:pt idx="111">
                  <c:v>43000</c:v>
                </c:pt>
                <c:pt idx="112">
                  <c:v>43500</c:v>
                </c:pt>
                <c:pt idx="113">
                  <c:v>44000</c:v>
                </c:pt>
                <c:pt idx="114">
                  <c:v>44500</c:v>
                </c:pt>
                <c:pt idx="115">
                  <c:v>45000</c:v>
                </c:pt>
                <c:pt idx="116">
                  <c:v>45500</c:v>
                </c:pt>
                <c:pt idx="117">
                  <c:v>46000</c:v>
                </c:pt>
                <c:pt idx="118">
                  <c:v>46500</c:v>
                </c:pt>
                <c:pt idx="119">
                  <c:v>47000</c:v>
                </c:pt>
                <c:pt idx="120">
                  <c:v>47500</c:v>
                </c:pt>
                <c:pt idx="121">
                  <c:v>48000</c:v>
                </c:pt>
                <c:pt idx="122">
                  <c:v>48500</c:v>
                </c:pt>
                <c:pt idx="123">
                  <c:v>49000</c:v>
                </c:pt>
                <c:pt idx="124">
                  <c:v>49500</c:v>
                </c:pt>
                <c:pt idx="125">
                  <c:v>50000</c:v>
                </c:pt>
                <c:pt idx="126">
                  <c:v>50500</c:v>
                </c:pt>
                <c:pt idx="127">
                  <c:v>51000</c:v>
                </c:pt>
                <c:pt idx="128">
                  <c:v>51500</c:v>
                </c:pt>
                <c:pt idx="129">
                  <c:v>52000</c:v>
                </c:pt>
                <c:pt idx="130">
                  <c:v>52500</c:v>
                </c:pt>
                <c:pt idx="131">
                  <c:v>53000</c:v>
                </c:pt>
                <c:pt idx="132">
                  <c:v>53500</c:v>
                </c:pt>
                <c:pt idx="133">
                  <c:v>54000</c:v>
                </c:pt>
                <c:pt idx="134">
                  <c:v>54500</c:v>
                </c:pt>
                <c:pt idx="135">
                  <c:v>55000</c:v>
                </c:pt>
                <c:pt idx="136">
                  <c:v>55500</c:v>
                </c:pt>
                <c:pt idx="137">
                  <c:v>56000</c:v>
                </c:pt>
                <c:pt idx="138">
                  <c:v>56500</c:v>
                </c:pt>
                <c:pt idx="139">
                  <c:v>57000</c:v>
                </c:pt>
                <c:pt idx="140">
                  <c:v>57500</c:v>
                </c:pt>
                <c:pt idx="141">
                  <c:v>58000</c:v>
                </c:pt>
                <c:pt idx="142">
                  <c:v>58500</c:v>
                </c:pt>
                <c:pt idx="143">
                  <c:v>59000</c:v>
                </c:pt>
                <c:pt idx="144">
                  <c:v>59500</c:v>
                </c:pt>
                <c:pt idx="145">
                  <c:v>60000</c:v>
                </c:pt>
                <c:pt idx="146">
                  <c:v>60500</c:v>
                </c:pt>
                <c:pt idx="147">
                  <c:v>61000</c:v>
                </c:pt>
                <c:pt idx="148">
                  <c:v>61500</c:v>
                </c:pt>
                <c:pt idx="149">
                  <c:v>62000</c:v>
                </c:pt>
                <c:pt idx="150">
                  <c:v>62500</c:v>
                </c:pt>
                <c:pt idx="151">
                  <c:v>63000</c:v>
                </c:pt>
                <c:pt idx="152">
                  <c:v>63500</c:v>
                </c:pt>
                <c:pt idx="153">
                  <c:v>64000</c:v>
                </c:pt>
                <c:pt idx="154">
                  <c:v>64500</c:v>
                </c:pt>
                <c:pt idx="155">
                  <c:v>65000</c:v>
                </c:pt>
                <c:pt idx="156">
                  <c:v>65500</c:v>
                </c:pt>
                <c:pt idx="157">
                  <c:v>66000</c:v>
                </c:pt>
                <c:pt idx="158">
                  <c:v>66500</c:v>
                </c:pt>
                <c:pt idx="159">
                  <c:v>67000</c:v>
                </c:pt>
                <c:pt idx="160">
                  <c:v>67500</c:v>
                </c:pt>
                <c:pt idx="161">
                  <c:v>68000</c:v>
                </c:pt>
                <c:pt idx="162">
                  <c:v>68500</c:v>
                </c:pt>
                <c:pt idx="163">
                  <c:v>69000</c:v>
                </c:pt>
                <c:pt idx="164">
                  <c:v>69500</c:v>
                </c:pt>
                <c:pt idx="165">
                  <c:v>70000</c:v>
                </c:pt>
                <c:pt idx="166">
                  <c:v>70500</c:v>
                </c:pt>
                <c:pt idx="167">
                  <c:v>71000</c:v>
                </c:pt>
                <c:pt idx="168">
                  <c:v>71500</c:v>
                </c:pt>
                <c:pt idx="169">
                  <c:v>72000</c:v>
                </c:pt>
                <c:pt idx="170">
                  <c:v>72500</c:v>
                </c:pt>
                <c:pt idx="171">
                  <c:v>73000</c:v>
                </c:pt>
                <c:pt idx="172">
                  <c:v>73500</c:v>
                </c:pt>
                <c:pt idx="173">
                  <c:v>74000</c:v>
                </c:pt>
                <c:pt idx="174">
                  <c:v>74500</c:v>
                </c:pt>
                <c:pt idx="175">
                  <c:v>75000</c:v>
                </c:pt>
                <c:pt idx="176">
                  <c:v>75500</c:v>
                </c:pt>
                <c:pt idx="177">
                  <c:v>76000</c:v>
                </c:pt>
                <c:pt idx="178">
                  <c:v>76500</c:v>
                </c:pt>
                <c:pt idx="179">
                  <c:v>77000</c:v>
                </c:pt>
                <c:pt idx="180">
                  <c:v>77500</c:v>
                </c:pt>
                <c:pt idx="181">
                  <c:v>78000</c:v>
                </c:pt>
                <c:pt idx="182">
                  <c:v>78500</c:v>
                </c:pt>
                <c:pt idx="183">
                  <c:v>79000</c:v>
                </c:pt>
                <c:pt idx="184">
                  <c:v>79500</c:v>
                </c:pt>
                <c:pt idx="185">
                  <c:v>80000</c:v>
                </c:pt>
                <c:pt idx="186">
                  <c:v>80500</c:v>
                </c:pt>
                <c:pt idx="187">
                  <c:v>81000</c:v>
                </c:pt>
                <c:pt idx="188">
                  <c:v>81500</c:v>
                </c:pt>
                <c:pt idx="189">
                  <c:v>82000</c:v>
                </c:pt>
                <c:pt idx="190">
                  <c:v>82500</c:v>
                </c:pt>
                <c:pt idx="191">
                  <c:v>83000</c:v>
                </c:pt>
                <c:pt idx="192">
                  <c:v>83500</c:v>
                </c:pt>
                <c:pt idx="193">
                  <c:v>84000</c:v>
                </c:pt>
                <c:pt idx="194">
                  <c:v>84500</c:v>
                </c:pt>
                <c:pt idx="195">
                  <c:v>85000</c:v>
                </c:pt>
                <c:pt idx="196">
                  <c:v>85500</c:v>
                </c:pt>
                <c:pt idx="197">
                  <c:v>86000</c:v>
                </c:pt>
                <c:pt idx="198">
                  <c:v>86500</c:v>
                </c:pt>
                <c:pt idx="199">
                  <c:v>87000</c:v>
                </c:pt>
                <c:pt idx="200">
                  <c:v>87500</c:v>
                </c:pt>
                <c:pt idx="201">
                  <c:v>88000</c:v>
                </c:pt>
                <c:pt idx="202">
                  <c:v>88500</c:v>
                </c:pt>
                <c:pt idx="203">
                  <c:v>89000</c:v>
                </c:pt>
                <c:pt idx="204">
                  <c:v>89500</c:v>
                </c:pt>
                <c:pt idx="205">
                  <c:v>90000</c:v>
                </c:pt>
                <c:pt idx="206">
                  <c:v>90500</c:v>
                </c:pt>
                <c:pt idx="207">
                  <c:v>91000</c:v>
                </c:pt>
                <c:pt idx="208">
                  <c:v>91500</c:v>
                </c:pt>
                <c:pt idx="209">
                  <c:v>92000</c:v>
                </c:pt>
                <c:pt idx="210">
                  <c:v>92500</c:v>
                </c:pt>
                <c:pt idx="211">
                  <c:v>93000</c:v>
                </c:pt>
                <c:pt idx="212">
                  <c:v>93500</c:v>
                </c:pt>
                <c:pt idx="213">
                  <c:v>94000</c:v>
                </c:pt>
                <c:pt idx="214">
                  <c:v>94500</c:v>
                </c:pt>
                <c:pt idx="215">
                  <c:v>95000</c:v>
                </c:pt>
                <c:pt idx="216">
                  <c:v>95500</c:v>
                </c:pt>
                <c:pt idx="217">
                  <c:v>96000</c:v>
                </c:pt>
                <c:pt idx="218">
                  <c:v>96500</c:v>
                </c:pt>
                <c:pt idx="219">
                  <c:v>97000</c:v>
                </c:pt>
                <c:pt idx="220">
                  <c:v>97500</c:v>
                </c:pt>
                <c:pt idx="221">
                  <c:v>98000</c:v>
                </c:pt>
                <c:pt idx="222">
                  <c:v>98500</c:v>
                </c:pt>
                <c:pt idx="223">
                  <c:v>99000</c:v>
                </c:pt>
                <c:pt idx="224">
                  <c:v>99500</c:v>
                </c:pt>
                <c:pt idx="225">
                  <c:v>100000</c:v>
                </c:pt>
                <c:pt idx="226">
                  <c:v>105000</c:v>
                </c:pt>
                <c:pt idx="227">
                  <c:v>110000</c:v>
                </c:pt>
                <c:pt idx="228">
                  <c:v>115000</c:v>
                </c:pt>
                <c:pt idx="229">
                  <c:v>120000</c:v>
                </c:pt>
                <c:pt idx="230">
                  <c:v>125000</c:v>
                </c:pt>
                <c:pt idx="231">
                  <c:v>130000</c:v>
                </c:pt>
                <c:pt idx="232">
                  <c:v>135000</c:v>
                </c:pt>
                <c:pt idx="233">
                  <c:v>140000</c:v>
                </c:pt>
                <c:pt idx="234">
                  <c:v>145000</c:v>
                </c:pt>
                <c:pt idx="235">
                  <c:v>150000</c:v>
                </c:pt>
                <c:pt idx="236">
                  <c:v>155000</c:v>
                </c:pt>
                <c:pt idx="237">
                  <c:v>160000</c:v>
                </c:pt>
                <c:pt idx="238">
                  <c:v>165000</c:v>
                </c:pt>
                <c:pt idx="239">
                  <c:v>170000</c:v>
                </c:pt>
                <c:pt idx="240">
                  <c:v>175000</c:v>
                </c:pt>
                <c:pt idx="241">
                  <c:v>180000</c:v>
                </c:pt>
                <c:pt idx="242">
                  <c:v>185000</c:v>
                </c:pt>
                <c:pt idx="243">
                  <c:v>190000</c:v>
                </c:pt>
                <c:pt idx="244">
                  <c:v>195000</c:v>
                </c:pt>
                <c:pt idx="245">
                  <c:v>200000</c:v>
                </c:pt>
                <c:pt idx="246">
                  <c:v>205000</c:v>
                </c:pt>
                <c:pt idx="247">
                  <c:v>210000</c:v>
                </c:pt>
                <c:pt idx="248">
                  <c:v>215000</c:v>
                </c:pt>
                <c:pt idx="249">
                  <c:v>220000</c:v>
                </c:pt>
                <c:pt idx="250">
                  <c:v>225000</c:v>
                </c:pt>
                <c:pt idx="251">
                  <c:v>230000</c:v>
                </c:pt>
                <c:pt idx="252">
                  <c:v>235000</c:v>
                </c:pt>
                <c:pt idx="253">
                  <c:v>240000</c:v>
                </c:pt>
                <c:pt idx="254">
                  <c:v>245000</c:v>
                </c:pt>
                <c:pt idx="255">
                  <c:v>250000</c:v>
                </c:pt>
                <c:pt idx="256">
                  <c:v>255000</c:v>
                </c:pt>
                <c:pt idx="257">
                  <c:v>260000</c:v>
                </c:pt>
                <c:pt idx="258">
                  <c:v>265000</c:v>
                </c:pt>
                <c:pt idx="259">
                  <c:v>270000</c:v>
                </c:pt>
                <c:pt idx="260">
                  <c:v>275000</c:v>
                </c:pt>
                <c:pt idx="261">
                  <c:v>280000</c:v>
                </c:pt>
                <c:pt idx="262">
                  <c:v>285000</c:v>
                </c:pt>
                <c:pt idx="263">
                  <c:v>290000</c:v>
                </c:pt>
                <c:pt idx="264">
                  <c:v>295000</c:v>
                </c:pt>
                <c:pt idx="265">
                  <c:v>300000</c:v>
                </c:pt>
                <c:pt idx="266">
                  <c:v>305000</c:v>
                </c:pt>
                <c:pt idx="267">
                  <c:v>310000</c:v>
                </c:pt>
                <c:pt idx="268">
                  <c:v>315000</c:v>
                </c:pt>
                <c:pt idx="269">
                  <c:v>320000</c:v>
                </c:pt>
                <c:pt idx="270">
                  <c:v>325000</c:v>
                </c:pt>
                <c:pt idx="271">
                  <c:v>330000</c:v>
                </c:pt>
                <c:pt idx="272">
                  <c:v>335000</c:v>
                </c:pt>
                <c:pt idx="273">
                  <c:v>340000</c:v>
                </c:pt>
                <c:pt idx="274">
                  <c:v>345000</c:v>
                </c:pt>
                <c:pt idx="275">
                  <c:v>350000</c:v>
                </c:pt>
                <c:pt idx="276">
                  <c:v>355000</c:v>
                </c:pt>
                <c:pt idx="277">
                  <c:v>360000</c:v>
                </c:pt>
                <c:pt idx="278">
                  <c:v>365000</c:v>
                </c:pt>
                <c:pt idx="279">
                  <c:v>370000</c:v>
                </c:pt>
                <c:pt idx="280">
                  <c:v>375000</c:v>
                </c:pt>
                <c:pt idx="281">
                  <c:v>380000</c:v>
                </c:pt>
                <c:pt idx="282">
                  <c:v>385000</c:v>
                </c:pt>
                <c:pt idx="283">
                  <c:v>390000</c:v>
                </c:pt>
                <c:pt idx="284">
                  <c:v>395000</c:v>
                </c:pt>
                <c:pt idx="285">
                  <c:v>400000</c:v>
                </c:pt>
                <c:pt idx="286">
                  <c:v>405000</c:v>
                </c:pt>
                <c:pt idx="287">
                  <c:v>410000</c:v>
                </c:pt>
                <c:pt idx="288">
                  <c:v>415000</c:v>
                </c:pt>
                <c:pt idx="289">
                  <c:v>420000</c:v>
                </c:pt>
                <c:pt idx="290">
                  <c:v>425000</c:v>
                </c:pt>
                <c:pt idx="291">
                  <c:v>430000</c:v>
                </c:pt>
                <c:pt idx="292">
                  <c:v>435000</c:v>
                </c:pt>
                <c:pt idx="293">
                  <c:v>440000</c:v>
                </c:pt>
                <c:pt idx="294">
                  <c:v>445000</c:v>
                </c:pt>
                <c:pt idx="295">
                  <c:v>450000</c:v>
                </c:pt>
                <c:pt idx="296">
                  <c:v>455000</c:v>
                </c:pt>
                <c:pt idx="297">
                  <c:v>460000</c:v>
                </c:pt>
                <c:pt idx="298">
                  <c:v>465000</c:v>
                </c:pt>
                <c:pt idx="299">
                  <c:v>470000</c:v>
                </c:pt>
                <c:pt idx="300">
                  <c:v>475000</c:v>
                </c:pt>
                <c:pt idx="301">
                  <c:v>480000</c:v>
                </c:pt>
                <c:pt idx="302">
                  <c:v>485000</c:v>
                </c:pt>
                <c:pt idx="303">
                  <c:v>490000</c:v>
                </c:pt>
                <c:pt idx="304">
                  <c:v>495000</c:v>
                </c:pt>
                <c:pt idx="305">
                  <c:v>500000</c:v>
                </c:pt>
                <c:pt idx="306">
                  <c:v>505000</c:v>
                </c:pt>
                <c:pt idx="307">
                  <c:v>510000</c:v>
                </c:pt>
                <c:pt idx="308">
                  <c:v>515000</c:v>
                </c:pt>
                <c:pt idx="309">
                  <c:v>520000</c:v>
                </c:pt>
                <c:pt idx="310">
                  <c:v>525000</c:v>
                </c:pt>
                <c:pt idx="311">
                  <c:v>530000</c:v>
                </c:pt>
                <c:pt idx="312">
                  <c:v>535000</c:v>
                </c:pt>
                <c:pt idx="313">
                  <c:v>540000</c:v>
                </c:pt>
                <c:pt idx="314">
                  <c:v>545000</c:v>
                </c:pt>
                <c:pt idx="315">
                  <c:v>550000</c:v>
                </c:pt>
                <c:pt idx="316">
                  <c:v>555000</c:v>
                </c:pt>
                <c:pt idx="317">
                  <c:v>560000</c:v>
                </c:pt>
                <c:pt idx="318">
                  <c:v>565000</c:v>
                </c:pt>
                <c:pt idx="319">
                  <c:v>570000</c:v>
                </c:pt>
                <c:pt idx="320">
                  <c:v>575000</c:v>
                </c:pt>
                <c:pt idx="321">
                  <c:v>580000</c:v>
                </c:pt>
                <c:pt idx="322">
                  <c:v>585000</c:v>
                </c:pt>
                <c:pt idx="323">
                  <c:v>590000</c:v>
                </c:pt>
                <c:pt idx="324">
                  <c:v>595000</c:v>
                </c:pt>
                <c:pt idx="325">
                  <c:v>600000</c:v>
                </c:pt>
                <c:pt idx="326">
                  <c:v>605000</c:v>
                </c:pt>
                <c:pt idx="327">
                  <c:v>610000</c:v>
                </c:pt>
                <c:pt idx="328">
                  <c:v>615000</c:v>
                </c:pt>
                <c:pt idx="329">
                  <c:v>620000</c:v>
                </c:pt>
                <c:pt idx="330">
                  <c:v>625000</c:v>
                </c:pt>
                <c:pt idx="331">
                  <c:v>630000</c:v>
                </c:pt>
                <c:pt idx="332">
                  <c:v>635000</c:v>
                </c:pt>
                <c:pt idx="333">
                  <c:v>640000</c:v>
                </c:pt>
                <c:pt idx="334">
                  <c:v>645000</c:v>
                </c:pt>
                <c:pt idx="335">
                  <c:v>650000</c:v>
                </c:pt>
                <c:pt idx="336">
                  <c:v>655000</c:v>
                </c:pt>
                <c:pt idx="337">
                  <c:v>660000</c:v>
                </c:pt>
                <c:pt idx="338">
                  <c:v>665000</c:v>
                </c:pt>
                <c:pt idx="339">
                  <c:v>670000</c:v>
                </c:pt>
                <c:pt idx="340">
                  <c:v>675000</c:v>
                </c:pt>
                <c:pt idx="341">
                  <c:v>680000</c:v>
                </c:pt>
                <c:pt idx="342">
                  <c:v>685000</c:v>
                </c:pt>
                <c:pt idx="343">
                  <c:v>690000</c:v>
                </c:pt>
                <c:pt idx="344">
                  <c:v>695000</c:v>
                </c:pt>
                <c:pt idx="345">
                  <c:v>700000</c:v>
                </c:pt>
                <c:pt idx="346">
                  <c:v>705000</c:v>
                </c:pt>
                <c:pt idx="347">
                  <c:v>710000</c:v>
                </c:pt>
                <c:pt idx="348">
                  <c:v>715000</c:v>
                </c:pt>
                <c:pt idx="349">
                  <c:v>720000</c:v>
                </c:pt>
                <c:pt idx="350">
                  <c:v>725000</c:v>
                </c:pt>
                <c:pt idx="351">
                  <c:v>730000</c:v>
                </c:pt>
                <c:pt idx="352">
                  <c:v>735000</c:v>
                </c:pt>
                <c:pt idx="353">
                  <c:v>740000</c:v>
                </c:pt>
                <c:pt idx="354">
                  <c:v>745000</c:v>
                </c:pt>
                <c:pt idx="355">
                  <c:v>750000</c:v>
                </c:pt>
                <c:pt idx="356">
                  <c:v>755000</c:v>
                </c:pt>
                <c:pt idx="357">
                  <c:v>760000</c:v>
                </c:pt>
                <c:pt idx="358">
                  <c:v>765000</c:v>
                </c:pt>
                <c:pt idx="359">
                  <c:v>770000</c:v>
                </c:pt>
                <c:pt idx="360">
                  <c:v>775000</c:v>
                </c:pt>
                <c:pt idx="361">
                  <c:v>780000</c:v>
                </c:pt>
                <c:pt idx="362">
                  <c:v>785000</c:v>
                </c:pt>
                <c:pt idx="363">
                  <c:v>790000</c:v>
                </c:pt>
                <c:pt idx="364">
                  <c:v>795000</c:v>
                </c:pt>
                <c:pt idx="365">
                  <c:v>800000</c:v>
                </c:pt>
                <c:pt idx="366">
                  <c:v>805000</c:v>
                </c:pt>
                <c:pt idx="367">
                  <c:v>810000</c:v>
                </c:pt>
                <c:pt idx="368">
                  <c:v>815000</c:v>
                </c:pt>
                <c:pt idx="369">
                  <c:v>820000</c:v>
                </c:pt>
                <c:pt idx="370">
                  <c:v>825000</c:v>
                </c:pt>
                <c:pt idx="371">
                  <c:v>830000</c:v>
                </c:pt>
                <c:pt idx="372">
                  <c:v>835000</c:v>
                </c:pt>
                <c:pt idx="373">
                  <c:v>840000</c:v>
                </c:pt>
                <c:pt idx="374">
                  <c:v>845000</c:v>
                </c:pt>
                <c:pt idx="375">
                  <c:v>850000</c:v>
                </c:pt>
                <c:pt idx="376">
                  <c:v>855000</c:v>
                </c:pt>
                <c:pt idx="377">
                  <c:v>860000</c:v>
                </c:pt>
                <c:pt idx="378">
                  <c:v>865000</c:v>
                </c:pt>
                <c:pt idx="379">
                  <c:v>870000</c:v>
                </c:pt>
                <c:pt idx="380">
                  <c:v>875000</c:v>
                </c:pt>
                <c:pt idx="381">
                  <c:v>880000</c:v>
                </c:pt>
                <c:pt idx="382">
                  <c:v>885000</c:v>
                </c:pt>
                <c:pt idx="383">
                  <c:v>890000</c:v>
                </c:pt>
                <c:pt idx="384">
                  <c:v>895000</c:v>
                </c:pt>
                <c:pt idx="385">
                  <c:v>900000</c:v>
                </c:pt>
                <c:pt idx="386">
                  <c:v>905000</c:v>
                </c:pt>
                <c:pt idx="387">
                  <c:v>910000</c:v>
                </c:pt>
                <c:pt idx="388">
                  <c:v>915000</c:v>
                </c:pt>
                <c:pt idx="389">
                  <c:v>920000</c:v>
                </c:pt>
                <c:pt idx="390">
                  <c:v>925000</c:v>
                </c:pt>
                <c:pt idx="391">
                  <c:v>930000</c:v>
                </c:pt>
                <c:pt idx="392">
                  <c:v>935000</c:v>
                </c:pt>
                <c:pt idx="393">
                  <c:v>940000</c:v>
                </c:pt>
                <c:pt idx="394">
                  <c:v>945000</c:v>
                </c:pt>
                <c:pt idx="395">
                  <c:v>950000</c:v>
                </c:pt>
                <c:pt idx="396">
                  <c:v>955000</c:v>
                </c:pt>
                <c:pt idx="397">
                  <c:v>960000</c:v>
                </c:pt>
                <c:pt idx="398">
                  <c:v>965000</c:v>
                </c:pt>
                <c:pt idx="399">
                  <c:v>970000</c:v>
                </c:pt>
                <c:pt idx="400">
                  <c:v>975000</c:v>
                </c:pt>
                <c:pt idx="401">
                  <c:v>980000</c:v>
                </c:pt>
                <c:pt idx="402">
                  <c:v>985000</c:v>
                </c:pt>
                <c:pt idx="403">
                  <c:v>990000</c:v>
                </c:pt>
                <c:pt idx="404">
                  <c:v>995000</c:v>
                </c:pt>
                <c:pt idx="405">
                  <c:v>1000000</c:v>
                </c:pt>
                <c:pt idx="406">
                  <c:v>1005000</c:v>
                </c:pt>
                <c:pt idx="407">
                  <c:v>1010000</c:v>
                </c:pt>
                <c:pt idx="408">
                  <c:v>1015000</c:v>
                </c:pt>
                <c:pt idx="409">
                  <c:v>1020000</c:v>
                </c:pt>
                <c:pt idx="410">
                  <c:v>1025000</c:v>
                </c:pt>
                <c:pt idx="411">
                  <c:v>1030000</c:v>
                </c:pt>
                <c:pt idx="412">
                  <c:v>1035000</c:v>
                </c:pt>
                <c:pt idx="413">
                  <c:v>1040000</c:v>
                </c:pt>
                <c:pt idx="414">
                  <c:v>1045000</c:v>
                </c:pt>
                <c:pt idx="415">
                  <c:v>1050000</c:v>
                </c:pt>
                <c:pt idx="416">
                  <c:v>1055000</c:v>
                </c:pt>
                <c:pt idx="417">
                  <c:v>1060000</c:v>
                </c:pt>
                <c:pt idx="418">
                  <c:v>1065000</c:v>
                </c:pt>
                <c:pt idx="419">
                  <c:v>1070000</c:v>
                </c:pt>
                <c:pt idx="420">
                  <c:v>1075000</c:v>
                </c:pt>
                <c:pt idx="421">
                  <c:v>1080000</c:v>
                </c:pt>
                <c:pt idx="422">
                  <c:v>1085000</c:v>
                </c:pt>
                <c:pt idx="423">
                  <c:v>1090000</c:v>
                </c:pt>
                <c:pt idx="424">
                  <c:v>1095000</c:v>
                </c:pt>
                <c:pt idx="425">
                  <c:v>1100000</c:v>
                </c:pt>
                <c:pt idx="426">
                  <c:v>1105000</c:v>
                </c:pt>
                <c:pt idx="427">
                  <c:v>1110000</c:v>
                </c:pt>
                <c:pt idx="428">
                  <c:v>1115000</c:v>
                </c:pt>
                <c:pt idx="429">
                  <c:v>1120000</c:v>
                </c:pt>
                <c:pt idx="430">
                  <c:v>1125000</c:v>
                </c:pt>
                <c:pt idx="431">
                  <c:v>1130000</c:v>
                </c:pt>
                <c:pt idx="432">
                  <c:v>1135000</c:v>
                </c:pt>
                <c:pt idx="433">
                  <c:v>1140000</c:v>
                </c:pt>
                <c:pt idx="434">
                  <c:v>1145000</c:v>
                </c:pt>
                <c:pt idx="435">
                  <c:v>1150000</c:v>
                </c:pt>
                <c:pt idx="436">
                  <c:v>1155000</c:v>
                </c:pt>
                <c:pt idx="437">
                  <c:v>1160000</c:v>
                </c:pt>
                <c:pt idx="438">
                  <c:v>1165000</c:v>
                </c:pt>
                <c:pt idx="439">
                  <c:v>1170000</c:v>
                </c:pt>
                <c:pt idx="440">
                  <c:v>1175000</c:v>
                </c:pt>
                <c:pt idx="441">
                  <c:v>1180000</c:v>
                </c:pt>
                <c:pt idx="442">
                  <c:v>1185000</c:v>
                </c:pt>
                <c:pt idx="443">
                  <c:v>1190000</c:v>
                </c:pt>
                <c:pt idx="444">
                  <c:v>1195000</c:v>
                </c:pt>
                <c:pt idx="445">
                  <c:v>1200000</c:v>
                </c:pt>
                <c:pt idx="446">
                  <c:v>1205000</c:v>
                </c:pt>
                <c:pt idx="447">
                  <c:v>1210000</c:v>
                </c:pt>
                <c:pt idx="448">
                  <c:v>1215000</c:v>
                </c:pt>
                <c:pt idx="449">
                  <c:v>1220000</c:v>
                </c:pt>
                <c:pt idx="450">
                  <c:v>1225000</c:v>
                </c:pt>
                <c:pt idx="451">
                  <c:v>1230000</c:v>
                </c:pt>
                <c:pt idx="452">
                  <c:v>1235000</c:v>
                </c:pt>
                <c:pt idx="453">
                  <c:v>1240000</c:v>
                </c:pt>
                <c:pt idx="454">
                  <c:v>1245000</c:v>
                </c:pt>
                <c:pt idx="455">
                  <c:v>1250000</c:v>
                </c:pt>
                <c:pt idx="456">
                  <c:v>1255000</c:v>
                </c:pt>
                <c:pt idx="457">
                  <c:v>1260000</c:v>
                </c:pt>
                <c:pt idx="458">
                  <c:v>1265000</c:v>
                </c:pt>
                <c:pt idx="459">
                  <c:v>1270000</c:v>
                </c:pt>
                <c:pt idx="460">
                  <c:v>1275000</c:v>
                </c:pt>
                <c:pt idx="461">
                  <c:v>1280000</c:v>
                </c:pt>
                <c:pt idx="462">
                  <c:v>1285000</c:v>
                </c:pt>
                <c:pt idx="463">
                  <c:v>1290000</c:v>
                </c:pt>
                <c:pt idx="464">
                  <c:v>1295000</c:v>
                </c:pt>
                <c:pt idx="465">
                  <c:v>1300000</c:v>
                </c:pt>
                <c:pt idx="466">
                  <c:v>1305000</c:v>
                </c:pt>
                <c:pt idx="467">
                  <c:v>1310000</c:v>
                </c:pt>
                <c:pt idx="468">
                  <c:v>1315000</c:v>
                </c:pt>
                <c:pt idx="469">
                  <c:v>1320000</c:v>
                </c:pt>
                <c:pt idx="470">
                  <c:v>1325000</c:v>
                </c:pt>
                <c:pt idx="471">
                  <c:v>1330000</c:v>
                </c:pt>
                <c:pt idx="472">
                  <c:v>1335000</c:v>
                </c:pt>
                <c:pt idx="473">
                  <c:v>1340000</c:v>
                </c:pt>
                <c:pt idx="474">
                  <c:v>1345000</c:v>
                </c:pt>
                <c:pt idx="475">
                  <c:v>1350000</c:v>
                </c:pt>
                <c:pt idx="476">
                  <c:v>1355000</c:v>
                </c:pt>
                <c:pt idx="477">
                  <c:v>1360000</c:v>
                </c:pt>
                <c:pt idx="478">
                  <c:v>1365000</c:v>
                </c:pt>
                <c:pt idx="479">
                  <c:v>1370000</c:v>
                </c:pt>
                <c:pt idx="480">
                  <c:v>1375000</c:v>
                </c:pt>
                <c:pt idx="481">
                  <c:v>1380000</c:v>
                </c:pt>
                <c:pt idx="482">
                  <c:v>1385000</c:v>
                </c:pt>
                <c:pt idx="483">
                  <c:v>1390000</c:v>
                </c:pt>
                <c:pt idx="484">
                  <c:v>1395000</c:v>
                </c:pt>
                <c:pt idx="485">
                  <c:v>1400000</c:v>
                </c:pt>
                <c:pt idx="486">
                  <c:v>1405000</c:v>
                </c:pt>
                <c:pt idx="487">
                  <c:v>1410000</c:v>
                </c:pt>
                <c:pt idx="488">
                  <c:v>1415000</c:v>
                </c:pt>
                <c:pt idx="489">
                  <c:v>1420000</c:v>
                </c:pt>
                <c:pt idx="490">
                  <c:v>1425000</c:v>
                </c:pt>
                <c:pt idx="491">
                  <c:v>1430000</c:v>
                </c:pt>
                <c:pt idx="492">
                  <c:v>1435000</c:v>
                </c:pt>
                <c:pt idx="493">
                  <c:v>1440000</c:v>
                </c:pt>
                <c:pt idx="494">
                  <c:v>1445000</c:v>
                </c:pt>
                <c:pt idx="495">
                  <c:v>1450000</c:v>
                </c:pt>
                <c:pt idx="496">
                  <c:v>1455000</c:v>
                </c:pt>
                <c:pt idx="497">
                  <c:v>1460000</c:v>
                </c:pt>
                <c:pt idx="498">
                  <c:v>1465000</c:v>
                </c:pt>
                <c:pt idx="499">
                  <c:v>1470000</c:v>
                </c:pt>
                <c:pt idx="500">
                  <c:v>1475000</c:v>
                </c:pt>
                <c:pt idx="501">
                  <c:v>1480000</c:v>
                </c:pt>
                <c:pt idx="502">
                  <c:v>1485000</c:v>
                </c:pt>
                <c:pt idx="503">
                  <c:v>1490000</c:v>
                </c:pt>
                <c:pt idx="504">
                  <c:v>1495000</c:v>
                </c:pt>
                <c:pt idx="505">
                  <c:v>1500000</c:v>
                </c:pt>
                <c:pt idx="506">
                  <c:v>1505000</c:v>
                </c:pt>
                <c:pt idx="507">
                  <c:v>1510000</c:v>
                </c:pt>
                <c:pt idx="508">
                  <c:v>1515000</c:v>
                </c:pt>
                <c:pt idx="509">
                  <c:v>1520000</c:v>
                </c:pt>
                <c:pt idx="510">
                  <c:v>1525000</c:v>
                </c:pt>
                <c:pt idx="511">
                  <c:v>1530000</c:v>
                </c:pt>
                <c:pt idx="512">
                  <c:v>1535000</c:v>
                </c:pt>
                <c:pt idx="513">
                  <c:v>1540000</c:v>
                </c:pt>
                <c:pt idx="514">
                  <c:v>1545000</c:v>
                </c:pt>
                <c:pt idx="515">
                  <c:v>1550000</c:v>
                </c:pt>
                <c:pt idx="516">
                  <c:v>1555000</c:v>
                </c:pt>
                <c:pt idx="517">
                  <c:v>1560000</c:v>
                </c:pt>
                <c:pt idx="518">
                  <c:v>1565000</c:v>
                </c:pt>
                <c:pt idx="519">
                  <c:v>1570000</c:v>
                </c:pt>
                <c:pt idx="520">
                  <c:v>1575000</c:v>
                </c:pt>
                <c:pt idx="521">
                  <c:v>1580000</c:v>
                </c:pt>
                <c:pt idx="522">
                  <c:v>1585000</c:v>
                </c:pt>
                <c:pt idx="523">
                  <c:v>1590000</c:v>
                </c:pt>
                <c:pt idx="524">
                  <c:v>1595000</c:v>
                </c:pt>
                <c:pt idx="525">
                  <c:v>1600000</c:v>
                </c:pt>
                <c:pt idx="526">
                  <c:v>1605000</c:v>
                </c:pt>
                <c:pt idx="527">
                  <c:v>1610000</c:v>
                </c:pt>
                <c:pt idx="528">
                  <c:v>1615000</c:v>
                </c:pt>
                <c:pt idx="529">
                  <c:v>1620000</c:v>
                </c:pt>
                <c:pt idx="530">
                  <c:v>1625000</c:v>
                </c:pt>
                <c:pt idx="531">
                  <c:v>1630000</c:v>
                </c:pt>
                <c:pt idx="532">
                  <c:v>1635000</c:v>
                </c:pt>
                <c:pt idx="533">
                  <c:v>1640000</c:v>
                </c:pt>
                <c:pt idx="534">
                  <c:v>1645000</c:v>
                </c:pt>
                <c:pt idx="535">
                  <c:v>1650000</c:v>
                </c:pt>
                <c:pt idx="536">
                  <c:v>1655000</c:v>
                </c:pt>
                <c:pt idx="537">
                  <c:v>1660000</c:v>
                </c:pt>
                <c:pt idx="538">
                  <c:v>1665000</c:v>
                </c:pt>
                <c:pt idx="539">
                  <c:v>1670000</c:v>
                </c:pt>
                <c:pt idx="540">
                  <c:v>1675000</c:v>
                </c:pt>
                <c:pt idx="541">
                  <c:v>1680000</c:v>
                </c:pt>
                <c:pt idx="542">
                  <c:v>1685000</c:v>
                </c:pt>
                <c:pt idx="543">
                  <c:v>1690000</c:v>
                </c:pt>
                <c:pt idx="544">
                  <c:v>1695000</c:v>
                </c:pt>
                <c:pt idx="545">
                  <c:v>1700000</c:v>
                </c:pt>
                <c:pt idx="546">
                  <c:v>1705000</c:v>
                </c:pt>
                <c:pt idx="547">
                  <c:v>1710000</c:v>
                </c:pt>
                <c:pt idx="548">
                  <c:v>1715000</c:v>
                </c:pt>
                <c:pt idx="549">
                  <c:v>1720000</c:v>
                </c:pt>
                <c:pt idx="550">
                  <c:v>1725000</c:v>
                </c:pt>
                <c:pt idx="551">
                  <c:v>1730000</c:v>
                </c:pt>
                <c:pt idx="552">
                  <c:v>1735000</c:v>
                </c:pt>
                <c:pt idx="553">
                  <c:v>1740000</c:v>
                </c:pt>
                <c:pt idx="554">
                  <c:v>1745000</c:v>
                </c:pt>
                <c:pt idx="555">
                  <c:v>1750000</c:v>
                </c:pt>
                <c:pt idx="556">
                  <c:v>1755000</c:v>
                </c:pt>
                <c:pt idx="557">
                  <c:v>1760000</c:v>
                </c:pt>
                <c:pt idx="558">
                  <c:v>1765000</c:v>
                </c:pt>
                <c:pt idx="559">
                  <c:v>1770000</c:v>
                </c:pt>
                <c:pt idx="560">
                  <c:v>1775000</c:v>
                </c:pt>
                <c:pt idx="561">
                  <c:v>1780000</c:v>
                </c:pt>
                <c:pt idx="562">
                  <c:v>1785000</c:v>
                </c:pt>
                <c:pt idx="563">
                  <c:v>1790000</c:v>
                </c:pt>
                <c:pt idx="564">
                  <c:v>1795000</c:v>
                </c:pt>
                <c:pt idx="565">
                  <c:v>1800000</c:v>
                </c:pt>
                <c:pt idx="566">
                  <c:v>1805000</c:v>
                </c:pt>
                <c:pt idx="567">
                  <c:v>1810000</c:v>
                </c:pt>
                <c:pt idx="568">
                  <c:v>1815000</c:v>
                </c:pt>
                <c:pt idx="569">
                  <c:v>1820000</c:v>
                </c:pt>
                <c:pt idx="570">
                  <c:v>1825000</c:v>
                </c:pt>
                <c:pt idx="571">
                  <c:v>1830000</c:v>
                </c:pt>
                <c:pt idx="572">
                  <c:v>1835000</c:v>
                </c:pt>
                <c:pt idx="573">
                  <c:v>1840000</c:v>
                </c:pt>
                <c:pt idx="574">
                  <c:v>1845000</c:v>
                </c:pt>
                <c:pt idx="575">
                  <c:v>1850000</c:v>
                </c:pt>
                <c:pt idx="576">
                  <c:v>1855000</c:v>
                </c:pt>
                <c:pt idx="577">
                  <c:v>1860000</c:v>
                </c:pt>
                <c:pt idx="578">
                  <c:v>1865000</c:v>
                </c:pt>
                <c:pt idx="579">
                  <c:v>1870000</c:v>
                </c:pt>
                <c:pt idx="580">
                  <c:v>1875000</c:v>
                </c:pt>
                <c:pt idx="581">
                  <c:v>1880000</c:v>
                </c:pt>
                <c:pt idx="582">
                  <c:v>1885000</c:v>
                </c:pt>
                <c:pt idx="583">
                  <c:v>1890000</c:v>
                </c:pt>
                <c:pt idx="584">
                  <c:v>1895000</c:v>
                </c:pt>
                <c:pt idx="585">
                  <c:v>1900000</c:v>
                </c:pt>
                <c:pt idx="586">
                  <c:v>1905000</c:v>
                </c:pt>
                <c:pt idx="587">
                  <c:v>1910000</c:v>
                </c:pt>
                <c:pt idx="588">
                  <c:v>1915000</c:v>
                </c:pt>
                <c:pt idx="589">
                  <c:v>1920000</c:v>
                </c:pt>
                <c:pt idx="590">
                  <c:v>1925000</c:v>
                </c:pt>
                <c:pt idx="591">
                  <c:v>1930000</c:v>
                </c:pt>
                <c:pt idx="592">
                  <c:v>1935000</c:v>
                </c:pt>
                <c:pt idx="593">
                  <c:v>1940000</c:v>
                </c:pt>
                <c:pt idx="594">
                  <c:v>1945000</c:v>
                </c:pt>
                <c:pt idx="595">
                  <c:v>1950000</c:v>
                </c:pt>
                <c:pt idx="596">
                  <c:v>1955000</c:v>
                </c:pt>
                <c:pt idx="597">
                  <c:v>1960000</c:v>
                </c:pt>
                <c:pt idx="598">
                  <c:v>1965000</c:v>
                </c:pt>
                <c:pt idx="599">
                  <c:v>1970000</c:v>
                </c:pt>
                <c:pt idx="600">
                  <c:v>1975000</c:v>
                </c:pt>
                <c:pt idx="601">
                  <c:v>1980000</c:v>
                </c:pt>
                <c:pt idx="602">
                  <c:v>1985000</c:v>
                </c:pt>
                <c:pt idx="603">
                  <c:v>1990000</c:v>
                </c:pt>
                <c:pt idx="604">
                  <c:v>1995000</c:v>
                </c:pt>
                <c:pt idx="605">
                  <c:v>2000000</c:v>
                </c:pt>
                <c:pt idx="606">
                  <c:v>2250000</c:v>
                </c:pt>
                <c:pt idx="607">
                  <c:v>2500000</c:v>
                </c:pt>
                <c:pt idx="608">
                  <c:v>2750000</c:v>
                </c:pt>
                <c:pt idx="609">
                  <c:v>3000000</c:v>
                </c:pt>
                <c:pt idx="610">
                  <c:v>3250000</c:v>
                </c:pt>
                <c:pt idx="611">
                  <c:v>3500000</c:v>
                </c:pt>
                <c:pt idx="612">
                  <c:v>3750000</c:v>
                </c:pt>
                <c:pt idx="613">
                  <c:v>4000000</c:v>
                </c:pt>
                <c:pt idx="614">
                  <c:v>4250000</c:v>
                </c:pt>
                <c:pt idx="615">
                  <c:v>4500000</c:v>
                </c:pt>
                <c:pt idx="616">
                  <c:v>4750000</c:v>
                </c:pt>
                <c:pt idx="617">
                  <c:v>5000000</c:v>
                </c:pt>
                <c:pt idx="618">
                  <c:v>5100000</c:v>
                </c:pt>
                <c:pt idx="619">
                  <c:v>5200000</c:v>
                </c:pt>
                <c:pt idx="620">
                  <c:v>5300000</c:v>
                </c:pt>
                <c:pt idx="621">
                  <c:v>5400000</c:v>
                </c:pt>
                <c:pt idx="622">
                  <c:v>5500000</c:v>
                </c:pt>
                <c:pt idx="623">
                  <c:v>5600000</c:v>
                </c:pt>
                <c:pt idx="624">
                  <c:v>5700000</c:v>
                </c:pt>
                <c:pt idx="625">
                  <c:v>5800000</c:v>
                </c:pt>
                <c:pt idx="626">
                  <c:v>5900000</c:v>
                </c:pt>
                <c:pt idx="627">
                  <c:v>6000000</c:v>
                </c:pt>
                <c:pt idx="628">
                  <c:v>6100000</c:v>
                </c:pt>
                <c:pt idx="629">
                  <c:v>6200000</c:v>
                </c:pt>
                <c:pt idx="630">
                  <c:v>6300000</c:v>
                </c:pt>
                <c:pt idx="631">
                  <c:v>6400000</c:v>
                </c:pt>
                <c:pt idx="632">
                  <c:v>6500000</c:v>
                </c:pt>
                <c:pt idx="633">
                  <c:v>6600000</c:v>
                </c:pt>
                <c:pt idx="634">
                  <c:v>6700000</c:v>
                </c:pt>
                <c:pt idx="635">
                  <c:v>6800000</c:v>
                </c:pt>
                <c:pt idx="636">
                  <c:v>6900000</c:v>
                </c:pt>
                <c:pt idx="637">
                  <c:v>7000000</c:v>
                </c:pt>
                <c:pt idx="638">
                  <c:v>7100000</c:v>
                </c:pt>
                <c:pt idx="639">
                  <c:v>7200000</c:v>
                </c:pt>
                <c:pt idx="640">
                  <c:v>7300000</c:v>
                </c:pt>
                <c:pt idx="641">
                  <c:v>7400000</c:v>
                </c:pt>
                <c:pt idx="642">
                  <c:v>7500000</c:v>
                </c:pt>
                <c:pt idx="643">
                  <c:v>7600000</c:v>
                </c:pt>
                <c:pt idx="644">
                  <c:v>7700000</c:v>
                </c:pt>
                <c:pt idx="645">
                  <c:v>7800000</c:v>
                </c:pt>
                <c:pt idx="646">
                  <c:v>7900000</c:v>
                </c:pt>
                <c:pt idx="647">
                  <c:v>8000000</c:v>
                </c:pt>
                <c:pt idx="648">
                  <c:v>8100000</c:v>
                </c:pt>
                <c:pt idx="649">
                  <c:v>8200000</c:v>
                </c:pt>
                <c:pt idx="650">
                  <c:v>8300000</c:v>
                </c:pt>
                <c:pt idx="651">
                  <c:v>8400000</c:v>
                </c:pt>
                <c:pt idx="652">
                  <c:v>8500000</c:v>
                </c:pt>
                <c:pt idx="653">
                  <c:v>8600000</c:v>
                </c:pt>
                <c:pt idx="654">
                  <c:v>8700000</c:v>
                </c:pt>
                <c:pt idx="655">
                  <c:v>8800000</c:v>
                </c:pt>
                <c:pt idx="656">
                  <c:v>8900000</c:v>
                </c:pt>
                <c:pt idx="657">
                  <c:v>9000000</c:v>
                </c:pt>
                <c:pt idx="658">
                  <c:v>9100000</c:v>
                </c:pt>
                <c:pt idx="659">
                  <c:v>9200000</c:v>
                </c:pt>
                <c:pt idx="660">
                  <c:v>9300000</c:v>
                </c:pt>
                <c:pt idx="661">
                  <c:v>9400000</c:v>
                </c:pt>
                <c:pt idx="662">
                  <c:v>9500000</c:v>
                </c:pt>
                <c:pt idx="663">
                  <c:v>9600000</c:v>
                </c:pt>
                <c:pt idx="664">
                  <c:v>9700000</c:v>
                </c:pt>
                <c:pt idx="665">
                  <c:v>9800000</c:v>
                </c:pt>
                <c:pt idx="666">
                  <c:v>9900000</c:v>
                </c:pt>
                <c:pt idx="667">
                  <c:v>10000000</c:v>
                </c:pt>
              </c:numCache>
            </c:numRef>
          </c:xVal>
          <c:yVal>
            <c:numRef>
              <c:f>'Bode Plots Calculations'!$Z$9:$Z$676</c:f>
              <c:numCache>
                <c:formatCode>General</c:formatCode>
                <c:ptCount val="668"/>
                <c:pt idx="0">
                  <c:v>90.059035472130446</c:v>
                </c:pt>
                <c:pt idx="1">
                  <c:v>90.118070849073149</c:v>
                </c:pt>
                <c:pt idx="2">
                  <c:v>90.177106035641359</c:v>
                </c:pt>
                <c:pt idx="3">
                  <c:v>90.236140936650372</c:v>
                </c:pt>
                <c:pt idx="4">
                  <c:v>90.295175456918471</c:v>
                </c:pt>
                <c:pt idx="5">
                  <c:v>90.354209501267889</c:v>
                </c:pt>
                <c:pt idx="6">
                  <c:v>90.413242974525929</c:v>
                </c:pt>
                <c:pt idx="7">
                  <c:v>90.472275781525894</c:v>
                </c:pt>
                <c:pt idx="8">
                  <c:v>90.531307827108051</c:v>
                </c:pt>
                <c:pt idx="9">
                  <c:v>90.590339016120723</c:v>
                </c:pt>
                <c:pt idx="10">
                  <c:v>91.180582869280101</c:v>
                </c:pt>
                <c:pt idx="11">
                  <c:v>91.770636496559788</c:v>
                </c:pt>
                <c:pt idx="12">
                  <c:v>92.360405034863192</c:v>
                </c:pt>
                <c:pt idx="13">
                  <c:v>92.949793920167664</c:v>
                </c:pt>
                <c:pt idx="14">
                  <c:v>93.538708985989672</c:v>
                </c:pt>
                <c:pt idx="15">
                  <c:v>94.127056560806722</c:v>
                </c:pt>
                <c:pt idx="16">
                  <c:v>94.714743564185</c:v>
                </c:pt>
                <c:pt idx="17">
                  <c:v>95.301677601367601</c:v>
                </c:pt>
                <c:pt idx="18">
                  <c:v>95.887767056085977</c:v>
                </c:pt>
                <c:pt idx="19">
                  <c:v>101.68278503849989</c:v>
                </c:pt>
                <c:pt idx="20">
                  <c:v>107.30149538581023</c:v>
                </c:pt>
                <c:pt idx="21">
                  <c:v>112.67654647129521</c:v>
                </c:pt>
                <c:pt idx="22">
                  <c:v>117.7603630019334</c:v>
                </c:pt>
                <c:pt idx="23">
                  <c:v>122.52523987959493</c:v>
                </c:pt>
                <c:pt idx="24">
                  <c:v>126.96087108581716</c:v>
                </c:pt>
                <c:pt idx="25">
                  <c:v>131.07055820218432</c:v>
                </c:pt>
                <c:pt idx="26">
                  <c:v>134.86717536790809</c:v>
                </c:pt>
                <c:pt idx="27">
                  <c:v>138.36957652411346</c:v>
                </c:pt>
                <c:pt idx="28">
                  <c:v>152.25007029277157</c:v>
                </c:pt>
                <c:pt idx="29">
                  <c:v>161.87592250295071</c:v>
                </c:pt>
                <c:pt idx="30">
                  <c:v>168.90500278447908</c:v>
                </c:pt>
                <c:pt idx="31">
                  <c:v>174.23249785373588</c:v>
                </c:pt>
                <c:pt idx="32">
                  <c:v>178.33036180884514</c:v>
                </c:pt>
                <c:pt idx="33">
                  <c:v>181.44538854526391</c:v>
                </c:pt>
                <c:pt idx="34">
                  <c:v>183.69572635273369</c:v>
                </c:pt>
                <c:pt idx="35">
                  <c:v>185.11472187372408</c:v>
                </c:pt>
                <c:pt idx="36">
                  <c:v>185.66671803760156</c:v>
                </c:pt>
                <c:pt idx="37">
                  <c:v>185.24520253208414</c:v>
                </c:pt>
                <c:pt idx="38">
                  <c:v>183.65689900155283</c:v>
                </c:pt>
                <c:pt idx="39">
                  <c:v>180.59395093048937</c:v>
                </c:pt>
                <c:pt idx="40">
                  <c:v>175.60488330042332</c:v>
                </c:pt>
                <c:pt idx="41">
                  <c:v>168.11187083550854</c:v>
                </c:pt>
                <c:pt idx="42">
                  <c:v>157.61568647615891</c:v>
                </c:pt>
                <c:pt idx="43">
                  <c:v>144.2890293820326</c:v>
                </c:pt>
                <c:pt idx="44">
                  <c:v>129.6495809151784</c:v>
                </c:pt>
                <c:pt idx="45">
                  <c:v>116.03497275350188</c:v>
                </c:pt>
                <c:pt idx="46">
                  <c:v>104.9754591074403</c:v>
                </c:pt>
                <c:pt idx="47">
                  <c:v>96.649159172544302</c:v>
                </c:pt>
                <c:pt idx="48">
                  <c:v>90.549120884041841</c:v>
                </c:pt>
                <c:pt idx="49">
                  <c:v>86.080752544351569</c:v>
                </c:pt>
                <c:pt idx="50">
                  <c:v>82.769286414569606</c:v>
                </c:pt>
                <c:pt idx="51">
                  <c:v>80.276575224919029</c:v>
                </c:pt>
                <c:pt idx="52">
                  <c:v>78.369550252870852</c:v>
                </c:pt>
                <c:pt idx="53">
                  <c:v>76.887806048934877</c:v>
                </c:pt>
                <c:pt idx="54">
                  <c:v>75.719722577032655</c:v>
                </c:pt>
                <c:pt idx="55">
                  <c:v>74.786405586650091</c:v>
                </c:pt>
                <c:pt idx="56">
                  <c:v>74.03115186039129</c:v>
                </c:pt>
                <c:pt idx="57">
                  <c:v>73.412538487242585</c:v>
                </c:pt>
                <c:pt idx="58">
                  <c:v>72.899841595730777</c:v>
                </c:pt>
                <c:pt idx="59">
                  <c:v>72.469953960595447</c:v>
                </c:pt>
                <c:pt idx="60">
                  <c:v>72.105277002535303</c:v>
                </c:pt>
                <c:pt idx="61">
                  <c:v>71.792255322867504</c:v>
                </c:pt>
                <c:pt idx="62">
                  <c:v>71.520341664769902</c:v>
                </c:pt>
                <c:pt idx="63">
                  <c:v>71.281254858921827</c:v>
                </c:pt>
                <c:pt idx="64">
                  <c:v>71.068440332888059</c:v>
                </c:pt>
                <c:pt idx="65">
                  <c:v>70.876672769800308</c:v>
                </c:pt>
                <c:pt idx="66">
                  <c:v>70.701759931438801</c:v>
                </c:pt>
                <c:pt idx="67">
                  <c:v>70.540319431436046</c:v>
                </c:pt>
                <c:pt idx="68">
                  <c:v>70.389608763229603</c:v>
                </c:pt>
                <c:pt idx="69">
                  <c:v>70.247394652086427</c:v>
                </c:pt>
                <c:pt idx="70">
                  <c:v>70.111851755313268</c:v>
                </c:pt>
                <c:pt idx="71">
                  <c:v>69.981483483469347</c:v>
                </c:pt>
                <c:pt idx="72">
                  <c:v>69.855059649525174</c:v>
                </c:pt>
                <c:pt idx="73">
                  <c:v>69.731567029777025</c:v>
                </c:pt>
                <c:pt idx="74">
                  <c:v>69.610169911286462</c:v>
                </c:pt>
                <c:pt idx="75">
                  <c:v>69.490178421226616</c:v>
                </c:pt>
                <c:pt idx="76">
                  <c:v>69.371022962641192</c:v>
                </c:pt>
                <c:pt idx="77">
                  <c:v>69.25223347321932</c:v>
                </c:pt>
                <c:pt idx="78">
                  <c:v>69.133422516749448</c:v>
                </c:pt>
                <c:pt idx="79">
                  <c:v>69.014271437740021</c:v>
                </c:pt>
                <c:pt idx="80">
                  <c:v>68.894518977371504</c:v>
                </c:pt>
                <c:pt idx="81">
                  <c:v>68.773951877178916</c:v>
                </c:pt>
                <c:pt idx="82">
                  <c:v>68.652397095615271</c:v>
                </c:pt>
                <c:pt idx="83">
                  <c:v>68.529715339177017</c:v>
                </c:pt>
                <c:pt idx="84">
                  <c:v>68.405795669452573</c:v>
                </c:pt>
                <c:pt idx="85">
                  <c:v>68.280550994258846</c:v>
                </c:pt>
                <c:pt idx="86">
                  <c:v>68.153914287942484</c:v>
                </c:pt>
                <c:pt idx="87">
                  <c:v>68.025835415183209</c:v>
                </c:pt>
                <c:pt idx="88">
                  <c:v>67.896278455945833</c:v>
                </c:pt>
                <c:pt idx="89">
                  <c:v>67.7652194478854</c:v>
                </c:pt>
                <c:pt idx="90">
                  <c:v>67.632644477511533</c:v>
                </c:pt>
                <c:pt idx="91">
                  <c:v>67.498548063527778</c:v>
                </c:pt>
                <c:pt idx="92">
                  <c:v>67.362931785581864</c:v>
                </c:pt>
                <c:pt idx="93">
                  <c:v>67.225803119653392</c:v>
                </c:pt>
                <c:pt idx="94">
                  <c:v>67.087174447832766</c:v>
                </c:pt>
                <c:pt idx="95">
                  <c:v>66.947062215596191</c:v>
                </c:pt>
                <c:pt idx="96">
                  <c:v>66.80548621408191</c:v>
                </c:pt>
                <c:pt idx="97">
                  <c:v>66.662468968504442</c:v>
                </c:pt>
                <c:pt idx="98">
                  <c:v>66.518035216849213</c:v>
                </c:pt>
                <c:pt idx="99">
                  <c:v>66.372211465485151</c:v>
                </c:pt>
                <c:pt idx="100">
                  <c:v>66.225025610408863</c:v>
                </c:pt>
                <c:pt idx="101">
                  <c:v>66.07650661456924</c:v>
                </c:pt>
                <c:pt idx="102">
                  <c:v>65.926684233170448</c:v>
                </c:pt>
                <c:pt idx="103">
                  <c:v>65.77558878006981</c:v>
                </c:pt>
                <c:pt idx="104">
                  <c:v>65.623250929409608</c:v>
                </c:pt>
                <c:pt idx="105">
                  <c:v>65.469701547484974</c:v>
                </c:pt>
                <c:pt idx="106">
                  <c:v>65.314971550579401</c:v>
                </c:pt>
                <c:pt idx="107">
                  <c:v>65.159091785114384</c:v>
                </c:pt>
                <c:pt idx="108">
                  <c:v>65.002092926984091</c:v>
                </c:pt>
                <c:pt idx="109">
                  <c:v>64.844005397391214</c:v>
                </c:pt>
                <c:pt idx="110">
                  <c:v>64.684859292876197</c:v>
                </c:pt>
                <c:pt idx="111">
                  <c:v>64.524684327556642</c:v>
                </c:pt>
                <c:pt idx="112">
                  <c:v>64.363509785869425</c:v>
                </c:pt>
                <c:pt idx="113">
                  <c:v>64.201364484341966</c:v>
                </c:pt>
                <c:pt idx="114">
                  <c:v>64.038276741123568</c:v>
                </c:pt>
                <c:pt idx="115">
                  <c:v>63.874274352180137</c:v>
                </c:pt>
                <c:pt idx="116">
                  <c:v>63.709384573203337</c:v>
                </c:pt>
                <c:pt idx="117">
                  <c:v>63.54363410641642</c:v>
                </c:pt>
                <c:pt idx="118">
                  <c:v>63.377049091566434</c:v>
                </c:pt>
                <c:pt idx="119">
                  <c:v>63.209655100490068</c:v>
                </c:pt>
                <c:pt idx="120">
                  <c:v>63.041477134721262</c:v>
                </c:pt>
                <c:pt idx="121">
                  <c:v>62.872539625680076</c:v>
                </c:pt>
                <c:pt idx="122">
                  <c:v>62.702866437045415</c:v>
                </c:pt>
                <c:pt idx="123">
                  <c:v>62.532480868964726</c:v>
                </c:pt>
                <c:pt idx="124">
                  <c:v>62.361405663802756</c:v>
                </c:pt>
                <c:pt idx="125">
                  <c:v>62.189663013169593</c:v>
                </c:pt>
                <c:pt idx="126">
                  <c:v>62.017274566004659</c:v>
                </c:pt>
                <c:pt idx="127">
                  <c:v>61.844261437521453</c:v>
                </c:pt>
                <c:pt idx="128">
                  <c:v>61.670644218846917</c:v>
                </c:pt>
                <c:pt idx="129">
                  <c:v>61.496442987209491</c:v>
                </c:pt>
                <c:pt idx="130">
                  <c:v>61.321677316551316</c:v>
                </c:pt>
                <c:pt idx="131">
                  <c:v>61.146366288457656</c:v>
                </c:pt>
                <c:pt idx="132">
                  <c:v>60.970528503310248</c:v>
                </c:pt>
                <c:pt idx="133">
                  <c:v>60.794182091585228</c:v>
                </c:pt>
                <c:pt idx="134">
                  <c:v>60.61734472522879</c:v>
                </c:pt>
                <c:pt idx="135">
                  <c:v>60.440033629051896</c:v>
                </c:pt>
                <c:pt idx="136">
                  <c:v>60.262265592093996</c:v>
                </c:pt>
                <c:pt idx="137">
                  <c:v>60.084056978916507</c:v>
                </c:pt>
                <c:pt idx="138">
                  <c:v>59.905423740788123</c:v>
                </c:pt>
                <c:pt idx="139">
                  <c:v>59.726381426734704</c:v>
                </c:pt>
                <c:pt idx="140">
                  <c:v>59.546945194427948</c:v>
                </c:pt>
                <c:pt idx="141">
                  <c:v>59.367129820894192</c:v>
                </c:pt>
                <c:pt idx="142">
                  <c:v>59.186949713025811</c:v>
                </c:pt>
                <c:pt idx="143">
                  <c:v>59.006418917882456</c:v>
                </c:pt>
                <c:pt idx="144">
                  <c:v>58.825551132772503</c:v>
                </c:pt>
                <c:pt idx="145">
                  <c:v>58.644359715106376</c:v>
                </c:pt>
                <c:pt idx="146">
                  <c:v>58.462857692016314</c:v>
                </c:pt>
                <c:pt idx="147">
                  <c:v>58.281057769738652</c:v>
                </c:pt>
                <c:pt idx="148">
                  <c:v>58.098972342756241</c:v>
                </c:pt>
                <c:pt idx="149">
                  <c:v>57.916613502700315</c:v>
                </c:pt>
                <c:pt idx="150">
                  <c:v>57.733993047012049</c:v>
                </c:pt>
                <c:pt idx="151">
                  <c:v>57.551122487364395</c:v>
                </c:pt>
                <c:pt idx="152">
                  <c:v>57.368013057846724</c:v>
                </c:pt>
                <c:pt idx="153">
                  <c:v>57.184675722915216</c:v>
                </c:pt>
                <c:pt idx="154">
                  <c:v>57.00112118511143</c:v>
                </c:pt>
                <c:pt idx="155">
                  <c:v>56.817359892553299</c:v>
                </c:pt>
                <c:pt idx="156">
                  <c:v>56.63340204620286</c:v>
                </c:pt>
                <c:pt idx="157">
                  <c:v>56.449257606914671</c:v>
                </c:pt>
                <c:pt idx="158">
                  <c:v>56.264936302270144</c:v>
                </c:pt>
                <c:pt idx="159">
                  <c:v>56.080447633202084</c:v>
                </c:pt>
                <c:pt idx="160">
                  <c:v>55.895800880415138</c:v>
                </c:pt>
                <c:pt idx="161">
                  <c:v>55.711005110606791</c:v>
                </c:pt>
                <c:pt idx="162">
                  <c:v>55.52606918249441</c:v>
                </c:pt>
                <c:pt idx="163">
                  <c:v>55.341001752653185</c:v>
                </c:pt>
                <c:pt idx="164">
                  <c:v>55.155811281170969</c:v>
                </c:pt>
                <c:pt idx="165">
                  <c:v>54.970506037124295</c:v>
                </c:pt>
                <c:pt idx="166">
                  <c:v>54.785094103881363</c:v>
                </c:pt>
                <c:pt idx="167">
                  <c:v>54.599583384237434</c:v>
                </c:pt>
                <c:pt idx="168">
                  <c:v>54.413981605386667</c:v>
                </c:pt>
                <c:pt idx="169">
                  <c:v>54.22829632373616</c:v>
                </c:pt>
                <c:pt idx="170">
                  <c:v>54.042534929567481</c:v>
                </c:pt>
                <c:pt idx="171">
                  <c:v>53.856704651549322</c:v>
                </c:pt>
                <c:pt idx="172">
                  <c:v>53.6708125611068</c:v>
                </c:pt>
                <c:pt idx="173">
                  <c:v>53.484865576652382</c:v>
                </c:pt>
                <c:pt idx="174">
                  <c:v>53.298870467681411</c:v>
                </c:pt>
                <c:pt idx="175">
                  <c:v>53.112833858738881</c:v>
                </c:pt>
                <c:pt idx="176">
                  <c:v>52.926762233258984</c:v>
                </c:pt>
                <c:pt idx="177">
                  <c:v>52.740661937284344</c:v>
                </c:pt>
                <c:pt idx="178">
                  <c:v>52.554539183066908</c:v>
                </c:pt>
                <c:pt idx="179">
                  <c:v>52.36840005255533</c:v>
                </c:pt>
                <c:pt idx="180">
                  <c:v>52.18225050077281</c:v>
                </c:pt>
                <c:pt idx="181">
                  <c:v>51.996096359088028</c:v>
                </c:pt>
                <c:pt idx="182">
                  <c:v>51.809943338384329</c:v>
                </c:pt>
                <c:pt idx="183">
                  <c:v>51.623797032129147</c:v>
                </c:pt>
                <c:pt idx="184">
                  <c:v>51.437662919347844</c:v>
                </c:pt>
                <c:pt idx="185">
                  <c:v>51.251546367504943</c:v>
                </c:pt>
                <c:pt idx="186">
                  <c:v>51.065452635295856</c:v>
                </c:pt>
                <c:pt idx="187">
                  <c:v>50.879386875352566</c:v>
                </c:pt>
                <c:pt idx="188">
                  <c:v>50.693354136865139</c:v>
                </c:pt>
                <c:pt idx="189">
                  <c:v>50.507359368123502</c:v>
                </c:pt>
                <c:pt idx="190">
                  <c:v>50.321407418980584</c:v>
                </c:pt>
                <c:pt idx="191">
                  <c:v>50.135503043240448</c:v>
                </c:pt>
                <c:pt idx="192">
                  <c:v>49.949650900973921</c:v>
                </c:pt>
                <c:pt idx="193">
                  <c:v>49.763855560763659</c:v>
                </c:pt>
                <c:pt idx="194">
                  <c:v>49.578121501881668</c:v>
                </c:pt>
                <c:pt idx="195">
                  <c:v>49.392453116400958</c:v>
                </c:pt>
                <c:pt idx="196">
                  <c:v>49.206854711243892</c:v>
                </c:pt>
                <c:pt idx="197">
                  <c:v>49.021330510170003</c:v>
                </c:pt>
                <c:pt idx="198">
                  <c:v>48.83588465570341</c:v>
                </c:pt>
                <c:pt idx="199">
                  <c:v>48.650521211004218</c:v>
                </c:pt>
                <c:pt idx="200">
                  <c:v>48.465244161684183</c:v>
                </c:pt>
                <c:pt idx="201">
                  <c:v>48.280057417569026</c:v>
                </c:pt>
                <c:pt idx="202">
                  <c:v>48.094964814409366</c:v>
                </c:pt>
                <c:pt idx="203">
                  <c:v>47.909970115541597</c:v>
                </c:pt>
                <c:pt idx="204">
                  <c:v>47.725077013500481</c:v>
                </c:pt>
                <c:pt idx="205">
                  <c:v>47.540289131585638</c:v>
                </c:pt>
                <c:pt idx="206">
                  <c:v>47.355610025382475</c:v>
                </c:pt>
                <c:pt idx="207">
                  <c:v>47.171043184239693</c:v>
                </c:pt>
                <c:pt idx="208">
                  <c:v>46.986592032705033</c:v>
                </c:pt>
                <c:pt idx="209">
                  <c:v>46.802259931919878</c:v>
                </c:pt>
                <c:pt idx="210">
                  <c:v>46.61805018097462</c:v>
                </c:pt>
                <c:pt idx="211">
                  <c:v>46.433966018226073</c:v>
                </c:pt>
                <c:pt idx="212">
                  <c:v>46.250010622577918</c:v>
                </c:pt>
                <c:pt idx="213">
                  <c:v>46.066187114725579</c:v>
                </c:pt>
                <c:pt idx="214">
                  <c:v>45.882498558366564</c:v>
                </c:pt>
                <c:pt idx="215">
                  <c:v>45.698947961377684</c:v>
                </c:pt>
                <c:pt idx="216">
                  <c:v>45.515538276959603</c:v>
                </c:pt>
                <c:pt idx="217">
                  <c:v>45.33227240475054</c:v>
                </c:pt>
                <c:pt idx="218">
                  <c:v>45.149153191909477</c:v>
                </c:pt>
                <c:pt idx="219">
                  <c:v>44.96618343417046</c:v>
                </c:pt>
                <c:pt idx="220">
                  <c:v>44.783365876868089</c:v>
                </c:pt>
                <c:pt idx="221">
                  <c:v>44.600703215936306</c:v>
                </c:pt>
                <c:pt idx="222">
                  <c:v>44.418198098879714</c:v>
                </c:pt>
                <c:pt idx="223">
                  <c:v>44.235853125720126</c:v>
                </c:pt>
                <c:pt idx="224">
                  <c:v>44.053670849917665</c:v>
                </c:pt>
                <c:pt idx="225">
                  <c:v>43.871653779267973</c:v>
                </c:pt>
                <c:pt idx="226">
                  <c:v>42.061090104989944</c:v>
                </c:pt>
                <c:pt idx="227">
                  <c:v>40.269497421065694</c:v>
                </c:pt>
                <c:pt idx="228">
                  <c:v>38.498748278672934</c:v>
                </c:pt>
                <c:pt idx="229">
                  <c:v>36.750405942513652</c:v>
                </c:pt>
                <c:pt idx="230">
                  <c:v>35.025770866329651</c:v>
                </c:pt>
                <c:pt idx="231">
                  <c:v>33.325918069803748</c:v>
                </c:pt>
                <c:pt idx="232">
                  <c:v>31.651727633570943</c:v>
                </c:pt>
                <c:pt idx="233">
                  <c:v>30.003909926785639</c:v>
                </c:pt>
                <c:pt idx="234">
                  <c:v>28.383026753359559</c:v>
                </c:pt>
                <c:pt idx="235">
                  <c:v>26.789509295809751</c:v>
                </c:pt>
                <c:pt idx="236">
                  <c:v>25.223673513620184</c:v>
                </c:pt>
                <c:pt idx="237">
                  <c:v>23.685733491303921</c:v>
                </c:pt>
                <c:pt idx="238">
                  <c:v>22.175813112745118</c:v>
                </c:pt>
                <c:pt idx="239">
                  <c:v>20.693956350835691</c:v>
                </c:pt>
                <c:pt idx="240">
                  <c:v>19.240136396367006</c:v>
                </c:pt>
                <c:pt idx="241">
                  <c:v>17.814263801531439</c:v>
                </c:pt>
                <c:pt idx="242">
                  <c:v>16.416193776852879</c:v>
                </c:pt>
                <c:pt idx="243">
                  <c:v>15.045732752748989</c:v>
                </c:pt>
                <c:pt idx="244">
                  <c:v>13.702644295930583</c:v>
                </c:pt>
                <c:pt idx="245">
                  <c:v>12.386654454768831</c:v>
                </c:pt>
                <c:pt idx="246">
                  <c:v>11.0974565953791</c:v>
                </c:pt>
                <c:pt idx="247">
                  <c:v>9.8347157805478673</c:v>
                </c:pt>
                <c:pt idx="248">
                  <c:v>8.5980727360898754</c:v>
                </c:pt>
                <c:pt idx="249">
                  <c:v>7.387147443253582</c:v>
                </c:pt>
                <c:pt idx="250">
                  <c:v>6.2015423910129641</c:v>
                </c:pt>
                <c:pt idx="251">
                  <c:v>5.0408455182055718</c:v>
                </c:pt>
                <c:pt idx="252">
                  <c:v>3.9046328722909891</c:v>
                </c:pt>
                <c:pt idx="253">
                  <c:v>2.7924710088399252</c:v>
                </c:pt>
                <c:pt idx="254">
                  <c:v>1.7039191536163116</c:v>
                </c:pt>
                <c:pt idx="255">
                  <c:v>0.63853114717366566</c:v>
                </c:pt>
                <c:pt idx="256">
                  <c:v>-0.40414280979726414</c:v>
                </c:pt>
                <c:pt idx="257">
                  <c:v>-1.4245545936252313</c:v>
                </c:pt>
                <c:pt idx="258">
                  <c:v>-2.4231567619073644</c:v>
                </c:pt>
                <c:pt idx="259">
                  <c:v>-3.4004013106399498</c:v>
                </c:pt>
                <c:pt idx="260">
                  <c:v>-4.3567385711148461</c:v>
                </c:pt>
                <c:pt idx="261">
                  <c:v>-5.2926162344701027</c:v>
                </c:pt>
                <c:pt idx="262">
                  <c:v>-6.2084784927062344</c:v>
                </c:pt>
                <c:pt idx="263">
                  <c:v>-7.1047652858350432</c:v>
                </c:pt>
                <c:pt idx="264">
                  <c:v>-7.9819116456216364</c:v>
                </c:pt>
                <c:pt idx="265">
                  <c:v>-8.840347127117866</c:v>
                </c:pt>
                <c:pt idx="266">
                  <c:v>-9.6804953198712269</c:v>
                </c:pt>
                <c:pt idx="267">
                  <c:v>-10.502773431333111</c:v>
                </c:pt>
                <c:pt idx="268">
                  <c:v>-11.30759193558572</c:v>
                </c:pt>
                <c:pt idx="269">
                  <c:v>-12.095354281060906</c:v>
                </c:pt>
                <c:pt idx="270">
                  <c:v>-12.866456651440501</c:v>
                </c:pt>
                <c:pt idx="271">
                  <c:v>-13.621287774406255</c:v>
                </c:pt>
                <c:pt idx="272">
                  <c:v>-14.360228773355345</c:v>
                </c:pt>
                <c:pt idx="273">
                  <c:v>-15.083653057607108</c:v>
                </c:pt>
                <c:pt idx="274">
                  <c:v>-15.791926247014317</c:v>
                </c:pt>
                <c:pt idx="275">
                  <c:v>-16.485406127243039</c:v>
                </c:pt>
                <c:pt idx="276">
                  <c:v>-17.164442632316224</c:v>
                </c:pt>
                <c:pt idx="277">
                  <c:v>-17.82937785131665</c:v>
                </c:pt>
                <c:pt idx="278">
                  <c:v>-18.480546056426704</c:v>
                </c:pt>
                <c:pt idx="279">
                  <c:v>-19.118273749738989</c:v>
                </c:pt>
                <c:pt idx="280">
                  <c:v>-19.742879726507567</c:v>
                </c:pt>
                <c:pt idx="281">
                  <c:v>-20.354675152730238</c:v>
                </c:pt>
                <c:pt idx="282">
                  <c:v>-20.953963655149977</c:v>
                </c:pt>
                <c:pt idx="283">
                  <c:v>-21.54104142194879</c:v>
                </c:pt>
                <c:pt idx="284">
                  <c:v>-22.116197312574172</c:v>
                </c:pt>
                <c:pt idx="285">
                  <c:v>-22.679712975292659</c:v>
                </c:pt>
                <c:pt idx="286">
                  <c:v>-23.231862971207192</c:v>
                </c:pt>
                <c:pt idx="287">
                  <c:v>-23.772914903600679</c:v>
                </c:pt>
                <c:pt idx="288">
                  <c:v>-24.303129551587887</c:v>
                </c:pt>
                <c:pt idx="289">
                  <c:v>-24.822761007163734</c:v>
                </c:pt>
                <c:pt idx="290">
                  <c:v>-25.332056814833209</c:v>
                </c:pt>
                <c:pt idx="291">
                  <c:v>-25.831258113097704</c:v>
                </c:pt>
                <c:pt idx="292">
                  <c:v>-26.320599777150932</c:v>
                </c:pt>
                <c:pt idx="293">
                  <c:v>-26.800310562214435</c:v>
                </c:pt>
                <c:pt idx="294">
                  <c:v>-27.270613247003979</c:v>
                </c:pt>
                <c:pt idx="295">
                  <c:v>-27.731724776883112</c:v>
                </c:pt>
                <c:pt idx="296">
                  <c:v>-28.183856406310838</c:v>
                </c:pt>
                <c:pt idx="297">
                  <c:v>-28.627213840241694</c:v>
                </c:pt>
                <c:pt idx="298">
                  <c:v>-29.061997374179782</c:v>
                </c:pt>
                <c:pt idx="299">
                  <c:v>-29.488402032629239</c:v>
                </c:pt>
                <c:pt idx="300">
                  <c:v>-29.906617705718304</c:v>
                </c:pt>
                <c:pt idx="301">
                  <c:v>-30.316829283808318</c:v>
                </c:pt>
                <c:pt idx="302">
                  <c:v>-30.719216789927088</c:v>
                </c:pt>
                <c:pt idx="303">
                  <c:v>-31.113955509892122</c:v>
                </c:pt>
                <c:pt idx="304">
                  <c:v>-31.501216120013538</c:v>
                </c:pt>
                <c:pt idx="305">
                  <c:v>-31.881164812286642</c:v>
                </c:pt>
                <c:pt idx="306">
                  <c:v>-32.253963417002808</c:v>
                </c:pt>
                <c:pt idx="307">
                  <c:v>-32.619769522725619</c:v>
                </c:pt>
                <c:pt idx="308">
                  <c:v>-32.978736593590952</c:v>
                </c:pt>
                <c:pt idx="309">
                  <c:v>-33.331014083906183</c:v>
                </c:pt>
                <c:pt idx="310">
                  <c:v>-33.676747550033468</c:v>
                </c:pt>
                <c:pt idx="311">
                  <c:v>-34.016078759552073</c:v>
                </c:pt>
                <c:pt idx="312">
                  <c:v>-34.349145797705887</c:v>
                </c:pt>
                <c:pt idx="313">
                  <c:v>-34.67608317114653</c:v>
                </c:pt>
                <c:pt idx="314">
                  <c:v>-34.997021908994355</c:v>
                </c:pt>
                <c:pt idx="315">
                  <c:v>-35.312089661240094</c:v>
                </c:pt>
                <c:pt idx="316">
                  <c:v>-35.621410794520159</c:v>
                </c:pt>
                <c:pt idx="317">
                  <c:v>-35.925106485299466</c:v>
                </c:pt>
                <c:pt idx="318">
                  <c:v>-36.22329481050096</c:v>
                </c:pt>
                <c:pt idx="319">
                  <c:v>-36.51609083562488</c:v>
                </c:pt>
                <c:pt idx="320">
                  <c:v>-36.803606700401502</c:v>
                </c:pt>
                <c:pt idx="321">
                  <c:v>-37.085951702025653</c:v>
                </c:pt>
                <c:pt idx="322">
                  <c:v>-37.363232376020449</c:v>
                </c:pt>
                <c:pt idx="323">
                  <c:v>-37.635552574782309</c:v>
                </c:pt>
                <c:pt idx="324">
                  <c:v>-37.903013543857384</c:v>
                </c:pt>
                <c:pt idx="325">
                  <c:v>-38.165713996001443</c:v>
                </c:pt>
                <c:pt idx="326">
                  <c:v>-38.423750183077203</c:v>
                </c:pt>
                <c:pt idx="327">
                  <c:v>-38.677215965840361</c:v>
                </c:pt>
                <c:pt idx="328">
                  <c:v>-38.92620288166907</c:v>
                </c:pt>
                <c:pt idx="329">
                  <c:v>-39.170800210288121</c:v>
                </c:pt>
                <c:pt idx="330">
                  <c:v>-39.4110950375416</c:v>
                </c:pt>
                <c:pt idx="331">
                  <c:v>-39.647172317265671</c:v>
                </c:pt>
                <c:pt idx="332">
                  <c:v>-39.879114931314206</c:v>
                </c:pt>
                <c:pt idx="333">
                  <c:v>-40.107003747786649</c:v>
                </c:pt>
                <c:pt idx="334">
                  <c:v>-40.33091767751003</c:v>
                </c:pt>
                <c:pt idx="335">
                  <c:v>-40.550933728824248</c:v>
                </c:pt>
                <c:pt idx="336">
                  <c:v>-40.767127060718991</c:v>
                </c:pt>
                <c:pt idx="337">
                  <c:v>-40.979571034370906</c:v>
                </c:pt>
                <c:pt idx="338">
                  <c:v>-41.188337263127153</c:v>
                </c:pt>
                <c:pt idx="339">
                  <c:v>-41.393495660981671</c:v>
                </c:pt>
                <c:pt idx="340">
                  <c:v>-41.595114489589236</c:v>
                </c:pt>
                <c:pt idx="341">
                  <c:v>-41.793260403860955</c:v>
                </c:pt>
                <c:pt idx="342">
                  <c:v>-41.987998496183991</c:v>
                </c:pt>
                <c:pt idx="343">
                  <c:v>-42.179392339307299</c:v>
                </c:pt>
                <c:pt idx="344">
                  <c:v>-42.367504027934729</c:v>
                </c:pt>
                <c:pt idx="345">
                  <c:v>-42.552394219064496</c:v>
                </c:pt>
                <c:pt idx="346">
                  <c:v>-42.734122171113569</c:v>
                </c:pt>
                <c:pt idx="347">
                  <c:v>-42.912745781865425</c:v>
                </c:pt>
                <c:pt idx="348">
                  <c:v>-43.08832162527699</c:v>
                </c:pt>
                <c:pt idx="349">
                  <c:v>-43.260904987180226</c:v>
                </c:pt>
                <c:pt idx="350">
                  <c:v>-43.430549899913558</c:v>
                </c:pt>
                <c:pt idx="351">
                  <c:v>-43.59730917591628</c:v>
                </c:pt>
                <c:pt idx="352">
                  <c:v>-43.761234440317935</c:v>
                </c:pt>
                <c:pt idx="353">
                  <c:v>-43.922376162555594</c:v>
                </c:pt>
                <c:pt idx="354">
                  <c:v>-44.08078368704804</c:v>
                </c:pt>
                <c:pt idx="355">
                  <c:v>-44.236505262957735</c:v>
                </c:pt>
                <c:pt idx="356">
                  <c:v>-44.389588073069234</c:v>
                </c:pt>
                <c:pt idx="357">
                  <c:v>-44.54007826181109</c:v>
                </c:pt>
                <c:pt idx="358">
                  <c:v>-44.688020962449428</c:v>
                </c:pt>
                <c:pt idx="359">
                  <c:v>-44.833460323478675</c:v>
                </c:pt>
                <c:pt idx="360">
                  <c:v>-44.976439534234913</c:v>
                </c:pt>
                <c:pt idx="361">
                  <c:v>-45.117000849756948</c:v>
                </c:pt>
                <c:pt idx="362">
                  <c:v>-45.255185614917707</c:v>
                </c:pt>
                <c:pt idx="363">
                  <c:v>-45.391034287850658</c:v>
                </c:pt>
                <c:pt idx="364">
                  <c:v>-45.524586462691985</c:v>
                </c:pt>
                <c:pt idx="365">
                  <c:v>-45.655880891661297</c:v>
                </c:pt>
                <c:pt idx="366">
                  <c:v>-45.784955506500637</c:v>
                </c:pt>
                <c:pt idx="367">
                  <c:v>-45.911847439293069</c:v>
                </c:pt>
                <c:pt idx="368">
                  <c:v>-46.036593042680124</c:v>
                </c:pt>
                <c:pt idx="369">
                  <c:v>-46.159227909495939</c:v>
                </c:pt>
                <c:pt idx="370">
                  <c:v>-46.279786891838455</c:v>
                </c:pt>
                <c:pt idx="371">
                  <c:v>-46.398304119593178</c:v>
                </c:pt>
                <c:pt idx="372">
                  <c:v>-46.514813018428356</c:v>
                </c:pt>
                <c:pt idx="373">
                  <c:v>-46.629346327277432</c:v>
                </c:pt>
                <c:pt idx="374">
                  <c:v>-46.741936115323909</c:v>
                </c:pt>
                <c:pt idx="375">
                  <c:v>-46.852613798506582</c:v>
                </c:pt>
                <c:pt idx="376">
                  <c:v>-46.961410155557189</c:v>
                </c:pt>
                <c:pt idx="377">
                  <c:v>-47.068355343587228</c:v>
                </c:pt>
                <c:pt idx="378">
                  <c:v>-47.173478913236409</c:v>
                </c:pt>
                <c:pt idx="379">
                  <c:v>-47.276809823397798</c:v>
                </c:pt>
                <c:pt idx="380">
                  <c:v>-47.378376455531537</c:v>
                </c:pt>
                <c:pt idx="381">
                  <c:v>-47.478206627579965</c:v>
                </c:pt>
                <c:pt idx="382">
                  <c:v>-47.576327607497234</c:v>
                </c:pt>
                <c:pt idx="383">
                  <c:v>-47.672766126404724</c:v>
                </c:pt>
                <c:pt idx="384">
                  <c:v>-47.767548391383087</c:v>
                </c:pt>
                <c:pt idx="385">
                  <c:v>-47.860700097913792</c:v>
                </c:pt>
                <c:pt idx="386">
                  <c:v>-47.952246441978673</c:v>
                </c:pt>
                <c:pt idx="387">
                  <c:v>-48.042212131829899</c:v>
                </c:pt>
                <c:pt idx="388">
                  <c:v>-48.130621399438979</c:v>
                </c:pt>
                <c:pt idx="389">
                  <c:v>-48.217498011635115</c:v>
                </c:pt>
                <c:pt idx="390">
                  <c:v>-48.302865280942711</c:v>
                </c:pt>
                <c:pt idx="391">
                  <c:v>-48.386746076125831</c:v>
                </c:pt>
                <c:pt idx="392">
                  <c:v>-48.469162832449967</c:v>
                </c:pt>
                <c:pt idx="393">
                  <c:v>-48.55013756166835</c:v>
                </c:pt>
                <c:pt idx="394">
                  <c:v>-48.629691861742316</c:v>
                </c:pt>
                <c:pt idx="395">
                  <c:v>-48.707846926301784</c:v>
                </c:pt>
                <c:pt idx="396">
                  <c:v>-48.784623553855937</c:v>
                </c:pt>
                <c:pt idx="397">
                  <c:v>-48.860042156759391</c:v>
                </c:pt>
                <c:pt idx="398">
                  <c:v>-48.934122769942746</c:v>
                </c:pt>
                <c:pt idx="399">
                  <c:v>-49.006885059413236</c:v>
                </c:pt>
                <c:pt idx="400">
                  <c:v>-49.07834833053326</c:v>
                </c:pt>
                <c:pt idx="401">
                  <c:v>-49.148531536082487</c:v>
                </c:pt>
                <c:pt idx="402">
                  <c:v>-49.217453284110292</c:v>
                </c:pt>
                <c:pt idx="403">
                  <c:v>-49.285131845585028</c:v>
                </c:pt>
                <c:pt idx="404">
                  <c:v>-49.351585161844667</c:v>
                </c:pt>
                <c:pt idx="405">
                  <c:v>-49.416830851857242</c:v>
                </c:pt>
                <c:pt idx="406">
                  <c:v>-49.48088621929287</c:v>
                </c:pt>
                <c:pt idx="407">
                  <c:v>-49.543768259416453</c:v>
                </c:pt>
                <c:pt idx="408">
                  <c:v>-49.605493665803891</c:v>
                </c:pt>
                <c:pt idx="409">
                  <c:v>-49.666078836887664</c:v>
                </c:pt>
                <c:pt idx="410">
                  <c:v>-49.725539882337074</c:v>
                </c:pt>
                <c:pt idx="411">
                  <c:v>-49.783892629276465</c:v>
                </c:pt>
                <c:pt idx="412">
                  <c:v>-49.841152628348283</c:v>
                </c:pt>
                <c:pt idx="413">
                  <c:v>-49.897335159623083</c:v>
                </c:pt>
                <c:pt idx="414">
                  <c:v>-49.952455238362035</c:v>
                </c:pt>
                <c:pt idx="415">
                  <c:v>-50.006527620636348</c:v>
                </c:pt>
                <c:pt idx="416">
                  <c:v>-50.059566808806636</c:v>
                </c:pt>
                <c:pt idx="417">
                  <c:v>-50.111587056867137</c:v>
                </c:pt>
                <c:pt idx="418">
                  <c:v>-50.162602375657912</c:v>
                </c:pt>
                <c:pt idx="419">
                  <c:v>-50.21262653794858</c:v>
                </c:pt>
                <c:pt idx="420">
                  <c:v>-50.261673083398591</c:v>
                </c:pt>
                <c:pt idx="421">
                  <c:v>-50.30975532339545</c:v>
                </c:pt>
                <c:pt idx="422">
                  <c:v>-50.356886345775138</c:v>
                </c:pt>
                <c:pt idx="423">
                  <c:v>-50.403079019429015</c:v>
                </c:pt>
                <c:pt idx="424">
                  <c:v>-50.448345998798516</c:v>
                </c:pt>
                <c:pt idx="425">
                  <c:v>-50.492699728261499</c:v>
                </c:pt>
                <c:pt idx="426">
                  <c:v>-50.53615244641432</c:v>
                </c:pt>
                <c:pt idx="427">
                  <c:v>-50.578716190249935</c:v>
                </c:pt>
                <c:pt idx="428">
                  <c:v>-50.620402799237809</c:v>
                </c:pt>
                <c:pt idx="429">
                  <c:v>-50.661223919305741</c:v>
                </c:pt>
                <c:pt idx="430">
                  <c:v>-50.701191006727896</c:v>
                </c:pt>
                <c:pt idx="431">
                  <c:v>-50.740315331921096</c:v>
                </c:pt>
                <c:pt idx="432">
                  <c:v>-50.778607983151289</c:v>
                </c:pt>
                <c:pt idx="433">
                  <c:v>-50.816079870153516</c:v>
                </c:pt>
                <c:pt idx="434">
                  <c:v>-50.852741727666995</c:v>
                </c:pt>
                <c:pt idx="435">
                  <c:v>-50.888604118888026</c:v>
                </c:pt>
                <c:pt idx="436">
                  <c:v>-50.923677438842674</c:v>
                </c:pt>
                <c:pt idx="437">
                  <c:v>-50.957971917680908</c:v>
                </c:pt>
                <c:pt idx="438">
                  <c:v>-50.991497623895611</c:v>
                </c:pt>
                <c:pt idx="439">
                  <c:v>-51.024264467466566</c:v>
                </c:pt>
                <c:pt idx="440">
                  <c:v>-51.056282202933261</c:v>
                </c:pt>
                <c:pt idx="441">
                  <c:v>-51.087560432396913</c:v>
                </c:pt>
                <c:pt idx="442">
                  <c:v>-51.118108608454435</c:v>
                </c:pt>
                <c:pt idx="443">
                  <c:v>-51.147936037065563</c:v>
                </c:pt>
                <c:pt idx="444">
                  <c:v>-51.177051880355322</c:v>
                </c:pt>
                <c:pt idx="445">
                  <c:v>-51.205465159353025</c:v>
                </c:pt>
                <c:pt idx="446">
                  <c:v>-51.233184756670283</c:v>
                </c:pt>
                <c:pt idx="447">
                  <c:v>-51.260219419118386</c:v>
                </c:pt>
                <c:pt idx="448">
                  <c:v>-51.286577760267477</c:v>
                </c:pt>
                <c:pt idx="449">
                  <c:v>-51.312268262948635</c:v>
                </c:pt>
                <c:pt idx="450">
                  <c:v>-51.337299281701092</c:v>
                </c:pt>
                <c:pt idx="451">
                  <c:v>-51.361679045164266</c:v>
                </c:pt>
                <c:pt idx="452">
                  <c:v>-51.385415658417742</c:v>
                </c:pt>
                <c:pt idx="453">
                  <c:v>-51.408517105270079</c:v>
                </c:pt>
                <c:pt idx="454">
                  <c:v>-51.430991250496675</c:v>
                </c:pt>
                <c:pt idx="455">
                  <c:v>-51.452845842029461</c:v>
                </c:pt>
                <c:pt idx="456">
                  <c:v>-51.474088513098621</c:v>
                </c:pt>
                <c:pt idx="457">
                  <c:v>-51.494726784328094</c:v>
                </c:pt>
                <c:pt idx="458">
                  <c:v>-51.51476806578529</c:v>
                </c:pt>
                <c:pt idx="459">
                  <c:v>-51.534219658987041</c:v>
                </c:pt>
                <c:pt idx="460">
                  <c:v>-51.553088758862884</c:v>
                </c:pt>
                <c:pt idx="461">
                  <c:v>-51.571382455675092</c:v>
                </c:pt>
                <c:pt idx="462">
                  <c:v>-51.589107736898598</c:v>
                </c:pt>
                <c:pt idx="463">
                  <c:v>-51.606271489060873</c:v>
                </c:pt>
                <c:pt idx="464">
                  <c:v>-51.622880499542504</c:v>
                </c:pt>
                <c:pt idx="465">
                  <c:v>-51.638941458339929</c:v>
                </c:pt>
                <c:pt idx="466">
                  <c:v>-51.654460959790441</c:v>
                </c:pt>
                <c:pt idx="467">
                  <c:v>-51.669445504261887</c:v>
                </c:pt>
                <c:pt idx="468">
                  <c:v>-51.683901499806552</c:v>
                </c:pt>
                <c:pt idx="469">
                  <c:v>-51.697835263779609</c:v>
                </c:pt>
                <c:pt idx="470">
                  <c:v>-51.711253024425815</c:v>
                </c:pt>
                <c:pt idx="471">
                  <c:v>-51.724160922431167</c:v>
                </c:pt>
                <c:pt idx="472">
                  <c:v>-51.736565012444174</c:v>
                </c:pt>
                <c:pt idx="473">
                  <c:v>-51.748471264564444</c:v>
                </c:pt>
                <c:pt idx="474">
                  <c:v>-51.759885565801795</c:v>
                </c:pt>
                <c:pt idx="475">
                  <c:v>-51.770813721504425</c:v>
                </c:pt>
                <c:pt idx="476">
                  <c:v>-51.781261456758841</c:v>
                </c:pt>
                <c:pt idx="477">
                  <c:v>-51.791234417760478</c:v>
                </c:pt>
                <c:pt idx="478">
                  <c:v>-51.800738173156816</c:v>
                </c:pt>
                <c:pt idx="479">
                  <c:v>-51.809778215363821</c:v>
                </c:pt>
                <c:pt idx="480">
                  <c:v>-51.81835996185481</c:v>
                </c:pt>
                <c:pt idx="481">
                  <c:v>-51.826488756423771</c:v>
                </c:pt>
                <c:pt idx="482">
                  <c:v>-51.834169870424205</c:v>
                </c:pt>
                <c:pt idx="483">
                  <c:v>-51.841408503981796</c:v>
                </c:pt>
                <c:pt idx="484">
                  <c:v>-51.848209787183549</c:v>
                </c:pt>
                <c:pt idx="485">
                  <c:v>-51.85457878124393</c:v>
                </c:pt>
                <c:pt idx="486">
                  <c:v>-51.860520479646596</c:v>
                </c:pt>
                <c:pt idx="487">
                  <c:v>-51.866039809264493</c:v>
                </c:pt>
                <c:pt idx="488">
                  <c:v>-51.871141631457846</c:v>
                </c:pt>
                <c:pt idx="489">
                  <c:v>-51.875830743150118</c:v>
                </c:pt>
                <c:pt idx="490">
                  <c:v>-51.880111877883309</c:v>
                </c:pt>
                <c:pt idx="491">
                  <c:v>-51.883989706852503</c:v>
                </c:pt>
                <c:pt idx="492">
                  <c:v>-51.887468839920274</c:v>
                </c:pt>
                <c:pt idx="493">
                  <c:v>-51.890553826611495</c:v>
                </c:pt>
                <c:pt idx="494">
                  <c:v>-51.893249157088803</c:v>
                </c:pt>
                <c:pt idx="495">
                  <c:v>-51.895559263109419</c:v>
                </c:pt>
                <c:pt idx="496">
                  <c:v>-51.897488518963144</c:v>
                </c:pt>
                <c:pt idx="497">
                  <c:v>-51.899041242393167</c:v>
                </c:pt>
                <c:pt idx="498">
                  <c:v>-51.900221695498203</c:v>
                </c:pt>
                <c:pt idx="499">
                  <c:v>-51.901034085618591</c:v>
                </c:pt>
                <c:pt idx="500">
                  <c:v>-51.901482566204464</c:v>
                </c:pt>
                <c:pt idx="501">
                  <c:v>-51.901571237668463</c:v>
                </c:pt>
                <c:pt idx="502">
                  <c:v>-51.901304148221584</c:v>
                </c:pt>
                <c:pt idx="503">
                  <c:v>-51.900685294693432</c:v>
                </c:pt>
                <c:pt idx="504">
                  <c:v>-51.899718623337634</c:v>
                </c:pt>
                <c:pt idx="505">
                  <c:v>-51.898408030621312</c:v>
                </c:pt>
                <c:pt idx="506">
                  <c:v>-51.896757364000649</c:v>
                </c:pt>
                <c:pt idx="507">
                  <c:v>-51.89477042268129</c:v>
                </c:pt>
                <c:pt idx="508">
                  <c:v>-51.89245095836489</c:v>
                </c:pt>
                <c:pt idx="509">
                  <c:v>-51.88980267598248</c:v>
                </c:pt>
                <c:pt idx="510">
                  <c:v>-51.886829234412915</c:v>
                </c:pt>
                <c:pt idx="511">
                  <c:v>-51.883534247189715</c:v>
                </c:pt>
                <c:pt idx="512">
                  <c:v>-51.879921283193539</c:v>
                </c:pt>
                <c:pt idx="513">
                  <c:v>-51.875993867332795</c:v>
                </c:pt>
                <c:pt idx="514">
                  <c:v>-51.871755481211807</c:v>
                </c:pt>
                <c:pt idx="515">
                  <c:v>-51.867209563786332</c:v>
                </c:pt>
                <c:pt idx="516">
                  <c:v>-51.862359512007686</c:v>
                </c:pt>
                <c:pt idx="517">
                  <c:v>-51.857208681455148</c:v>
                </c:pt>
                <c:pt idx="518">
                  <c:v>-51.851760386956499</c:v>
                </c:pt>
                <c:pt idx="519">
                  <c:v>-51.846017903198259</c:v>
                </c:pt>
                <c:pt idx="520">
                  <c:v>-51.839984465323823</c:v>
                </c:pt>
                <c:pt idx="521">
                  <c:v>-51.83366326952239</c:v>
                </c:pt>
                <c:pt idx="522">
                  <c:v>-51.827057473605578</c:v>
                </c:pt>
                <c:pt idx="523">
                  <c:v>-51.820170197575663</c:v>
                </c:pt>
                <c:pt idx="524">
                  <c:v>-51.813004524182361</c:v>
                </c:pt>
                <c:pt idx="525">
                  <c:v>-51.805563499470168</c:v>
                </c:pt>
                <c:pt idx="526">
                  <c:v>-51.797850133316587</c:v>
                </c:pt>
                <c:pt idx="527">
                  <c:v>-51.789867399960031</c:v>
                </c:pt>
                <c:pt idx="528">
                  <c:v>-51.781618238519059</c:v>
                </c:pt>
                <c:pt idx="529">
                  <c:v>-51.773105553502148</c:v>
                </c:pt>
                <c:pt idx="530">
                  <c:v>-51.764332215309253</c:v>
                </c:pt>
                <c:pt idx="531">
                  <c:v>-51.75530106072361</c:v>
                </c:pt>
                <c:pt idx="532">
                  <c:v>-51.746014893395824</c:v>
                </c:pt>
                <c:pt idx="533">
                  <c:v>-51.736476484319695</c:v>
                </c:pt>
                <c:pt idx="534">
                  <c:v>-51.726688572298855</c:v>
                </c:pt>
                <c:pt idx="535">
                  <c:v>-51.716653864406425</c:v>
                </c:pt>
                <c:pt idx="536">
                  <c:v>-51.70637503643627</c:v>
                </c:pt>
                <c:pt idx="537">
                  <c:v>-51.695854733346579</c:v>
                </c:pt>
                <c:pt idx="538">
                  <c:v>-51.685095569696244</c:v>
                </c:pt>
                <c:pt idx="539">
                  <c:v>-51.674100130073271</c:v>
                </c:pt>
                <c:pt idx="540">
                  <c:v>-51.662870969516007</c:v>
                </c:pt>
                <c:pt idx="541">
                  <c:v>-51.651410613927936</c:v>
                </c:pt>
                <c:pt idx="542">
                  <c:v>-51.639721560484674</c:v>
                </c:pt>
                <c:pt idx="543">
                  <c:v>-51.627806278034029</c:v>
                </c:pt>
                <c:pt idx="544">
                  <c:v>-51.615667207490645</c:v>
                </c:pt>
                <c:pt idx="545">
                  <c:v>-51.603306762222246</c:v>
                </c:pt>
                <c:pt idx="546">
                  <c:v>-51.590727328430802</c:v>
                </c:pt>
                <c:pt idx="547">
                  <c:v>-51.5779312655269</c:v>
                </c:pt>
                <c:pt idx="548">
                  <c:v>-51.564920906497235</c:v>
                </c:pt>
                <c:pt idx="549">
                  <c:v>-51.551698558267532</c:v>
                </c:pt>
                <c:pt idx="550">
                  <c:v>-51.538266502058264</c:v>
                </c:pt>
                <c:pt idx="551">
                  <c:v>-51.524626993734557</c:v>
                </c:pt>
                <c:pt idx="552">
                  <c:v>-51.510782264151118</c:v>
                </c:pt>
                <c:pt idx="553">
                  <c:v>-51.496734519490587</c:v>
                </c:pt>
                <c:pt idx="554">
                  <c:v>-51.482485941597389</c:v>
                </c:pt>
                <c:pt idx="555">
                  <c:v>-51.468038688304972</c:v>
                </c:pt>
                <c:pt idx="556">
                  <c:v>-51.453394893758741</c:v>
                </c:pt>
                <c:pt idx="557">
                  <c:v>-51.438556668733469</c:v>
                </c:pt>
                <c:pt idx="558">
                  <c:v>-51.423526100945054</c:v>
                </c:pt>
                <c:pt idx="559">
                  <c:v>-51.408305255357931</c:v>
                </c:pt>
                <c:pt idx="560">
                  <c:v>-51.392896174487447</c:v>
                </c:pt>
                <c:pt idx="561">
                  <c:v>-51.377300878696758</c:v>
                </c:pt>
                <c:pt idx="562">
                  <c:v>-51.361521366490052</c:v>
                </c:pt>
                <c:pt idx="563">
                  <c:v>-51.345559614800095</c:v>
                </c:pt>
                <c:pt idx="564">
                  <c:v>-51.329417579271734</c:v>
                </c:pt>
                <c:pt idx="565">
                  <c:v>-51.313097194540632</c:v>
                </c:pt>
                <c:pt idx="566">
                  <c:v>-51.296600374508131</c:v>
                </c:pt>
                <c:pt idx="567">
                  <c:v>-51.279929012611035</c:v>
                </c:pt>
                <c:pt idx="568">
                  <c:v>-51.263084982087662</c:v>
                </c:pt>
                <c:pt idx="569">
                  <c:v>-51.246070136239496</c:v>
                </c:pt>
                <c:pt idx="570">
                  <c:v>-51.228886308688772</c:v>
                </c:pt>
                <c:pt idx="571">
                  <c:v>-51.211535313632425</c:v>
                </c:pt>
                <c:pt idx="572">
                  <c:v>-51.194018946091205</c:v>
                </c:pt>
                <c:pt idx="573">
                  <c:v>-51.176338982155926</c:v>
                </c:pt>
                <c:pt idx="574">
                  <c:v>-51.158497179229101</c:v>
                </c:pt>
                <c:pt idx="575">
                  <c:v>-51.140495276263437</c:v>
                </c:pt>
                <c:pt idx="576">
                  <c:v>-51.122334993996191</c:v>
                </c:pt>
                <c:pt idx="577">
                  <c:v>-51.104018035180417</c:v>
                </c:pt>
                <c:pt idx="578">
                  <c:v>-51.085546084811824</c:v>
                </c:pt>
                <c:pt idx="579">
                  <c:v>-51.066920810353537</c:v>
                </c:pt>
                <c:pt idx="580">
                  <c:v>-51.048143861955822</c:v>
                </c:pt>
                <c:pt idx="581">
                  <c:v>-51.029216872673715</c:v>
                </c:pt>
                <c:pt idx="582">
                  <c:v>-51.010141458680806</c:v>
                </c:pt>
                <c:pt idx="583">
                  <c:v>-50.990919219479878</c:v>
                </c:pt>
                <c:pt idx="584">
                  <c:v>-50.971551738110264</c:v>
                </c:pt>
                <c:pt idx="585">
                  <c:v>-50.952040581352179</c:v>
                </c:pt>
                <c:pt idx="586">
                  <c:v>-50.932387299928479</c:v>
                </c:pt>
                <c:pt idx="587">
                  <c:v>-50.912593428701882</c:v>
                </c:pt>
                <c:pt idx="588">
                  <c:v>-50.892660486871392</c:v>
                </c:pt>
                <c:pt idx="589">
                  <c:v>-50.872589978163859</c:v>
                </c:pt>
                <c:pt idx="590">
                  <c:v>-50.852383391023892</c:v>
                </c:pt>
                <c:pt idx="591">
                  <c:v>-50.832042198800451</c:v>
                </c:pt>
                <c:pt idx="592">
                  <c:v>-50.81156785993096</c:v>
                </c:pt>
                <c:pt idx="593">
                  <c:v>-50.790961818121929</c:v>
                </c:pt>
                <c:pt idx="594">
                  <c:v>-50.770225502528575</c:v>
                </c:pt>
                <c:pt idx="595">
                  <c:v>-50.749360327929708</c:v>
                </c:pt>
                <c:pt idx="596">
                  <c:v>-50.728367694901749</c:v>
                </c:pt>
                <c:pt idx="597">
                  <c:v>-50.707248989989267</c:v>
                </c:pt>
                <c:pt idx="598">
                  <c:v>-50.686005585873488</c:v>
                </c:pt>
                <c:pt idx="599">
                  <c:v>-50.664638841537936</c:v>
                </c:pt>
                <c:pt idx="600">
                  <c:v>-50.643150102432486</c:v>
                </c:pt>
                <c:pt idx="601">
                  <c:v>-50.621540700633744</c:v>
                </c:pt>
                <c:pt idx="602">
                  <c:v>-50.599811955004355</c:v>
                </c:pt>
                <c:pt idx="603">
                  <c:v>-50.577965171349263</c:v>
                </c:pt>
                <c:pt idx="604">
                  <c:v>-50.556001642570294</c:v>
                </c:pt>
                <c:pt idx="605">
                  <c:v>-50.533922648817821</c:v>
                </c:pt>
                <c:pt idx="606">
                  <c:v>-49.3077370959154</c:v>
                </c:pt>
                <c:pt idx="607">
                  <c:v>-47.917508548217171</c:v>
                </c:pt>
                <c:pt idx="608">
                  <c:v>-46.443960476354022</c:v>
                </c:pt>
                <c:pt idx="609">
                  <c:v>-44.939322147617503</c:v>
                </c:pt>
                <c:pt idx="610">
                  <c:v>-43.437807330846624</c:v>
                </c:pt>
                <c:pt idx="611">
                  <c:v>-41.961819427715028</c:v>
                </c:pt>
                <c:pt idx="612">
                  <c:v>-40.525814658561842</c:v>
                </c:pt>
                <c:pt idx="613">
                  <c:v>-39.138806336614294</c:v>
                </c:pt>
                <c:pt idx="614">
                  <c:v>-37.806040682254206</c:v>
                </c:pt>
                <c:pt idx="615">
                  <c:v>-36.530145857975498</c:v>
                </c:pt>
                <c:pt idx="616">
                  <c:v>-35.311934112629359</c:v>
                </c:pt>
                <c:pt idx="617">
                  <c:v>-34.150968917350468</c:v>
                </c:pt>
                <c:pt idx="618">
                  <c:v>-33.702346130409751</c:v>
                </c:pt>
                <c:pt idx="619">
                  <c:v>-33.262573970964979</c:v>
                </c:pt>
                <c:pt idx="620">
                  <c:v>-32.831530864150523</c:v>
                </c:pt>
                <c:pt idx="621">
                  <c:v>-32.409085639329533</c:v>
                </c:pt>
                <c:pt idx="622">
                  <c:v>-31.995099295280028</c:v>
                </c:pt>
                <c:pt idx="623">
                  <c:v>-31.589426543678655</c:v>
                </c:pt>
                <c:pt idx="624">
                  <c:v>-31.191917157525722</c:v>
                </c:pt>
                <c:pt idx="625">
                  <c:v>-30.802417147825821</c:v>
                </c:pt>
                <c:pt idx="626">
                  <c:v>-30.420769788962133</c:v>
                </c:pt>
                <c:pt idx="627">
                  <c:v>-30.046816510708084</c:v>
                </c:pt>
                <c:pt idx="628">
                  <c:v>-29.68039767265401</c:v>
                </c:pt>
                <c:pt idx="629">
                  <c:v>-29.321353234935941</c:v>
                </c:pt>
                <c:pt idx="630">
                  <c:v>-28.969523337505933</c:v>
                </c:pt>
                <c:pt idx="631">
                  <c:v>-28.624748798741251</c:v>
                </c:pt>
                <c:pt idx="632">
                  <c:v>-28.286871542923933</c:v>
                </c:pt>
                <c:pt idx="633">
                  <c:v>-27.955734965012255</c:v>
                </c:pt>
                <c:pt idx="634">
                  <c:v>-27.631184240151526</c:v>
                </c:pt>
                <c:pt idx="635">
                  <c:v>-27.313066584510437</c:v>
                </c:pt>
                <c:pt idx="636">
                  <c:v>-27.001231473271133</c:v>
                </c:pt>
                <c:pt idx="637">
                  <c:v>-26.695530820936938</c:v>
                </c:pt>
                <c:pt idx="638">
                  <c:v>-26.395819128526313</c:v>
                </c:pt>
                <c:pt idx="639">
                  <c:v>-26.101953601701467</c:v>
                </c:pt>
                <c:pt idx="640">
                  <c:v>-25.813794243422393</c:v>
                </c:pt>
                <c:pt idx="641">
                  <c:v>-25.531203924299945</c:v>
                </c:pt>
                <c:pt idx="642">
                  <c:v>-25.254048433467744</c:v>
                </c:pt>
                <c:pt idx="643">
                  <c:v>-24.982196512466118</c:v>
                </c:pt>
                <c:pt idx="644">
                  <c:v>-24.715519874349042</c:v>
                </c:pt>
                <c:pt idx="645">
                  <c:v>-24.453893209970886</c:v>
                </c:pt>
                <c:pt idx="646">
                  <c:v>-24.197194183187776</c:v>
                </c:pt>
                <c:pt idx="647">
                  <c:v>-23.945303416505169</c:v>
                </c:pt>
                <c:pt idx="648">
                  <c:v>-23.698104468531312</c:v>
                </c:pt>
                <c:pt idx="649">
                  <c:v>-23.455483804434863</c:v>
                </c:pt>
                <c:pt idx="650">
                  <c:v>-23.217330760467632</c:v>
                </c:pt>
                <c:pt idx="651">
                  <c:v>-22.98353750348835</c:v>
                </c:pt>
                <c:pt idx="652">
                  <c:v>-22.753998986313803</c:v>
                </c:pt>
                <c:pt idx="653">
                  <c:v>-22.528612899624164</c:v>
                </c:pt>
                <c:pt idx="654">
                  <c:v>-22.307279621064311</c:v>
                </c:pt>
                <c:pt idx="655">
                  <c:v>-22.089902162103385</c:v>
                </c:pt>
                <c:pt idx="656">
                  <c:v>-21.876386113147731</c:v>
                </c:pt>
                <c:pt idx="657">
                  <c:v>-21.666639587338864</c:v>
                </c:pt>
                <c:pt idx="658">
                  <c:v>-21.46057316341745</c:v>
                </c:pt>
                <c:pt idx="659">
                  <c:v>-21.258099827982221</c:v>
                </c:pt>
                <c:pt idx="660">
                  <c:v>-21.059134917431663</c:v>
                </c:pt>
                <c:pt idx="661">
                  <c:v>-20.863596059838642</c:v>
                </c:pt>
                <c:pt idx="662">
                  <c:v>-20.671403116973636</c:v>
                </c:pt>
                <c:pt idx="663">
                  <c:v>-20.482478126662528</c:v>
                </c:pt>
                <c:pt idx="664">
                  <c:v>-20.296745245638107</c:v>
                </c:pt>
                <c:pt idx="665">
                  <c:v>-20.114130693021878</c:v>
                </c:pt>
                <c:pt idx="666">
                  <c:v>-19.934562694550351</c:v>
                </c:pt>
                <c:pt idx="667">
                  <c:v>-19.75797142764452</c:v>
                </c:pt>
              </c:numCache>
            </c:numRef>
          </c:yVal>
          <c:smooth val="0"/>
          <c:extLst>
            <c:ext xmlns:c16="http://schemas.microsoft.com/office/drawing/2014/chart" uri="{C3380CC4-5D6E-409C-BE32-E72D297353CC}">
              <c16:uniqueId val="{00000002-C323-45F5-AD89-2A9969707A73}"/>
            </c:ext>
          </c:extLst>
        </c:ser>
        <c:ser>
          <c:idx val="3"/>
          <c:order val="3"/>
          <c:tx>
            <c:v>Actual Phase</c:v>
          </c:tx>
          <c:spPr>
            <a:ln w="38100">
              <a:solidFill>
                <a:srgbClr val="660066"/>
              </a:solidFill>
              <a:prstDash val="solid"/>
            </a:ln>
          </c:spPr>
          <c:marker>
            <c:symbol val="none"/>
          </c:marker>
          <c:xVal>
            <c:numRef>
              <c:f>'Bode Plots Calculations'!$A$9:$A$676</c:f>
              <c:numCache>
                <c:formatCode>General</c:formatCode>
                <c:ptCount val="668"/>
                <c:pt idx="0">
                  <c:v>1</c:v>
                </c:pt>
                <c:pt idx="1">
                  <c:v>2</c:v>
                </c:pt>
                <c:pt idx="2">
                  <c:v>3</c:v>
                </c:pt>
                <c:pt idx="3">
                  <c:v>4</c:v>
                </c:pt>
                <c:pt idx="4">
                  <c:v>5</c:v>
                </c:pt>
                <c:pt idx="5">
                  <c:v>6</c:v>
                </c:pt>
                <c:pt idx="6">
                  <c:v>7</c:v>
                </c:pt>
                <c:pt idx="7">
                  <c:v>8</c:v>
                </c:pt>
                <c:pt idx="8">
                  <c:v>9</c:v>
                </c:pt>
                <c:pt idx="9">
                  <c:v>10</c:v>
                </c:pt>
                <c:pt idx="10">
                  <c:v>20</c:v>
                </c:pt>
                <c:pt idx="11">
                  <c:v>30</c:v>
                </c:pt>
                <c:pt idx="12">
                  <c:v>40</c:v>
                </c:pt>
                <c:pt idx="13">
                  <c:v>50</c:v>
                </c:pt>
                <c:pt idx="14">
                  <c:v>60</c:v>
                </c:pt>
                <c:pt idx="15">
                  <c:v>70</c:v>
                </c:pt>
                <c:pt idx="16">
                  <c:v>80</c:v>
                </c:pt>
                <c:pt idx="17">
                  <c:v>90</c:v>
                </c:pt>
                <c:pt idx="18">
                  <c:v>100</c:v>
                </c:pt>
                <c:pt idx="19">
                  <c:v>200</c:v>
                </c:pt>
                <c:pt idx="20">
                  <c:v>300</c:v>
                </c:pt>
                <c:pt idx="21">
                  <c:v>400</c:v>
                </c:pt>
                <c:pt idx="22">
                  <c:v>500</c:v>
                </c:pt>
                <c:pt idx="23">
                  <c:v>600</c:v>
                </c:pt>
                <c:pt idx="24">
                  <c:v>700</c:v>
                </c:pt>
                <c:pt idx="25">
                  <c:v>800</c:v>
                </c:pt>
                <c:pt idx="26">
                  <c:v>900</c:v>
                </c:pt>
                <c:pt idx="27">
                  <c:v>1000</c:v>
                </c:pt>
                <c:pt idx="28">
                  <c:v>1500</c:v>
                </c:pt>
                <c:pt idx="29">
                  <c:v>2000</c:v>
                </c:pt>
                <c:pt idx="30">
                  <c:v>2500</c:v>
                </c:pt>
                <c:pt idx="31">
                  <c:v>3000</c:v>
                </c:pt>
                <c:pt idx="32">
                  <c:v>3500</c:v>
                </c:pt>
                <c:pt idx="33">
                  <c:v>4000</c:v>
                </c:pt>
                <c:pt idx="34">
                  <c:v>4500</c:v>
                </c:pt>
                <c:pt idx="35">
                  <c:v>5000</c:v>
                </c:pt>
                <c:pt idx="36">
                  <c:v>5500</c:v>
                </c:pt>
                <c:pt idx="37">
                  <c:v>6000</c:v>
                </c:pt>
                <c:pt idx="38">
                  <c:v>6500</c:v>
                </c:pt>
                <c:pt idx="39">
                  <c:v>7000</c:v>
                </c:pt>
                <c:pt idx="40">
                  <c:v>7500</c:v>
                </c:pt>
                <c:pt idx="41">
                  <c:v>8000</c:v>
                </c:pt>
                <c:pt idx="42">
                  <c:v>8500</c:v>
                </c:pt>
                <c:pt idx="43">
                  <c:v>9000</c:v>
                </c:pt>
                <c:pt idx="44">
                  <c:v>9500</c:v>
                </c:pt>
                <c:pt idx="45">
                  <c:v>10000</c:v>
                </c:pt>
                <c:pt idx="46">
                  <c:v>10500</c:v>
                </c:pt>
                <c:pt idx="47">
                  <c:v>11000</c:v>
                </c:pt>
                <c:pt idx="48">
                  <c:v>11500</c:v>
                </c:pt>
                <c:pt idx="49">
                  <c:v>12000</c:v>
                </c:pt>
                <c:pt idx="50">
                  <c:v>12500</c:v>
                </c:pt>
                <c:pt idx="51">
                  <c:v>13000</c:v>
                </c:pt>
                <c:pt idx="52">
                  <c:v>13500</c:v>
                </c:pt>
                <c:pt idx="53">
                  <c:v>14000</c:v>
                </c:pt>
                <c:pt idx="54">
                  <c:v>14500</c:v>
                </c:pt>
                <c:pt idx="55">
                  <c:v>15000</c:v>
                </c:pt>
                <c:pt idx="56">
                  <c:v>15500</c:v>
                </c:pt>
                <c:pt idx="57">
                  <c:v>16000</c:v>
                </c:pt>
                <c:pt idx="58">
                  <c:v>16500</c:v>
                </c:pt>
                <c:pt idx="59">
                  <c:v>17000</c:v>
                </c:pt>
                <c:pt idx="60">
                  <c:v>17500</c:v>
                </c:pt>
                <c:pt idx="61">
                  <c:v>18000</c:v>
                </c:pt>
                <c:pt idx="62">
                  <c:v>18500</c:v>
                </c:pt>
                <c:pt idx="63">
                  <c:v>19000</c:v>
                </c:pt>
                <c:pt idx="64">
                  <c:v>19500</c:v>
                </c:pt>
                <c:pt idx="65">
                  <c:v>20000</c:v>
                </c:pt>
                <c:pt idx="66">
                  <c:v>20500</c:v>
                </c:pt>
                <c:pt idx="67">
                  <c:v>21000</c:v>
                </c:pt>
                <c:pt idx="68">
                  <c:v>21500</c:v>
                </c:pt>
                <c:pt idx="69">
                  <c:v>22000</c:v>
                </c:pt>
                <c:pt idx="70">
                  <c:v>22500</c:v>
                </c:pt>
                <c:pt idx="71">
                  <c:v>23000</c:v>
                </c:pt>
                <c:pt idx="72">
                  <c:v>23500</c:v>
                </c:pt>
                <c:pt idx="73">
                  <c:v>24000</c:v>
                </c:pt>
                <c:pt idx="74">
                  <c:v>24500</c:v>
                </c:pt>
                <c:pt idx="75">
                  <c:v>25000</c:v>
                </c:pt>
                <c:pt idx="76">
                  <c:v>25500</c:v>
                </c:pt>
                <c:pt idx="77">
                  <c:v>26000</c:v>
                </c:pt>
                <c:pt idx="78">
                  <c:v>26500</c:v>
                </c:pt>
                <c:pt idx="79">
                  <c:v>27000</c:v>
                </c:pt>
                <c:pt idx="80">
                  <c:v>27500</c:v>
                </c:pt>
                <c:pt idx="81">
                  <c:v>28000</c:v>
                </c:pt>
                <c:pt idx="82">
                  <c:v>28500</c:v>
                </c:pt>
                <c:pt idx="83">
                  <c:v>29000</c:v>
                </c:pt>
                <c:pt idx="84">
                  <c:v>29500</c:v>
                </c:pt>
                <c:pt idx="85">
                  <c:v>30000</c:v>
                </c:pt>
                <c:pt idx="86">
                  <c:v>30500</c:v>
                </c:pt>
                <c:pt idx="87">
                  <c:v>31000</c:v>
                </c:pt>
                <c:pt idx="88">
                  <c:v>31500</c:v>
                </c:pt>
                <c:pt idx="89">
                  <c:v>32000</c:v>
                </c:pt>
                <c:pt idx="90">
                  <c:v>32500</c:v>
                </c:pt>
                <c:pt idx="91">
                  <c:v>33000</c:v>
                </c:pt>
                <c:pt idx="92">
                  <c:v>33500</c:v>
                </c:pt>
                <c:pt idx="93">
                  <c:v>34000</c:v>
                </c:pt>
                <c:pt idx="94">
                  <c:v>34500</c:v>
                </c:pt>
                <c:pt idx="95">
                  <c:v>35000</c:v>
                </c:pt>
                <c:pt idx="96">
                  <c:v>35500</c:v>
                </c:pt>
                <c:pt idx="97">
                  <c:v>36000</c:v>
                </c:pt>
                <c:pt idx="98">
                  <c:v>36500</c:v>
                </c:pt>
                <c:pt idx="99">
                  <c:v>37000</c:v>
                </c:pt>
                <c:pt idx="100">
                  <c:v>37500</c:v>
                </c:pt>
                <c:pt idx="101">
                  <c:v>38000</c:v>
                </c:pt>
                <c:pt idx="102">
                  <c:v>38500</c:v>
                </c:pt>
                <c:pt idx="103">
                  <c:v>39000</c:v>
                </c:pt>
                <c:pt idx="104">
                  <c:v>39500</c:v>
                </c:pt>
                <c:pt idx="105">
                  <c:v>40000</c:v>
                </c:pt>
                <c:pt idx="106">
                  <c:v>40500</c:v>
                </c:pt>
                <c:pt idx="107">
                  <c:v>41000</c:v>
                </c:pt>
                <c:pt idx="108">
                  <c:v>41500</c:v>
                </c:pt>
                <c:pt idx="109">
                  <c:v>42000</c:v>
                </c:pt>
                <c:pt idx="110">
                  <c:v>42500</c:v>
                </c:pt>
                <c:pt idx="111">
                  <c:v>43000</c:v>
                </c:pt>
                <c:pt idx="112">
                  <c:v>43500</c:v>
                </c:pt>
                <c:pt idx="113">
                  <c:v>44000</c:v>
                </c:pt>
                <c:pt idx="114">
                  <c:v>44500</c:v>
                </c:pt>
                <c:pt idx="115">
                  <c:v>45000</c:v>
                </c:pt>
                <c:pt idx="116">
                  <c:v>45500</c:v>
                </c:pt>
                <c:pt idx="117">
                  <c:v>46000</c:v>
                </c:pt>
                <c:pt idx="118">
                  <c:v>46500</c:v>
                </c:pt>
                <c:pt idx="119">
                  <c:v>47000</c:v>
                </c:pt>
                <c:pt idx="120">
                  <c:v>47500</c:v>
                </c:pt>
                <c:pt idx="121">
                  <c:v>48000</c:v>
                </c:pt>
                <c:pt idx="122">
                  <c:v>48500</c:v>
                </c:pt>
                <c:pt idx="123">
                  <c:v>49000</c:v>
                </c:pt>
                <c:pt idx="124">
                  <c:v>49500</c:v>
                </c:pt>
                <c:pt idx="125">
                  <c:v>50000</c:v>
                </c:pt>
                <c:pt idx="126">
                  <c:v>50500</c:v>
                </c:pt>
                <c:pt idx="127">
                  <c:v>51000</c:v>
                </c:pt>
                <c:pt idx="128">
                  <c:v>51500</c:v>
                </c:pt>
                <c:pt idx="129">
                  <c:v>52000</c:v>
                </c:pt>
                <c:pt idx="130">
                  <c:v>52500</c:v>
                </c:pt>
                <c:pt idx="131">
                  <c:v>53000</c:v>
                </c:pt>
                <c:pt idx="132">
                  <c:v>53500</c:v>
                </c:pt>
                <c:pt idx="133">
                  <c:v>54000</c:v>
                </c:pt>
                <c:pt idx="134">
                  <c:v>54500</c:v>
                </c:pt>
                <c:pt idx="135">
                  <c:v>55000</c:v>
                </c:pt>
                <c:pt idx="136">
                  <c:v>55500</c:v>
                </c:pt>
                <c:pt idx="137">
                  <c:v>56000</c:v>
                </c:pt>
                <c:pt idx="138">
                  <c:v>56500</c:v>
                </c:pt>
                <c:pt idx="139">
                  <c:v>57000</c:v>
                </c:pt>
                <c:pt idx="140">
                  <c:v>57500</c:v>
                </c:pt>
                <c:pt idx="141">
                  <c:v>58000</c:v>
                </c:pt>
                <c:pt idx="142">
                  <c:v>58500</c:v>
                </c:pt>
                <c:pt idx="143">
                  <c:v>59000</c:v>
                </c:pt>
                <c:pt idx="144">
                  <c:v>59500</c:v>
                </c:pt>
                <c:pt idx="145">
                  <c:v>60000</c:v>
                </c:pt>
                <c:pt idx="146">
                  <c:v>60500</c:v>
                </c:pt>
                <c:pt idx="147">
                  <c:v>61000</c:v>
                </c:pt>
                <c:pt idx="148">
                  <c:v>61500</c:v>
                </c:pt>
                <c:pt idx="149">
                  <c:v>62000</c:v>
                </c:pt>
                <c:pt idx="150">
                  <c:v>62500</c:v>
                </c:pt>
                <c:pt idx="151">
                  <c:v>63000</c:v>
                </c:pt>
                <c:pt idx="152">
                  <c:v>63500</c:v>
                </c:pt>
                <c:pt idx="153">
                  <c:v>64000</c:v>
                </c:pt>
                <c:pt idx="154">
                  <c:v>64500</c:v>
                </c:pt>
                <c:pt idx="155">
                  <c:v>65000</c:v>
                </c:pt>
                <c:pt idx="156">
                  <c:v>65500</c:v>
                </c:pt>
                <c:pt idx="157">
                  <c:v>66000</c:v>
                </c:pt>
                <c:pt idx="158">
                  <c:v>66500</c:v>
                </c:pt>
                <c:pt idx="159">
                  <c:v>67000</c:v>
                </c:pt>
                <c:pt idx="160">
                  <c:v>67500</c:v>
                </c:pt>
                <c:pt idx="161">
                  <c:v>68000</c:v>
                </c:pt>
                <c:pt idx="162">
                  <c:v>68500</c:v>
                </c:pt>
                <c:pt idx="163">
                  <c:v>69000</c:v>
                </c:pt>
                <c:pt idx="164">
                  <c:v>69500</c:v>
                </c:pt>
                <c:pt idx="165">
                  <c:v>70000</c:v>
                </c:pt>
                <c:pt idx="166">
                  <c:v>70500</c:v>
                </c:pt>
                <c:pt idx="167">
                  <c:v>71000</c:v>
                </c:pt>
                <c:pt idx="168">
                  <c:v>71500</c:v>
                </c:pt>
                <c:pt idx="169">
                  <c:v>72000</c:v>
                </c:pt>
                <c:pt idx="170">
                  <c:v>72500</c:v>
                </c:pt>
                <c:pt idx="171">
                  <c:v>73000</c:v>
                </c:pt>
                <c:pt idx="172">
                  <c:v>73500</c:v>
                </c:pt>
                <c:pt idx="173">
                  <c:v>74000</c:v>
                </c:pt>
                <c:pt idx="174">
                  <c:v>74500</c:v>
                </c:pt>
                <c:pt idx="175">
                  <c:v>75000</c:v>
                </c:pt>
                <c:pt idx="176">
                  <c:v>75500</c:v>
                </c:pt>
                <c:pt idx="177">
                  <c:v>76000</c:v>
                </c:pt>
                <c:pt idx="178">
                  <c:v>76500</c:v>
                </c:pt>
                <c:pt idx="179">
                  <c:v>77000</c:v>
                </c:pt>
                <c:pt idx="180">
                  <c:v>77500</c:v>
                </c:pt>
                <c:pt idx="181">
                  <c:v>78000</c:v>
                </c:pt>
                <c:pt idx="182">
                  <c:v>78500</c:v>
                </c:pt>
                <c:pt idx="183">
                  <c:v>79000</c:v>
                </c:pt>
                <c:pt idx="184">
                  <c:v>79500</c:v>
                </c:pt>
                <c:pt idx="185">
                  <c:v>80000</c:v>
                </c:pt>
                <c:pt idx="186">
                  <c:v>80500</c:v>
                </c:pt>
                <c:pt idx="187">
                  <c:v>81000</c:v>
                </c:pt>
                <c:pt idx="188">
                  <c:v>81500</c:v>
                </c:pt>
                <c:pt idx="189">
                  <c:v>82000</c:v>
                </c:pt>
                <c:pt idx="190">
                  <c:v>82500</c:v>
                </c:pt>
                <c:pt idx="191">
                  <c:v>83000</c:v>
                </c:pt>
                <c:pt idx="192">
                  <c:v>83500</c:v>
                </c:pt>
                <c:pt idx="193">
                  <c:v>84000</c:v>
                </c:pt>
                <c:pt idx="194">
                  <c:v>84500</c:v>
                </c:pt>
                <c:pt idx="195">
                  <c:v>85000</c:v>
                </c:pt>
                <c:pt idx="196">
                  <c:v>85500</c:v>
                </c:pt>
                <c:pt idx="197">
                  <c:v>86000</c:v>
                </c:pt>
                <c:pt idx="198">
                  <c:v>86500</c:v>
                </c:pt>
                <c:pt idx="199">
                  <c:v>87000</c:v>
                </c:pt>
                <c:pt idx="200">
                  <c:v>87500</c:v>
                </c:pt>
                <c:pt idx="201">
                  <c:v>88000</c:v>
                </c:pt>
                <c:pt idx="202">
                  <c:v>88500</c:v>
                </c:pt>
                <c:pt idx="203">
                  <c:v>89000</c:v>
                </c:pt>
                <c:pt idx="204">
                  <c:v>89500</c:v>
                </c:pt>
                <c:pt idx="205">
                  <c:v>90000</c:v>
                </c:pt>
                <c:pt idx="206">
                  <c:v>90500</c:v>
                </c:pt>
                <c:pt idx="207">
                  <c:v>91000</c:v>
                </c:pt>
                <c:pt idx="208">
                  <c:v>91500</c:v>
                </c:pt>
                <c:pt idx="209">
                  <c:v>92000</c:v>
                </c:pt>
                <c:pt idx="210">
                  <c:v>92500</c:v>
                </c:pt>
                <c:pt idx="211">
                  <c:v>93000</c:v>
                </c:pt>
                <c:pt idx="212">
                  <c:v>93500</c:v>
                </c:pt>
                <c:pt idx="213">
                  <c:v>94000</c:v>
                </c:pt>
                <c:pt idx="214">
                  <c:v>94500</c:v>
                </c:pt>
                <c:pt idx="215">
                  <c:v>95000</c:v>
                </c:pt>
                <c:pt idx="216">
                  <c:v>95500</c:v>
                </c:pt>
                <c:pt idx="217">
                  <c:v>96000</c:v>
                </c:pt>
                <c:pt idx="218">
                  <c:v>96500</c:v>
                </c:pt>
                <c:pt idx="219">
                  <c:v>97000</c:v>
                </c:pt>
                <c:pt idx="220">
                  <c:v>97500</c:v>
                </c:pt>
                <c:pt idx="221">
                  <c:v>98000</c:v>
                </c:pt>
                <c:pt idx="222">
                  <c:v>98500</c:v>
                </c:pt>
                <c:pt idx="223">
                  <c:v>99000</c:v>
                </c:pt>
                <c:pt idx="224">
                  <c:v>99500</c:v>
                </c:pt>
                <c:pt idx="225">
                  <c:v>100000</c:v>
                </c:pt>
                <c:pt idx="226">
                  <c:v>105000</c:v>
                </c:pt>
                <c:pt idx="227">
                  <c:v>110000</c:v>
                </c:pt>
                <c:pt idx="228">
                  <c:v>115000</c:v>
                </c:pt>
                <c:pt idx="229">
                  <c:v>120000</c:v>
                </c:pt>
                <c:pt idx="230">
                  <c:v>125000</c:v>
                </c:pt>
                <c:pt idx="231">
                  <c:v>130000</c:v>
                </c:pt>
                <c:pt idx="232">
                  <c:v>135000</c:v>
                </c:pt>
                <c:pt idx="233">
                  <c:v>140000</c:v>
                </c:pt>
                <c:pt idx="234">
                  <c:v>145000</c:v>
                </c:pt>
                <c:pt idx="235">
                  <c:v>150000</c:v>
                </c:pt>
                <c:pt idx="236">
                  <c:v>155000</c:v>
                </c:pt>
                <c:pt idx="237">
                  <c:v>160000</c:v>
                </c:pt>
                <c:pt idx="238">
                  <c:v>165000</c:v>
                </c:pt>
                <c:pt idx="239">
                  <c:v>170000</c:v>
                </c:pt>
                <c:pt idx="240">
                  <c:v>175000</c:v>
                </c:pt>
                <c:pt idx="241">
                  <c:v>180000</c:v>
                </c:pt>
                <c:pt idx="242">
                  <c:v>185000</c:v>
                </c:pt>
                <c:pt idx="243">
                  <c:v>190000</c:v>
                </c:pt>
                <c:pt idx="244">
                  <c:v>195000</c:v>
                </c:pt>
                <c:pt idx="245">
                  <c:v>200000</c:v>
                </c:pt>
                <c:pt idx="246">
                  <c:v>205000</c:v>
                </c:pt>
                <c:pt idx="247">
                  <c:v>210000</c:v>
                </c:pt>
                <c:pt idx="248">
                  <c:v>215000</c:v>
                </c:pt>
                <c:pt idx="249">
                  <c:v>220000</c:v>
                </c:pt>
                <c:pt idx="250">
                  <c:v>225000</c:v>
                </c:pt>
                <c:pt idx="251">
                  <c:v>230000</c:v>
                </c:pt>
                <c:pt idx="252">
                  <c:v>235000</c:v>
                </c:pt>
                <c:pt idx="253">
                  <c:v>240000</c:v>
                </c:pt>
                <c:pt idx="254">
                  <c:v>245000</c:v>
                </c:pt>
                <c:pt idx="255">
                  <c:v>250000</c:v>
                </c:pt>
                <c:pt idx="256">
                  <c:v>255000</c:v>
                </c:pt>
                <c:pt idx="257">
                  <c:v>260000</c:v>
                </c:pt>
                <c:pt idx="258">
                  <c:v>265000</c:v>
                </c:pt>
                <c:pt idx="259">
                  <c:v>270000</c:v>
                </c:pt>
                <c:pt idx="260">
                  <c:v>275000</c:v>
                </c:pt>
                <c:pt idx="261">
                  <c:v>280000</c:v>
                </c:pt>
                <c:pt idx="262">
                  <c:v>285000</c:v>
                </c:pt>
                <c:pt idx="263">
                  <c:v>290000</c:v>
                </c:pt>
                <c:pt idx="264">
                  <c:v>295000</c:v>
                </c:pt>
                <c:pt idx="265">
                  <c:v>300000</c:v>
                </c:pt>
                <c:pt idx="266">
                  <c:v>305000</c:v>
                </c:pt>
                <c:pt idx="267">
                  <c:v>310000</c:v>
                </c:pt>
                <c:pt idx="268">
                  <c:v>315000</c:v>
                </c:pt>
                <c:pt idx="269">
                  <c:v>320000</c:v>
                </c:pt>
                <c:pt idx="270">
                  <c:v>325000</c:v>
                </c:pt>
                <c:pt idx="271">
                  <c:v>330000</c:v>
                </c:pt>
                <c:pt idx="272">
                  <c:v>335000</c:v>
                </c:pt>
                <c:pt idx="273">
                  <c:v>340000</c:v>
                </c:pt>
                <c:pt idx="274">
                  <c:v>345000</c:v>
                </c:pt>
                <c:pt idx="275">
                  <c:v>350000</c:v>
                </c:pt>
                <c:pt idx="276">
                  <c:v>355000</c:v>
                </c:pt>
                <c:pt idx="277">
                  <c:v>360000</c:v>
                </c:pt>
                <c:pt idx="278">
                  <c:v>365000</c:v>
                </c:pt>
                <c:pt idx="279">
                  <c:v>370000</c:v>
                </c:pt>
                <c:pt idx="280">
                  <c:v>375000</c:v>
                </c:pt>
                <c:pt idx="281">
                  <c:v>380000</c:v>
                </c:pt>
                <c:pt idx="282">
                  <c:v>385000</c:v>
                </c:pt>
                <c:pt idx="283">
                  <c:v>390000</c:v>
                </c:pt>
                <c:pt idx="284">
                  <c:v>395000</c:v>
                </c:pt>
                <c:pt idx="285">
                  <c:v>400000</c:v>
                </c:pt>
                <c:pt idx="286">
                  <c:v>405000</c:v>
                </c:pt>
                <c:pt idx="287">
                  <c:v>410000</c:v>
                </c:pt>
                <c:pt idx="288">
                  <c:v>415000</c:v>
                </c:pt>
                <c:pt idx="289">
                  <c:v>420000</c:v>
                </c:pt>
                <c:pt idx="290">
                  <c:v>425000</c:v>
                </c:pt>
                <c:pt idx="291">
                  <c:v>430000</c:v>
                </c:pt>
                <c:pt idx="292">
                  <c:v>435000</c:v>
                </c:pt>
                <c:pt idx="293">
                  <c:v>440000</c:v>
                </c:pt>
                <c:pt idx="294">
                  <c:v>445000</c:v>
                </c:pt>
                <c:pt idx="295">
                  <c:v>450000</c:v>
                </c:pt>
                <c:pt idx="296">
                  <c:v>455000</c:v>
                </c:pt>
                <c:pt idx="297">
                  <c:v>460000</c:v>
                </c:pt>
                <c:pt idx="298">
                  <c:v>465000</c:v>
                </c:pt>
                <c:pt idx="299">
                  <c:v>470000</c:v>
                </c:pt>
                <c:pt idx="300">
                  <c:v>475000</c:v>
                </c:pt>
                <c:pt idx="301">
                  <c:v>480000</c:v>
                </c:pt>
                <c:pt idx="302">
                  <c:v>485000</c:v>
                </c:pt>
                <c:pt idx="303">
                  <c:v>490000</c:v>
                </c:pt>
                <c:pt idx="304">
                  <c:v>495000</c:v>
                </c:pt>
                <c:pt idx="305">
                  <c:v>500000</c:v>
                </c:pt>
                <c:pt idx="306">
                  <c:v>505000</c:v>
                </c:pt>
                <c:pt idx="307">
                  <c:v>510000</c:v>
                </c:pt>
                <c:pt idx="308">
                  <c:v>515000</c:v>
                </c:pt>
                <c:pt idx="309">
                  <c:v>520000</c:v>
                </c:pt>
                <c:pt idx="310">
                  <c:v>525000</c:v>
                </c:pt>
                <c:pt idx="311">
                  <c:v>530000</c:v>
                </c:pt>
                <c:pt idx="312">
                  <c:v>535000</c:v>
                </c:pt>
                <c:pt idx="313">
                  <c:v>540000</c:v>
                </c:pt>
                <c:pt idx="314">
                  <c:v>545000</c:v>
                </c:pt>
                <c:pt idx="315">
                  <c:v>550000</c:v>
                </c:pt>
                <c:pt idx="316">
                  <c:v>555000</c:v>
                </c:pt>
                <c:pt idx="317">
                  <c:v>560000</c:v>
                </c:pt>
                <c:pt idx="318">
                  <c:v>565000</c:v>
                </c:pt>
                <c:pt idx="319">
                  <c:v>570000</c:v>
                </c:pt>
                <c:pt idx="320">
                  <c:v>575000</c:v>
                </c:pt>
                <c:pt idx="321">
                  <c:v>580000</c:v>
                </c:pt>
                <c:pt idx="322">
                  <c:v>585000</c:v>
                </c:pt>
                <c:pt idx="323">
                  <c:v>590000</c:v>
                </c:pt>
                <c:pt idx="324">
                  <c:v>595000</c:v>
                </c:pt>
                <c:pt idx="325">
                  <c:v>600000</c:v>
                </c:pt>
                <c:pt idx="326">
                  <c:v>605000</c:v>
                </c:pt>
                <c:pt idx="327">
                  <c:v>610000</c:v>
                </c:pt>
                <c:pt idx="328">
                  <c:v>615000</c:v>
                </c:pt>
                <c:pt idx="329">
                  <c:v>620000</c:v>
                </c:pt>
                <c:pt idx="330">
                  <c:v>625000</c:v>
                </c:pt>
                <c:pt idx="331">
                  <c:v>630000</c:v>
                </c:pt>
                <c:pt idx="332">
                  <c:v>635000</c:v>
                </c:pt>
                <c:pt idx="333">
                  <c:v>640000</c:v>
                </c:pt>
                <c:pt idx="334">
                  <c:v>645000</c:v>
                </c:pt>
                <c:pt idx="335">
                  <c:v>650000</c:v>
                </c:pt>
                <c:pt idx="336">
                  <c:v>655000</c:v>
                </c:pt>
                <c:pt idx="337">
                  <c:v>660000</c:v>
                </c:pt>
                <c:pt idx="338">
                  <c:v>665000</c:v>
                </c:pt>
                <c:pt idx="339">
                  <c:v>670000</c:v>
                </c:pt>
                <c:pt idx="340">
                  <c:v>675000</c:v>
                </c:pt>
                <c:pt idx="341">
                  <c:v>680000</c:v>
                </c:pt>
                <c:pt idx="342">
                  <c:v>685000</c:v>
                </c:pt>
                <c:pt idx="343">
                  <c:v>690000</c:v>
                </c:pt>
                <c:pt idx="344">
                  <c:v>695000</c:v>
                </c:pt>
                <c:pt idx="345">
                  <c:v>700000</c:v>
                </c:pt>
                <c:pt idx="346">
                  <c:v>705000</c:v>
                </c:pt>
                <c:pt idx="347">
                  <c:v>710000</c:v>
                </c:pt>
                <c:pt idx="348">
                  <c:v>715000</c:v>
                </c:pt>
                <c:pt idx="349">
                  <c:v>720000</c:v>
                </c:pt>
                <c:pt idx="350">
                  <c:v>725000</c:v>
                </c:pt>
                <c:pt idx="351">
                  <c:v>730000</c:v>
                </c:pt>
                <c:pt idx="352">
                  <c:v>735000</c:v>
                </c:pt>
                <c:pt idx="353">
                  <c:v>740000</c:v>
                </c:pt>
                <c:pt idx="354">
                  <c:v>745000</c:v>
                </c:pt>
                <c:pt idx="355">
                  <c:v>750000</c:v>
                </c:pt>
                <c:pt idx="356">
                  <c:v>755000</c:v>
                </c:pt>
                <c:pt idx="357">
                  <c:v>760000</c:v>
                </c:pt>
                <c:pt idx="358">
                  <c:v>765000</c:v>
                </c:pt>
                <c:pt idx="359">
                  <c:v>770000</c:v>
                </c:pt>
                <c:pt idx="360">
                  <c:v>775000</c:v>
                </c:pt>
                <c:pt idx="361">
                  <c:v>780000</c:v>
                </c:pt>
                <c:pt idx="362">
                  <c:v>785000</c:v>
                </c:pt>
                <c:pt idx="363">
                  <c:v>790000</c:v>
                </c:pt>
                <c:pt idx="364">
                  <c:v>795000</c:v>
                </c:pt>
                <c:pt idx="365">
                  <c:v>800000</c:v>
                </c:pt>
                <c:pt idx="366">
                  <c:v>805000</c:v>
                </c:pt>
                <c:pt idx="367">
                  <c:v>810000</c:v>
                </c:pt>
                <c:pt idx="368">
                  <c:v>815000</c:v>
                </c:pt>
                <c:pt idx="369">
                  <c:v>820000</c:v>
                </c:pt>
                <c:pt idx="370">
                  <c:v>825000</c:v>
                </c:pt>
                <c:pt idx="371">
                  <c:v>830000</c:v>
                </c:pt>
                <c:pt idx="372">
                  <c:v>835000</c:v>
                </c:pt>
                <c:pt idx="373">
                  <c:v>840000</c:v>
                </c:pt>
                <c:pt idx="374">
                  <c:v>845000</c:v>
                </c:pt>
                <c:pt idx="375">
                  <c:v>850000</c:v>
                </c:pt>
                <c:pt idx="376">
                  <c:v>855000</c:v>
                </c:pt>
                <c:pt idx="377">
                  <c:v>860000</c:v>
                </c:pt>
                <c:pt idx="378">
                  <c:v>865000</c:v>
                </c:pt>
                <c:pt idx="379">
                  <c:v>870000</c:v>
                </c:pt>
                <c:pt idx="380">
                  <c:v>875000</c:v>
                </c:pt>
                <c:pt idx="381">
                  <c:v>880000</c:v>
                </c:pt>
                <c:pt idx="382">
                  <c:v>885000</c:v>
                </c:pt>
                <c:pt idx="383">
                  <c:v>890000</c:v>
                </c:pt>
                <c:pt idx="384">
                  <c:v>895000</c:v>
                </c:pt>
                <c:pt idx="385">
                  <c:v>900000</c:v>
                </c:pt>
                <c:pt idx="386">
                  <c:v>905000</c:v>
                </c:pt>
                <c:pt idx="387">
                  <c:v>910000</c:v>
                </c:pt>
                <c:pt idx="388">
                  <c:v>915000</c:v>
                </c:pt>
                <c:pt idx="389">
                  <c:v>920000</c:v>
                </c:pt>
                <c:pt idx="390">
                  <c:v>925000</c:v>
                </c:pt>
                <c:pt idx="391">
                  <c:v>930000</c:v>
                </c:pt>
                <c:pt idx="392">
                  <c:v>935000</c:v>
                </c:pt>
                <c:pt idx="393">
                  <c:v>940000</c:v>
                </c:pt>
                <c:pt idx="394">
                  <c:v>945000</c:v>
                </c:pt>
                <c:pt idx="395">
                  <c:v>950000</c:v>
                </c:pt>
                <c:pt idx="396">
                  <c:v>955000</c:v>
                </c:pt>
                <c:pt idx="397">
                  <c:v>960000</c:v>
                </c:pt>
                <c:pt idx="398">
                  <c:v>965000</c:v>
                </c:pt>
                <c:pt idx="399">
                  <c:v>970000</c:v>
                </c:pt>
                <c:pt idx="400">
                  <c:v>975000</c:v>
                </c:pt>
                <c:pt idx="401">
                  <c:v>980000</c:v>
                </c:pt>
                <c:pt idx="402">
                  <c:v>985000</c:v>
                </c:pt>
                <c:pt idx="403">
                  <c:v>990000</c:v>
                </c:pt>
                <c:pt idx="404">
                  <c:v>995000</c:v>
                </c:pt>
                <c:pt idx="405">
                  <c:v>1000000</c:v>
                </c:pt>
                <c:pt idx="406">
                  <c:v>1005000</c:v>
                </c:pt>
                <c:pt idx="407">
                  <c:v>1010000</c:v>
                </c:pt>
                <c:pt idx="408">
                  <c:v>1015000</c:v>
                </c:pt>
                <c:pt idx="409">
                  <c:v>1020000</c:v>
                </c:pt>
                <c:pt idx="410">
                  <c:v>1025000</c:v>
                </c:pt>
                <c:pt idx="411">
                  <c:v>1030000</c:v>
                </c:pt>
                <c:pt idx="412">
                  <c:v>1035000</c:v>
                </c:pt>
                <c:pt idx="413">
                  <c:v>1040000</c:v>
                </c:pt>
                <c:pt idx="414">
                  <c:v>1045000</c:v>
                </c:pt>
                <c:pt idx="415">
                  <c:v>1050000</c:v>
                </c:pt>
                <c:pt idx="416">
                  <c:v>1055000</c:v>
                </c:pt>
                <c:pt idx="417">
                  <c:v>1060000</c:v>
                </c:pt>
                <c:pt idx="418">
                  <c:v>1065000</c:v>
                </c:pt>
                <c:pt idx="419">
                  <c:v>1070000</c:v>
                </c:pt>
                <c:pt idx="420">
                  <c:v>1075000</c:v>
                </c:pt>
                <c:pt idx="421">
                  <c:v>1080000</c:v>
                </c:pt>
                <c:pt idx="422">
                  <c:v>1085000</c:v>
                </c:pt>
                <c:pt idx="423">
                  <c:v>1090000</c:v>
                </c:pt>
                <c:pt idx="424">
                  <c:v>1095000</c:v>
                </c:pt>
                <c:pt idx="425">
                  <c:v>1100000</c:v>
                </c:pt>
                <c:pt idx="426">
                  <c:v>1105000</c:v>
                </c:pt>
                <c:pt idx="427">
                  <c:v>1110000</c:v>
                </c:pt>
                <c:pt idx="428">
                  <c:v>1115000</c:v>
                </c:pt>
                <c:pt idx="429">
                  <c:v>1120000</c:v>
                </c:pt>
                <c:pt idx="430">
                  <c:v>1125000</c:v>
                </c:pt>
                <c:pt idx="431">
                  <c:v>1130000</c:v>
                </c:pt>
                <c:pt idx="432">
                  <c:v>1135000</c:v>
                </c:pt>
                <c:pt idx="433">
                  <c:v>1140000</c:v>
                </c:pt>
                <c:pt idx="434">
                  <c:v>1145000</c:v>
                </c:pt>
                <c:pt idx="435">
                  <c:v>1150000</c:v>
                </c:pt>
                <c:pt idx="436">
                  <c:v>1155000</c:v>
                </c:pt>
                <c:pt idx="437">
                  <c:v>1160000</c:v>
                </c:pt>
                <c:pt idx="438">
                  <c:v>1165000</c:v>
                </c:pt>
                <c:pt idx="439">
                  <c:v>1170000</c:v>
                </c:pt>
                <c:pt idx="440">
                  <c:v>1175000</c:v>
                </c:pt>
                <c:pt idx="441">
                  <c:v>1180000</c:v>
                </c:pt>
                <c:pt idx="442">
                  <c:v>1185000</c:v>
                </c:pt>
                <c:pt idx="443">
                  <c:v>1190000</c:v>
                </c:pt>
                <c:pt idx="444">
                  <c:v>1195000</c:v>
                </c:pt>
                <c:pt idx="445">
                  <c:v>1200000</c:v>
                </c:pt>
                <c:pt idx="446">
                  <c:v>1205000</c:v>
                </c:pt>
                <c:pt idx="447">
                  <c:v>1210000</c:v>
                </c:pt>
                <c:pt idx="448">
                  <c:v>1215000</c:v>
                </c:pt>
                <c:pt idx="449">
                  <c:v>1220000</c:v>
                </c:pt>
                <c:pt idx="450">
                  <c:v>1225000</c:v>
                </c:pt>
                <c:pt idx="451">
                  <c:v>1230000</c:v>
                </c:pt>
                <c:pt idx="452">
                  <c:v>1235000</c:v>
                </c:pt>
                <c:pt idx="453">
                  <c:v>1240000</c:v>
                </c:pt>
                <c:pt idx="454">
                  <c:v>1245000</c:v>
                </c:pt>
                <c:pt idx="455">
                  <c:v>1250000</c:v>
                </c:pt>
                <c:pt idx="456">
                  <c:v>1255000</c:v>
                </c:pt>
                <c:pt idx="457">
                  <c:v>1260000</c:v>
                </c:pt>
                <c:pt idx="458">
                  <c:v>1265000</c:v>
                </c:pt>
                <c:pt idx="459">
                  <c:v>1270000</c:v>
                </c:pt>
                <c:pt idx="460">
                  <c:v>1275000</c:v>
                </c:pt>
                <c:pt idx="461">
                  <c:v>1280000</c:v>
                </c:pt>
                <c:pt idx="462">
                  <c:v>1285000</c:v>
                </c:pt>
                <c:pt idx="463">
                  <c:v>1290000</c:v>
                </c:pt>
                <c:pt idx="464">
                  <c:v>1295000</c:v>
                </c:pt>
                <c:pt idx="465">
                  <c:v>1300000</c:v>
                </c:pt>
                <c:pt idx="466">
                  <c:v>1305000</c:v>
                </c:pt>
                <c:pt idx="467">
                  <c:v>1310000</c:v>
                </c:pt>
                <c:pt idx="468">
                  <c:v>1315000</c:v>
                </c:pt>
                <c:pt idx="469">
                  <c:v>1320000</c:v>
                </c:pt>
                <c:pt idx="470">
                  <c:v>1325000</c:v>
                </c:pt>
                <c:pt idx="471">
                  <c:v>1330000</c:v>
                </c:pt>
                <c:pt idx="472">
                  <c:v>1335000</c:v>
                </c:pt>
                <c:pt idx="473">
                  <c:v>1340000</c:v>
                </c:pt>
                <c:pt idx="474">
                  <c:v>1345000</c:v>
                </c:pt>
                <c:pt idx="475">
                  <c:v>1350000</c:v>
                </c:pt>
                <c:pt idx="476">
                  <c:v>1355000</c:v>
                </c:pt>
                <c:pt idx="477">
                  <c:v>1360000</c:v>
                </c:pt>
                <c:pt idx="478">
                  <c:v>1365000</c:v>
                </c:pt>
                <c:pt idx="479">
                  <c:v>1370000</c:v>
                </c:pt>
                <c:pt idx="480">
                  <c:v>1375000</c:v>
                </c:pt>
                <c:pt idx="481">
                  <c:v>1380000</c:v>
                </c:pt>
                <c:pt idx="482">
                  <c:v>1385000</c:v>
                </c:pt>
                <c:pt idx="483">
                  <c:v>1390000</c:v>
                </c:pt>
                <c:pt idx="484">
                  <c:v>1395000</c:v>
                </c:pt>
                <c:pt idx="485">
                  <c:v>1400000</c:v>
                </c:pt>
                <c:pt idx="486">
                  <c:v>1405000</c:v>
                </c:pt>
                <c:pt idx="487">
                  <c:v>1410000</c:v>
                </c:pt>
                <c:pt idx="488">
                  <c:v>1415000</c:v>
                </c:pt>
                <c:pt idx="489">
                  <c:v>1420000</c:v>
                </c:pt>
                <c:pt idx="490">
                  <c:v>1425000</c:v>
                </c:pt>
                <c:pt idx="491">
                  <c:v>1430000</c:v>
                </c:pt>
                <c:pt idx="492">
                  <c:v>1435000</c:v>
                </c:pt>
                <c:pt idx="493">
                  <c:v>1440000</c:v>
                </c:pt>
                <c:pt idx="494">
                  <c:v>1445000</c:v>
                </c:pt>
                <c:pt idx="495">
                  <c:v>1450000</c:v>
                </c:pt>
                <c:pt idx="496">
                  <c:v>1455000</c:v>
                </c:pt>
                <c:pt idx="497">
                  <c:v>1460000</c:v>
                </c:pt>
                <c:pt idx="498">
                  <c:v>1465000</c:v>
                </c:pt>
                <c:pt idx="499">
                  <c:v>1470000</c:v>
                </c:pt>
                <c:pt idx="500">
                  <c:v>1475000</c:v>
                </c:pt>
                <c:pt idx="501">
                  <c:v>1480000</c:v>
                </c:pt>
                <c:pt idx="502">
                  <c:v>1485000</c:v>
                </c:pt>
                <c:pt idx="503">
                  <c:v>1490000</c:v>
                </c:pt>
                <c:pt idx="504">
                  <c:v>1495000</c:v>
                </c:pt>
                <c:pt idx="505">
                  <c:v>1500000</c:v>
                </c:pt>
                <c:pt idx="506">
                  <c:v>1505000</c:v>
                </c:pt>
                <c:pt idx="507">
                  <c:v>1510000</c:v>
                </c:pt>
                <c:pt idx="508">
                  <c:v>1515000</c:v>
                </c:pt>
                <c:pt idx="509">
                  <c:v>1520000</c:v>
                </c:pt>
                <c:pt idx="510">
                  <c:v>1525000</c:v>
                </c:pt>
                <c:pt idx="511">
                  <c:v>1530000</c:v>
                </c:pt>
                <c:pt idx="512">
                  <c:v>1535000</c:v>
                </c:pt>
                <c:pt idx="513">
                  <c:v>1540000</c:v>
                </c:pt>
                <c:pt idx="514">
                  <c:v>1545000</c:v>
                </c:pt>
                <c:pt idx="515">
                  <c:v>1550000</c:v>
                </c:pt>
                <c:pt idx="516">
                  <c:v>1555000</c:v>
                </c:pt>
                <c:pt idx="517">
                  <c:v>1560000</c:v>
                </c:pt>
                <c:pt idx="518">
                  <c:v>1565000</c:v>
                </c:pt>
                <c:pt idx="519">
                  <c:v>1570000</c:v>
                </c:pt>
                <c:pt idx="520">
                  <c:v>1575000</c:v>
                </c:pt>
                <c:pt idx="521">
                  <c:v>1580000</c:v>
                </c:pt>
                <c:pt idx="522">
                  <c:v>1585000</c:v>
                </c:pt>
                <c:pt idx="523">
                  <c:v>1590000</c:v>
                </c:pt>
                <c:pt idx="524">
                  <c:v>1595000</c:v>
                </c:pt>
                <c:pt idx="525">
                  <c:v>1600000</c:v>
                </c:pt>
                <c:pt idx="526">
                  <c:v>1605000</c:v>
                </c:pt>
                <c:pt idx="527">
                  <c:v>1610000</c:v>
                </c:pt>
                <c:pt idx="528">
                  <c:v>1615000</c:v>
                </c:pt>
                <c:pt idx="529">
                  <c:v>1620000</c:v>
                </c:pt>
                <c:pt idx="530">
                  <c:v>1625000</c:v>
                </c:pt>
                <c:pt idx="531">
                  <c:v>1630000</c:v>
                </c:pt>
                <c:pt idx="532">
                  <c:v>1635000</c:v>
                </c:pt>
                <c:pt idx="533">
                  <c:v>1640000</c:v>
                </c:pt>
                <c:pt idx="534">
                  <c:v>1645000</c:v>
                </c:pt>
                <c:pt idx="535">
                  <c:v>1650000</c:v>
                </c:pt>
                <c:pt idx="536">
                  <c:v>1655000</c:v>
                </c:pt>
                <c:pt idx="537">
                  <c:v>1660000</c:v>
                </c:pt>
                <c:pt idx="538">
                  <c:v>1665000</c:v>
                </c:pt>
                <c:pt idx="539">
                  <c:v>1670000</c:v>
                </c:pt>
                <c:pt idx="540">
                  <c:v>1675000</c:v>
                </c:pt>
                <c:pt idx="541">
                  <c:v>1680000</c:v>
                </c:pt>
                <c:pt idx="542">
                  <c:v>1685000</c:v>
                </c:pt>
                <c:pt idx="543">
                  <c:v>1690000</c:v>
                </c:pt>
                <c:pt idx="544">
                  <c:v>1695000</c:v>
                </c:pt>
                <c:pt idx="545">
                  <c:v>1700000</c:v>
                </c:pt>
                <c:pt idx="546">
                  <c:v>1705000</c:v>
                </c:pt>
                <c:pt idx="547">
                  <c:v>1710000</c:v>
                </c:pt>
                <c:pt idx="548">
                  <c:v>1715000</c:v>
                </c:pt>
                <c:pt idx="549">
                  <c:v>1720000</c:v>
                </c:pt>
                <c:pt idx="550">
                  <c:v>1725000</c:v>
                </c:pt>
                <c:pt idx="551">
                  <c:v>1730000</c:v>
                </c:pt>
                <c:pt idx="552">
                  <c:v>1735000</c:v>
                </c:pt>
                <c:pt idx="553">
                  <c:v>1740000</c:v>
                </c:pt>
                <c:pt idx="554">
                  <c:v>1745000</c:v>
                </c:pt>
                <c:pt idx="555">
                  <c:v>1750000</c:v>
                </c:pt>
                <c:pt idx="556">
                  <c:v>1755000</c:v>
                </c:pt>
                <c:pt idx="557">
                  <c:v>1760000</c:v>
                </c:pt>
                <c:pt idx="558">
                  <c:v>1765000</c:v>
                </c:pt>
                <c:pt idx="559">
                  <c:v>1770000</c:v>
                </c:pt>
                <c:pt idx="560">
                  <c:v>1775000</c:v>
                </c:pt>
                <c:pt idx="561">
                  <c:v>1780000</c:v>
                </c:pt>
                <c:pt idx="562">
                  <c:v>1785000</c:v>
                </c:pt>
                <c:pt idx="563">
                  <c:v>1790000</c:v>
                </c:pt>
                <c:pt idx="564">
                  <c:v>1795000</c:v>
                </c:pt>
                <c:pt idx="565">
                  <c:v>1800000</c:v>
                </c:pt>
                <c:pt idx="566">
                  <c:v>1805000</c:v>
                </c:pt>
                <c:pt idx="567">
                  <c:v>1810000</c:v>
                </c:pt>
                <c:pt idx="568">
                  <c:v>1815000</c:v>
                </c:pt>
                <c:pt idx="569">
                  <c:v>1820000</c:v>
                </c:pt>
                <c:pt idx="570">
                  <c:v>1825000</c:v>
                </c:pt>
                <c:pt idx="571">
                  <c:v>1830000</c:v>
                </c:pt>
                <c:pt idx="572">
                  <c:v>1835000</c:v>
                </c:pt>
                <c:pt idx="573">
                  <c:v>1840000</c:v>
                </c:pt>
                <c:pt idx="574">
                  <c:v>1845000</c:v>
                </c:pt>
                <c:pt idx="575">
                  <c:v>1850000</c:v>
                </c:pt>
                <c:pt idx="576">
                  <c:v>1855000</c:v>
                </c:pt>
                <c:pt idx="577">
                  <c:v>1860000</c:v>
                </c:pt>
                <c:pt idx="578">
                  <c:v>1865000</c:v>
                </c:pt>
                <c:pt idx="579">
                  <c:v>1870000</c:v>
                </c:pt>
                <c:pt idx="580">
                  <c:v>1875000</c:v>
                </c:pt>
                <c:pt idx="581">
                  <c:v>1880000</c:v>
                </c:pt>
                <c:pt idx="582">
                  <c:v>1885000</c:v>
                </c:pt>
                <c:pt idx="583">
                  <c:v>1890000</c:v>
                </c:pt>
                <c:pt idx="584">
                  <c:v>1895000</c:v>
                </c:pt>
                <c:pt idx="585">
                  <c:v>1900000</c:v>
                </c:pt>
                <c:pt idx="586">
                  <c:v>1905000</c:v>
                </c:pt>
                <c:pt idx="587">
                  <c:v>1910000</c:v>
                </c:pt>
                <c:pt idx="588">
                  <c:v>1915000</c:v>
                </c:pt>
                <c:pt idx="589">
                  <c:v>1920000</c:v>
                </c:pt>
                <c:pt idx="590">
                  <c:v>1925000</c:v>
                </c:pt>
                <c:pt idx="591">
                  <c:v>1930000</c:v>
                </c:pt>
                <c:pt idx="592">
                  <c:v>1935000</c:v>
                </c:pt>
                <c:pt idx="593">
                  <c:v>1940000</c:v>
                </c:pt>
                <c:pt idx="594">
                  <c:v>1945000</c:v>
                </c:pt>
                <c:pt idx="595">
                  <c:v>1950000</c:v>
                </c:pt>
                <c:pt idx="596">
                  <c:v>1955000</c:v>
                </c:pt>
                <c:pt idx="597">
                  <c:v>1960000</c:v>
                </c:pt>
                <c:pt idx="598">
                  <c:v>1965000</c:v>
                </c:pt>
                <c:pt idx="599">
                  <c:v>1970000</c:v>
                </c:pt>
                <c:pt idx="600">
                  <c:v>1975000</c:v>
                </c:pt>
                <c:pt idx="601">
                  <c:v>1980000</c:v>
                </c:pt>
                <c:pt idx="602">
                  <c:v>1985000</c:v>
                </c:pt>
                <c:pt idx="603">
                  <c:v>1990000</c:v>
                </c:pt>
                <c:pt idx="604">
                  <c:v>1995000</c:v>
                </c:pt>
                <c:pt idx="605">
                  <c:v>2000000</c:v>
                </c:pt>
                <c:pt idx="606">
                  <c:v>2250000</c:v>
                </c:pt>
                <c:pt idx="607">
                  <c:v>2500000</c:v>
                </c:pt>
                <c:pt idx="608">
                  <c:v>2750000</c:v>
                </c:pt>
                <c:pt idx="609">
                  <c:v>3000000</c:v>
                </c:pt>
                <c:pt idx="610">
                  <c:v>3250000</c:v>
                </c:pt>
                <c:pt idx="611">
                  <c:v>3500000</c:v>
                </c:pt>
                <c:pt idx="612">
                  <c:v>3750000</c:v>
                </c:pt>
                <c:pt idx="613">
                  <c:v>4000000</c:v>
                </c:pt>
                <c:pt idx="614">
                  <c:v>4250000</c:v>
                </c:pt>
                <c:pt idx="615">
                  <c:v>4500000</c:v>
                </c:pt>
                <c:pt idx="616">
                  <c:v>4750000</c:v>
                </c:pt>
                <c:pt idx="617">
                  <c:v>5000000</c:v>
                </c:pt>
                <c:pt idx="618">
                  <c:v>5100000</c:v>
                </c:pt>
                <c:pt idx="619">
                  <c:v>5200000</c:v>
                </c:pt>
                <c:pt idx="620">
                  <c:v>5300000</c:v>
                </c:pt>
                <c:pt idx="621">
                  <c:v>5400000</c:v>
                </c:pt>
                <c:pt idx="622">
                  <c:v>5500000</c:v>
                </c:pt>
                <c:pt idx="623">
                  <c:v>5600000</c:v>
                </c:pt>
                <c:pt idx="624">
                  <c:v>5700000</c:v>
                </c:pt>
                <c:pt idx="625">
                  <c:v>5800000</c:v>
                </c:pt>
                <c:pt idx="626">
                  <c:v>5900000</c:v>
                </c:pt>
                <c:pt idx="627">
                  <c:v>6000000</c:v>
                </c:pt>
                <c:pt idx="628">
                  <c:v>6100000</c:v>
                </c:pt>
                <c:pt idx="629">
                  <c:v>6200000</c:v>
                </c:pt>
                <c:pt idx="630">
                  <c:v>6300000</c:v>
                </c:pt>
                <c:pt idx="631">
                  <c:v>6400000</c:v>
                </c:pt>
                <c:pt idx="632">
                  <c:v>6500000</c:v>
                </c:pt>
                <c:pt idx="633">
                  <c:v>6600000</c:v>
                </c:pt>
                <c:pt idx="634">
                  <c:v>6700000</c:v>
                </c:pt>
                <c:pt idx="635">
                  <c:v>6800000</c:v>
                </c:pt>
                <c:pt idx="636">
                  <c:v>6900000</c:v>
                </c:pt>
                <c:pt idx="637">
                  <c:v>7000000</c:v>
                </c:pt>
                <c:pt idx="638">
                  <c:v>7100000</c:v>
                </c:pt>
                <c:pt idx="639">
                  <c:v>7200000</c:v>
                </c:pt>
                <c:pt idx="640">
                  <c:v>7300000</c:v>
                </c:pt>
                <c:pt idx="641">
                  <c:v>7400000</c:v>
                </c:pt>
                <c:pt idx="642">
                  <c:v>7500000</c:v>
                </c:pt>
                <c:pt idx="643">
                  <c:v>7600000</c:v>
                </c:pt>
                <c:pt idx="644">
                  <c:v>7700000</c:v>
                </c:pt>
                <c:pt idx="645">
                  <c:v>7800000</c:v>
                </c:pt>
                <c:pt idx="646">
                  <c:v>7900000</c:v>
                </c:pt>
                <c:pt idx="647">
                  <c:v>8000000</c:v>
                </c:pt>
                <c:pt idx="648">
                  <c:v>8100000</c:v>
                </c:pt>
                <c:pt idx="649">
                  <c:v>8200000</c:v>
                </c:pt>
                <c:pt idx="650">
                  <c:v>8300000</c:v>
                </c:pt>
                <c:pt idx="651">
                  <c:v>8400000</c:v>
                </c:pt>
                <c:pt idx="652">
                  <c:v>8500000</c:v>
                </c:pt>
                <c:pt idx="653">
                  <c:v>8600000</c:v>
                </c:pt>
                <c:pt idx="654">
                  <c:v>8700000</c:v>
                </c:pt>
                <c:pt idx="655">
                  <c:v>8800000</c:v>
                </c:pt>
                <c:pt idx="656">
                  <c:v>8900000</c:v>
                </c:pt>
                <c:pt idx="657">
                  <c:v>9000000</c:v>
                </c:pt>
                <c:pt idx="658">
                  <c:v>9100000</c:v>
                </c:pt>
                <c:pt idx="659">
                  <c:v>9200000</c:v>
                </c:pt>
                <c:pt idx="660">
                  <c:v>9300000</c:v>
                </c:pt>
                <c:pt idx="661">
                  <c:v>9400000</c:v>
                </c:pt>
                <c:pt idx="662">
                  <c:v>9500000</c:v>
                </c:pt>
                <c:pt idx="663">
                  <c:v>9600000</c:v>
                </c:pt>
                <c:pt idx="664">
                  <c:v>9700000</c:v>
                </c:pt>
                <c:pt idx="665">
                  <c:v>9800000</c:v>
                </c:pt>
                <c:pt idx="666">
                  <c:v>9900000</c:v>
                </c:pt>
                <c:pt idx="667">
                  <c:v>10000000</c:v>
                </c:pt>
              </c:numCache>
            </c:numRef>
          </c:xVal>
          <c:yVal>
            <c:numRef>
              <c:f>'Bode Plots Calculations'!$BI$9:$BI$676</c:f>
              <c:numCache>
                <c:formatCode>General</c:formatCode>
                <c:ptCount val="668"/>
                <c:pt idx="0">
                  <c:v>98.241607854187052</c:v>
                </c:pt>
                <c:pt idx="1">
                  <c:v>94.230283936225405</c:v>
                </c:pt>
                <c:pt idx="2">
                  <c:v>92.92115289741534</c:v>
                </c:pt>
                <c:pt idx="3">
                  <c:v>92.294816805465501</c:v>
                </c:pt>
                <c:pt idx="4">
                  <c:v>91.942322135126915</c:v>
                </c:pt>
                <c:pt idx="5">
                  <c:v>91.726897185197529</c:v>
                </c:pt>
                <c:pt idx="6">
                  <c:v>91.589841396828405</c:v>
                </c:pt>
                <c:pt idx="7">
                  <c:v>91.501782084049935</c:v>
                </c:pt>
                <c:pt idx="8">
                  <c:v>91.446393593349384</c:v>
                </c:pt>
                <c:pt idx="9">
                  <c:v>91.413877589305272</c:v>
                </c:pt>
                <c:pt idx="10">
                  <c:v>91.591963486905286</c:v>
                </c:pt>
                <c:pt idx="11">
                  <c:v>92.044437383388114</c:v>
                </c:pt>
                <c:pt idx="12">
                  <c:v>92.565278138994273</c:v>
                </c:pt>
                <c:pt idx="13">
                  <c:v>93.113200749445767</c:v>
                </c:pt>
                <c:pt idx="14">
                  <c:v>93.674380444126257</c:v>
                </c:pt>
                <c:pt idx="15">
                  <c:v>94.24283892245252</c:v>
                </c:pt>
                <c:pt idx="16">
                  <c:v>94.815540767031692</c:v>
                </c:pt>
                <c:pt idx="17">
                  <c:v>95.390758943989226</c:v>
                </c:pt>
                <c:pt idx="18">
                  <c:v>95.967421050670509</c:v>
                </c:pt>
                <c:pt idx="19">
                  <c:v>101.71851291349338</c:v>
                </c:pt>
                <c:pt idx="20">
                  <c:v>107.32075935693472</c:v>
                </c:pt>
                <c:pt idx="21">
                  <c:v>112.6862120619672</c:v>
                </c:pt>
                <c:pt idx="22">
                  <c:v>117.76317637979236</c:v>
                </c:pt>
                <c:pt idx="23">
                  <c:v>122.52257408312261</c:v>
                </c:pt>
                <c:pt idx="24">
                  <c:v>126.95351066082259</c:v>
                </c:pt>
                <c:pt idx="25">
                  <c:v>131.05899344053753</c:v>
                </c:pt>
                <c:pt idx="26">
                  <c:v>134.85173308032358</c:v>
                </c:pt>
                <c:pt idx="27">
                  <c:v>138.35048542654613</c:v>
                </c:pt>
                <c:pt idx="28">
                  <c:v>152.21456338725332</c:v>
                </c:pt>
                <c:pt idx="29">
                  <c:v>161.8253672192966</c:v>
                </c:pt>
                <c:pt idx="30">
                  <c:v>168.83994079036549</c:v>
                </c:pt>
                <c:pt idx="31">
                  <c:v>174.15319430174381</c:v>
                </c:pt>
                <c:pt idx="32">
                  <c:v>178.23696226539246</c:v>
                </c:pt>
                <c:pt idx="33">
                  <c:v>-178.66202215975838</c:v>
                </c:pt>
                <c:pt idx="34">
                  <c:v>-176.42564526374937</c:v>
                </c:pt>
                <c:pt idx="35">
                  <c:v>-175.02058190411915</c:v>
                </c:pt>
                <c:pt idx="36">
                  <c:v>-174.48250351564371</c:v>
                </c:pt>
                <c:pt idx="37">
                  <c:v>-174.91793261068176</c:v>
                </c:pt>
                <c:pt idx="38">
                  <c:v>-176.5201531809204</c:v>
                </c:pt>
                <c:pt idx="39">
                  <c:v>-179.59702772812409</c:v>
                </c:pt>
                <c:pt idx="40">
                  <c:v>175.39996384442321</c:v>
                </c:pt>
                <c:pt idx="41">
                  <c:v>167.89299213486603</c:v>
                </c:pt>
                <c:pt idx="42">
                  <c:v>157.38282649482005</c:v>
                </c:pt>
                <c:pt idx="43">
                  <c:v>144.04216288472884</c:v>
                </c:pt>
                <c:pt idx="44">
                  <c:v>129.38867975609767</c:v>
                </c:pt>
                <c:pt idx="45">
                  <c:v>115.76000609441144</c:v>
                </c:pt>
                <c:pt idx="46">
                  <c:v>104.68639358550348</c:v>
                </c:pt>
                <c:pt idx="47">
                  <c:v>96.345959031633015</c:v>
                </c:pt>
                <c:pt idx="48">
                  <c:v>90.231748079144992</c:v>
                </c:pt>
                <c:pt idx="49">
                  <c:v>85.749166825879641</c:v>
                </c:pt>
                <c:pt idx="50">
                  <c:v>82.423445397450976</c:v>
                </c:pt>
                <c:pt idx="51">
                  <c:v>79.916434446065054</c:v>
                </c:pt>
                <c:pt idx="52">
                  <c:v>77.995063219659471</c:v>
                </c:pt>
                <c:pt idx="53">
                  <c:v>76.498924280699171</c:v>
                </c:pt>
                <c:pt idx="54">
                  <c:v>75.316395641061106</c:v>
                </c:pt>
                <c:pt idx="55">
                  <c:v>74.368581129853595</c:v>
                </c:pt>
                <c:pt idx="56">
                  <c:v>73.598775637530167</c:v>
                </c:pt>
                <c:pt idx="57">
                  <c:v>72.965554386411867</c:v>
                </c:pt>
                <c:pt idx="58">
                  <c:v>72.438191661652581</c:v>
                </c:pt>
                <c:pt idx="59">
                  <c:v>71.993578416154733</c:v>
                </c:pt>
                <c:pt idx="60">
                  <c:v>71.614114268907343</c:v>
                </c:pt>
                <c:pt idx="61">
                  <c:v>71.286242038517173</c:v>
                </c:pt>
                <c:pt idx="62">
                  <c:v>70.999412703549368</c:v>
                </c:pt>
                <c:pt idx="63">
                  <c:v>70.74534334745168</c:v>
                </c:pt>
                <c:pt idx="64">
                  <c:v>70.51747766737283</c:v>
                </c:pt>
                <c:pt idx="65">
                  <c:v>70.310588632402556</c:v>
                </c:pt>
                <c:pt idx="66">
                  <c:v>70.120482306314415</c:v>
                </c:pt>
                <c:pt idx="67">
                  <c:v>69.943774620516393</c:v>
                </c:pt>
                <c:pt idx="68">
                  <c:v>69.777721401820642</c:v>
                </c:pt>
                <c:pt idx="69">
                  <c:v>69.620087724344813</c:v>
                </c:pt>
                <c:pt idx="70">
                  <c:v>69.469046609648572</c:v>
                </c:pt>
                <c:pt idx="71">
                  <c:v>69.323099847914392</c:v>
                </c:pt>
                <c:pt idx="72">
                  <c:v>69.181015647109277</c:v>
                </c:pt>
                <c:pt idx="73">
                  <c:v>69.041779193931887</c:v>
                </c:pt>
                <c:pt idx="74">
                  <c:v>68.904553201310222</c:v>
                </c:pt>
                <c:pt idx="75">
                  <c:v>68.768646237825891</c:v>
                </c:pt>
                <c:pt idx="76">
                  <c:v>68.633487163570109</c:v>
                </c:pt>
                <c:pt idx="77">
                  <c:v>68.498604389030191</c:v>
                </c:pt>
                <c:pt idx="78">
                  <c:v>68.363608966667243</c:v>
                </c:pt>
                <c:pt idx="79">
                  <c:v>68.228180745672248</c:v>
                </c:pt>
                <c:pt idx="80">
                  <c:v>68.092056988061245</c:v>
                </c:pt>
                <c:pt idx="81">
                  <c:v>67.955022972509468</c:v>
                </c:pt>
                <c:pt idx="82">
                  <c:v>67.816904211071716</c:v>
                </c:pt>
                <c:pt idx="83">
                  <c:v>67.677559980470107</c:v>
                </c:pt>
                <c:pt idx="84">
                  <c:v>67.536877929308801</c:v>
                </c:pt>
                <c:pt idx="85">
                  <c:v>67.394769569379818</c:v>
                </c:pt>
                <c:pt idx="86">
                  <c:v>67.251166496136221</c:v>
                </c:pt>
                <c:pt idx="87">
                  <c:v>67.106017212668817</c:v>
                </c:pt>
                <c:pt idx="88">
                  <c:v>66.959284454832812</c:v>
                </c:pt>
                <c:pt idx="89">
                  <c:v>66.81094293382877</c:v>
                </c:pt>
                <c:pt idx="90">
                  <c:v>66.660977427542036</c:v>
                </c:pt>
                <c:pt idx="91">
                  <c:v>66.509381164057842</c:v>
                </c:pt>
                <c:pt idx="92">
                  <c:v>66.356154450586388</c:v>
                </c:pt>
                <c:pt idx="93">
                  <c:v>66.201303509024527</c:v>
                </c:pt>
                <c:pt idx="94">
                  <c:v>66.044839485907744</c:v>
                </c:pt>
                <c:pt idx="95">
                  <c:v>65.886777609856608</c:v>
                </c:pt>
                <c:pt idx="96">
                  <c:v>65.727136474022842</c:v>
                </c:pt>
                <c:pt idx="97">
                  <c:v>65.565937424671546</c:v>
                </c:pt>
                <c:pt idx="98">
                  <c:v>65.403204040042098</c:v>
                </c:pt>
                <c:pt idx="99">
                  <c:v>65.238961686124284</c:v>
                </c:pt>
                <c:pt idx="100">
                  <c:v>65.073237138064158</c:v>
                </c:pt>
                <c:pt idx="101">
                  <c:v>64.906058257647402</c:v>
                </c:pt>
                <c:pt idx="102">
                  <c:v>64.737453718758601</c:v>
                </c:pt>
                <c:pt idx="103">
                  <c:v>64.567452773932885</c:v>
                </c:pt>
                <c:pt idx="104">
                  <c:v>64.396085056137849</c:v>
                </c:pt>
                <c:pt idx="105">
                  <c:v>64.223380410789844</c:v>
                </c:pt>
                <c:pt idx="106">
                  <c:v>64.049368753733475</c:v>
                </c:pt>
                <c:pt idx="107">
                  <c:v>63.874079951532721</c:v>
                </c:pt>
                <c:pt idx="108">
                  <c:v>63.697543720944097</c:v>
                </c:pt>
                <c:pt idx="109">
                  <c:v>63.519789544886905</c:v>
                </c:pt>
                <c:pt idx="110">
                  <c:v>63.340846602604074</c:v>
                </c:pt>
                <c:pt idx="111">
                  <c:v>63.160743712029515</c:v>
                </c:pt>
                <c:pt idx="112">
                  <c:v>62.979509282654391</c:v>
                </c:pt>
                <c:pt idx="113">
                  <c:v>62.797171277419494</c:v>
                </c:pt>
                <c:pt idx="114">
                  <c:v>62.613757182363614</c:v>
                </c:pt>
                <c:pt idx="115">
                  <c:v>62.429293982931455</c:v>
                </c:pt>
                <c:pt idx="116">
                  <c:v>62.243808145992674</c:v>
                </c:pt>
                <c:pt idx="117">
                  <c:v>62.057325606753537</c:v>
                </c:pt>
                <c:pt idx="118">
                  <c:v>61.869871759851137</c:v>
                </c:pt>
                <c:pt idx="119">
                  <c:v>61.68147145401727</c:v>
                </c:pt>
                <c:pt idx="120">
                  <c:v>61.492148989780191</c:v>
                </c:pt>
                <c:pt idx="121">
                  <c:v>61.301928119743991</c:v>
                </c:pt>
                <c:pt idx="122">
                  <c:v>61.110832051047112</c:v>
                </c:pt>
                <c:pt idx="123">
                  <c:v>60.918883449654572</c:v>
                </c:pt>
                <c:pt idx="124">
                  <c:v>60.726104446184593</c:v>
                </c:pt>
                <c:pt idx="125">
                  <c:v>60.532516643010837</c:v>
                </c:pt>
                <c:pt idx="126">
                  <c:v>60.338141122416047</c:v>
                </c:pt>
                <c:pt idx="127">
                  <c:v>60.142998455602935</c:v>
                </c:pt>
                <c:pt idx="128">
                  <c:v>59.947108712394666</c:v>
                </c:pt>
                <c:pt idx="129">
                  <c:v>59.750491471480558</c:v>
                </c:pt>
                <c:pt idx="130">
                  <c:v>59.553165831081543</c:v>
                </c:pt>
                <c:pt idx="131">
                  <c:v>59.355150419928222</c:v>
                </c:pt>
                <c:pt idx="132">
                  <c:v>59.156463408459089</c:v>
                </c:pt>
                <c:pt idx="133">
                  <c:v>58.957122520158919</c:v>
                </c:pt>
                <c:pt idx="134">
                  <c:v>58.757145042970564</c:v>
                </c:pt>
                <c:pt idx="135">
                  <c:v>58.556547840721208</c:v>
                </c:pt>
                <c:pt idx="136">
                  <c:v>58.355347364514216</c:v>
                </c:pt>
                <c:pt idx="137">
                  <c:v>58.153559664045233</c:v>
                </c:pt>
                <c:pt idx="138">
                  <c:v>57.951200398806861</c:v>
                </c:pt>
                <c:pt idx="139">
                  <c:v>57.748284849152782</c:v>
                </c:pt>
                <c:pt idx="140">
                  <c:v>57.544827927197062</c:v>
                </c:pt>
                <c:pt idx="141">
                  <c:v>57.340844187528575</c:v>
                </c:pt>
                <c:pt idx="142">
                  <c:v>57.136347837723747</c:v>
                </c:pt>
                <c:pt idx="143">
                  <c:v>56.931352748645565</c:v>
                </c:pt>
                <c:pt idx="144">
                  <c:v>56.725872464517522</c:v>
                </c:pt>
                <c:pt idx="145">
                  <c:v>56.519920212765541</c:v>
                </c:pt>
                <c:pt idx="146">
                  <c:v>56.313508913621789</c:v>
                </c:pt>
                <c:pt idx="147">
                  <c:v>56.106651189486968</c:v>
                </c:pt>
                <c:pt idx="148">
                  <c:v>55.899359374048231</c:v>
                </c:pt>
                <c:pt idx="149">
                  <c:v>55.691645521151926</c:v>
                </c:pt>
                <c:pt idx="150">
                  <c:v>55.483521413432314</c:v>
                </c:pt>
                <c:pt idx="151">
                  <c:v>55.274998570695558</c:v>
                </c:pt>
                <c:pt idx="152">
                  <c:v>55.066088258063175</c:v>
                </c:pt>
                <c:pt idx="153">
                  <c:v>54.856801493875537</c:v>
                </c:pt>
                <c:pt idx="154">
                  <c:v>54.647149057360679</c:v>
                </c:pt>
                <c:pt idx="155">
                  <c:v>54.437141496070169</c:v>
                </c:pt>
                <c:pt idx="156">
                  <c:v>54.226789133088431</c:v>
                </c:pt>
                <c:pt idx="157">
                  <c:v>54.01610207401751</c:v>
                </c:pt>
                <c:pt idx="158">
                  <c:v>53.805090213744265</c:v>
                </c:pt>
                <c:pt idx="159">
                  <c:v>53.593763242993333</c:v>
                </c:pt>
                <c:pt idx="160">
                  <c:v>53.382130654671556</c:v>
                </c:pt>
                <c:pt idx="161">
                  <c:v>53.170201750009355</c:v>
                </c:pt>
                <c:pt idx="162">
                  <c:v>52.957985644503253</c:v>
                </c:pt>
                <c:pt idx="163">
                  <c:v>52.745491273666005</c:v>
                </c:pt>
                <c:pt idx="164">
                  <c:v>52.532727398588847</c:v>
                </c:pt>
                <c:pt idx="165">
                  <c:v>52.319702611320992</c:v>
                </c:pt>
                <c:pt idx="166">
                  <c:v>52.106425340072477</c:v>
                </c:pt>
                <c:pt idx="167">
                  <c:v>51.892903854244793</c:v>
                </c:pt>
                <c:pt idx="168">
                  <c:v>51.679146269294336</c:v>
                </c:pt>
                <c:pt idx="169">
                  <c:v>51.465160551434053</c:v>
                </c:pt>
                <c:pt idx="170">
                  <c:v>51.250954522178375</c:v>
                </c:pt>
                <c:pt idx="171">
                  <c:v>51.036535862735803</c:v>
                </c:pt>
                <c:pt idx="172">
                  <c:v>50.821912118254147</c:v>
                </c:pt>
                <c:pt idx="173">
                  <c:v>50.607090701923056</c:v>
                </c:pt>
                <c:pt idx="174">
                  <c:v>50.392078898938195</c:v>
                </c:pt>
                <c:pt idx="175">
                  <c:v>50.176883870331977</c:v>
                </c:pt>
                <c:pt idx="176">
                  <c:v>49.9615126566745</c:v>
                </c:pt>
                <c:pt idx="177">
                  <c:v>49.745972181649307</c:v>
                </c:pt>
                <c:pt idx="178">
                  <c:v>49.530269255507733</c:v>
                </c:pt>
                <c:pt idx="179">
                  <c:v>49.314410578406324</c:v>
                </c:pt>
                <c:pt idx="180">
                  <c:v>49.098402743630544</c:v>
                </c:pt>
                <c:pt idx="181">
                  <c:v>48.882252240708908</c:v>
                </c:pt>
                <c:pt idx="182">
                  <c:v>48.66596545842097</c:v>
                </c:pt>
                <c:pt idx="183">
                  <c:v>48.449548687702645</c:v>
                </c:pt>
                <c:pt idx="184">
                  <c:v>48.233008124452624</c:v>
                </c:pt>
                <c:pt idx="185">
                  <c:v>48.016349872242614</c:v>
                </c:pt>
                <c:pt idx="186">
                  <c:v>47.799579944934749</c:v>
                </c:pt>
                <c:pt idx="187">
                  <c:v>47.582704269210041</c:v>
                </c:pt>
                <c:pt idx="188">
                  <c:v>47.365728687009124</c:v>
                </c:pt>
                <c:pt idx="189">
                  <c:v>47.148658957890234</c:v>
                </c:pt>
                <c:pt idx="190">
                  <c:v>46.931500761305614</c:v>
                </c:pt>
                <c:pt idx="191">
                  <c:v>46.714259698799566</c:v>
                </c:pt>
                <c:pt idx="192">
                  <c:v>46.496941296131496</c:v>
                </c:pt>
                <c:pt idx="193">
                  <c:v>46.27955100532489</c:v>
                </c:pt>
                <c:pt idx="194">
                  <c:v>46.06209420664635</c:v>
                </c:pt>
                <c:pt idx="195">
                  <c:v>45.84457621051564</c:v>
                </c:pt>
                <c:pt idx="196">
                  <c:v>45.627002259350093</c:v>
                </c:pt>
                <c:pt idx="197">
                  <c:v>45.40937752934471</c:v>
                </c:pt>
                <c:pt idx="198">
                  <c:v>45.191707132191198</c:v>
                </c:pt>
                <c:pt idx="199">
                  <c:v>44.973996116736146</c:v>
                </c:pt>
                <c:pt idx="200">
                  <c:v>44.756249470582389</c:v>
                </c:pt>
                <c:pt idx="201">
                  <c:v>44.53847212163447</c:v>
                </c:pt>
                <c:pt idx="202">
                  <c:v>44.320668939589382</c:v>
                </c:pt>
                <c:pt idx="203">
                  <c:v>44.102844737376074</c:v>
                </c:pt>
                <c:pt idx="204">
                  <c:v>43.885004272543739</c:v>
                </c:pt>
                <c:pt idx="205">
                  <c:v>43.667152248601752</c:v>
                </c:pt>
                <c:pt idx="206">
                  <c:v>43.449293316312264</c:v>
                </c:pt>
                <c:pt idx="207">
                  <c:v>43.231432074937032</c:v>
                </c:pt>
                <c:pt idx="208">
                  <c:v>43.013573073440455</c:v>
                </c:pt>
                <c:pt idx="209">
                  <c:v>42.795720811649687</c:v>
                </c:pt>
                <c:pt idx="210">
                  <c:v>42.577879741373351</c:v>
                </c:pt>
                <c:pt idx="211">
                  <c:v>42.360054267480791</c:v>
                </c:pt>
                <c:pt idx="212">
                  <c:v>42.142248748942421</c:v>
                </c:pt>
                <c:pt idx="213">
                  <c:v>41.924467499832673</c:v>
                </c:pt>
                <c:pt idx="214">
                  <c:v>41.706714790297212</c:v>
                </c:pt>
                <c:pt idx="215">
                  <c:v>41.488994847484889</c:v>
                </c:pt>
                <c:pt idx="216">
                  <c:v>41.271311856446061</c:v>
                </c:pt>
                <c:pt idx="217">
                  <c:v>41.053669960998405</c:v>
                </c:pt>
                <c:pt idx="218">
                  <c:v>40.836073264560895</c:v>
                </c:pt>
                <c:pt idx="219">
                  <c:v>40.618525830957452</c:v>
                </c:pt>
                <c:pt idx="220">
                  <c:v>40.401031685190986</c:v>
                </c:pt>
                <c:pt idx="221">
                  <c:v>40.183594814189036</c:v>
                </c:pt>
                <c:pt idx="222">
                  <c:v>39.966219167521302</c:v>
                </c:pt>
                <c:pt idx="223">
                  <c:v>39.748908658091239</c:v>
                </c:pt>
                <c:pt idx="224">
                  <c:v>39.53166716280117</c:v>
                </c:pt>
                <c:pt idx="225">
                  <c:v>39.314498523192754</c:v>
                </c:pt>
                <c:pt idx="226">
                  <c:v>37.147640212154386</c:v>
                </c:pt>
                <c:pt idx="227">
                  <c:v>34.992051583421244</c:v>
                </c:pt>
                <c:pt idx="228">
                  <c:v>32.85106817477714</c:v>
                </c:pt>
                <c:pt idx="229">
                  <c:v>30.727762079843728</c:v>
                </c:pt>
                <c:pt idx="230">
                  <c:v>28.624963122764797</c:v>
                </c:pt>
                <c:pt idx="231">
                  <c:v>26.545272179241152</c:v>
                </c:pt>
                <c:pt idx="232">
                  <c:v>24.491069371209534</c:v>
                </c:pt>
                <c:pt idx="233">
                  <c:v>22.464519167201956</c:v>
                </c:pt>
                <c:pt idx="234">
                  <c:v>20.467573889328719</c:v>
                </c:pt>
                <c:pt idx="235">
                  <c:v>18.501976714089722</c:v>
                </c:pt>
                <c:pt idx="236">
                  <c:v>16.569264927500171</c:v>
                </c:pt>
                <c:pt idx="237">
                  <c:v>14.670773935523982</c:v>
                </c:pt>
                <c:pt idx="238">
                  <c:v>12.807642325356341</c:v>
                </c:pt>
                <c:pt idx="239">
                  <c:v>10.980818112487469</c:v>
                </c:pt>
                <c:pt idx="240">
                  <c:v>9.1910661858428568</c:v>
                </c:pt>
                <c:pt idx="241">
                  <c:v>7.4389768730652861</c:v>
                </c:pt>
                <c:pt idx="242">
                  <c:v>5.7249754853172874</c:v>
                </c:pt>
                <c:pt idx="243">
                  <c:v>4.0493326614034686</c:v>
                </c:pt>
                <c:pt idx="244">
                  <c:v>2.4121753103837023</c:v>
                </c:pt>
                <c:pt idx="245">
                  <c:v>0.81349794631239547</c:v>
                </c:pt>
                <c:pt idx="246">
                  <c:v>-0.74682578524956966</c:v>
                </c:pt>
                <c:pt idx="247">
                  <c:v>-2.2690315749225931</c:v>
                </c:pt>
                <c:pt idx="248">
                  <c:v>-3.7534530773696702</c:v>
                </c:pt>
                <c:pt idx="249">
                  <c:v>-5.2005108420219415</c:v>
                </c:pt>
                <c:pt idx="250">
                  <c:v>-6.6107016646677721</c:v>
                </c:pt>
                <c:pt idx="251">
                  <c:v>-7.9845884532810487</c:v>
                </c:pt>
                <c:pt idx="252">
                  <c:v>-9.3227906779819705</c:v>
                </c:pt>
                <c:pt idx="253">
                  <c:v>-10.625975453441526</c:v>
                </c:pt>
                <c:pt idx="254">
                  <c:v>-11.894849282813112</c:v>
                </c:pt>
                <c:pt idx="255">
                  <c:v>-13.130150475641358</c:v>
                </c:pt>
                <c:pt idx="256">
                  <c:v>-14.332642238213367</c:v>
                </c:pt>
                <c:pt idx="257">
                  <c:v>-15.503106423402869</c:v>
                </c:pt>
                <c:pt idx="258">
                  <c:v>-16.642337918049606</c:v>
                </c:pt>
                <c:pt idx="259">
                  <c:v>-17.751139639082794</c:v>
                </c:pt>
                <c:pt idx="260">
                  <c:v>-18.830318104686768</c:v>
                </c:pt>
                <c:pt idx="261">
                  <c:v>-19.88067954354986</c:v>
                </c:pt>
                <c:pt idx="262">
                  <c:v>-20.903026503366334</c:v>
                </c:pt>
                <c:pt idx="263">
                  <c:v>-21.898154919038376</c:v>
                </c:pt>
                <c:pt idx="264">
                  <c:v>-22.86685160120814</c:v>
                </c:pt>
                <c:pt idx="265">
                  <c:v>-23.809892106651915</c:v>
                </c:pt>
                <c:pt idx="266">
                  <c:v>-24.728038953502562</c:v>
                </c:pt>
                <c:pt idx="267">
                  <c:v>-25.622040146087272</c:v>
                </c:pt>
                <c:pt idx="268">
                  <c:v>-26.492627976250844</c:v>
                </c:pt>
                <c:pt idx="269">
                  <c:v>-27.340518070273589</c:v>
                </c:pt>
                <c:pt idx="270">
                  <c:v>-28.166408652807377</c:v>
                </c:pt>
                <c:pt idx="271">
                  <c:v>-28.970980001581694</c:v>
                </c:pt>
                <c:pt idx="272">
                  <c:v>-29.754894068914609</c:v>
                </c:pt>
                <c:pt idx="273">
                  <c:v>-30.518794248276521</c:v>
                </c:pt>
                <c:pt idx="274">
                  <c:v>-31.263305266260346</c:v>
                </c:pt>
                <c:pt idx="275">
                  <c:v>-31.989033182300687</c:v>
                </c:pt>
                <c:pt idx="276">
                  <c:v>-32.696565480339871</c:v>
                </c:pt>
                <c:pt idx="277">
                  <c:v>-33.386471238359093</c:v>
                </c:pt>
                <c:pt idx="278">
                  <c:v>-34.059301363276774</c:v>
                </c:pt>
                <c:pt idx="279">
                  <c:v>-34.715588880161391</c:v>
                </c:pt>
                <c:pt idx="280">
                  <c:v>-35.355849266025331</c:v>
                </c:pt>
                <c:pt idx="281">
                  <c:v>-35.980580819655643</c:v>
                </c:pt>
                <c:pt idx="282">
                  <c:v>-36.59026506001382</c:v>
                </c:pt>
                <c:pt idx="283">
                  <c:v>-37.185367146699093</c:v>
                </c:pt>
                <c:pt idx="284">
                  <c:v>-37.766336316834014</c:v>
                </c:pt>
                <c:pt idx="285">
                  <c:v>-38.333606333498125</c:v>
                </c:pt>
                <c:pt idx="286">
                  <c:v>-38.887595941520544</c:v>
                </c:pt>
                <c:pt idx="287">
                  <c:v>-39.428709327045823</c:v>
                </c:pt>
                <c:pt idx="288">
                  <c:v>-39.957336577824179</c:v>
                </c:pt>
                <c:pt idx="289">
                  <c:v>-40.473854141645035</c:v>
                </c:pt>
                <c:pt idx="290">
                  <c:v>-40.978625280751288</c:v>
                </c:pt>
                <c:pt idx="291">
                  <c:v>-41.472000520429589</c:v>
                </c:pt>
                <c:pt idx="292">
                  <c:v>-41.954318090291622</c:v>
                </c:pt>
                <c:pt idx="293">
                  <c:v>-42.425904357036899</c:v>
                </c:pt>
                <c:pt idx="294">
                  <c:v>-42.887074247726389</c:v>
                </c:pt>
                <c:pt idx="295">
                  <c:v>-43.33813166280558</c:v>
                </c:pt>
                <c:pt idx="296">
                  <c:v>-43.779369878293693</c:v>
                </c:pt>
                <c:pt idx="297">
                  <c:v>-44.211071936709885</c:v>
                </c:pt>
                <c:pt idx="298">
                  <c:v>-44.633511026441852</c:v>
                </c:pt>
                <c:pt idx="299">
                  <c:v>-45.046950849371001</c:v>
                </c:pt>
                <c:pt idx="300">
                  <c:v>-45.451645976668914</c:v>
                </c:pt>
                <c:pt idx="301">
                  <c:v>-45.847842192756787</c:v>
                </c:pt>
                <c:pt idx="302">
                  <c:v>-46.235776827490497</c:v>
                </c:pt>
                <c:pt idx="303">
                  <c:v>-46.615679076688394</c:v>
                </c:pt>
                <c:pt idx="304">
                  <c:v>-46.987770311168134</c:v>
                </c:pt>
                <c:pt idx="305">
                  <c:v>-47.352264374494041</c:v>
                </c:pt>
                <c:pt idx="306">
                  <c:v>-47.709367869671098</c:v>
                </c:pt>
                <c:pt idx="307">
                  <c:v>-48.059280435043036</c:v>
                </c:pt>
                <c:pt idx="308">
                  <c:v>-48.40219500967217</c:v>
                </c:pt>
                <c:pt idx="309">
                  <c:v>-48.738298088493963</c:v>
                </c:pt>
                <c:pt idx="310">
                  <c:v>-49.067769967547463</c:v>
                </c:pt>
                <c:pt idx="311">
                  <c:v>-49.390784979591444</c:v>
                </c:pt>
                <c:pt idx="312">
                  <c:v>-49.707511720418267</c:v>
                </c:pt>
                <c:pt idx="313">
                  <c:v>-50.018113266180848</c:v>
                </c:pt>
                <c:pt idx="314">
                  <c:v>-50.322747382045407</c:v>
                </c:pt>
                <c:pt idx="315">
                  <c:v>-50.621566722481589</c:v>
                </c:pt>
                <c:pt idx="316">
                  <c:v>-50.91471902349727</c:v>
                </c:pt>
                <c:pt idx="317">
                  <c:v>-51.202347287120887</c:v>
                </c:pt>
                <c:pt idx="318">
                  <c:v>-51.484589958426028</c:v>
                </c:pt>
                <c:pt idx="319">
                  <c:v>-51.761581095390568</c:v>
                </c:pt>
                <c:pt idx="320">
                  <c:v>-52.03345053186996</c:v>
                </c:pt>
                <c:pt idx="321">
                  <c:v>-52.300324033961289</c:v>
                </c:pt>
                <c:pt idx="322">
                  <c:v>-52.562323450023314</c:v>
                </c:pt>
                <c:pt idx="323">
                  <c:v>-52.819566854611196</c:v>
                </c:pt>
                <c:pt idx="324">
                  <c:v>-53.072168686575509</c:v>
                </c:pt>
                <c:pt idx="325">
                  <c:v>-53.320239881566408</c:v>
                </c:pt>
                <c:pt idx="326">
                  <c:v>-53.563887999175478</c:v>
                </c:pt>
                <c:pt idx="327">
                  <c:v>-53.803217344940236</c:v>
                </c:pt>
                <c:pt idx="328">
                  <c:v>-54.038329087425751</c:v>
                </c:pt>
                <c:pt idx="329">
                  <c:v>-54.269321370591541</c:v>
                </c:pt>
                <c:pt idx="330">
                  <c:v>-54.496289421642814</c:v>
                </c:pt>
                <c:pt idx="331">
                  <c:v>-54.719325654557679</c:v>
                </c:pt>
                <c:pt idx="332">
                  <c:v>-54.9385197694738</c:v>
                </c:pt>
                <c:pt idx="333">
                  <c:v>-55.153958848110562</c:v>
                </c:pt>
                <c:pt idx="334">
                  <c:v>-55.365727445395834</c:v>
                </c:pt>
                <c:pt idx="335">
                  <c:v>-55.573907677458521</c:v>
                </c:pt>
                <c:pt idx="336">
                  <c:v>-55.778579306142632</c:v>
                </c:pt>
                <c:pt idx="337">
                  <c:v>-55.979819820190585</c:v>
                </c:pt>
                <c:pt idx="338">
                  <c:v>-56.17770451323787</c:v>
                </c:pt>
                <c:pt idx="339">
                  <c:v>-56.372306558754957</c:v>
                </c:pt>
                <c:pt idx="340">
                  <c:v>-56.563697082065971</c:v>
                </c:pt>
                <c:pt idx="341">
                  <c:v>-56.751945229569287</c:v>
                </c:pt>
                <c:pt idx="342">
                  <c:v>-56.937118235277751</c:v>
                </c:pt>
                <c:pt idx="343">
                  <c:v>-57.119281484792822</c:v>
                </c:pt>
                <c:pt idx="344">
                  <c:v>-57.298498576821373</c:v>
                </c:pt>
                <c:pt idx="345">
                  <c:v>-57.474831382338124</c:v>
                </c:pt>
                <c:pt idx="346">
                  <c:v>-57.648340101493517</c:v>
                </c:pt>
                <c:pt idx="347">
                  <c:v>-57.81908331836209</c:v>
                </c:pt>
                <c:pt idx="348">
                  <c:v>-57.987118053621202</c:v>
                </c:pt>
                <c:pt idx="349">
                  <c:v>-58.15249981524704</c:v>
                </c:pt>
                <c:pt idx="350">
                  <c:v>-58.315282647310994</c:v>
                </c:pt>
                <c:pt idx="351">
                  <c:v>-58.475519176954833</c:v>
                </c:pt>
                <c:pt idx="352">
                  <c:v>-58.633260659620674</c:v>
                </c:pt>
                <c:pt idx="353">
                  <c:v>-58.788557022607847</c:v>
                </c:pt>
                <c:pt idx="354">
                  <c:v>-58.941456907025241</c:v>
                </c:pt>
                <c:pt idx="355">
                  <c:v>-59.092007708206296</c:v>
                </c:pt>
                <c:pt idx="356">
                  <c:v>-59.240255614647594</c:v>
                </c:pt>
                <c:pt idx="357">
                  <c:v>-59.386245645533734</c:v>
                </c:pt>
                <c:pt idx="358">
                  <c:v>-59.530021686903865</c:v>
                </c:pt>
                <c:pt idx="359">
                  <c:v>-59.671626526516377</c:v>
                </c:pt>
                <c:pt idx="360">
                  <c:v>-59.811101887464048</c:v>
                </c:pt>
                <c:pt idx="361">
                  <c:v>-59.948488460589402</c:v>
                </c:pt>
                <c:pt idx="362">
                  <c:v>-60.083825935748905</c:v>
                </c:pt>
                <c:pt idx="363">
                  <c:v>-60.217153031972202</c:v>
                </c:pt>
                <c:pt idx="364">
                  <c:v>-60.348507526559729</c:v>
                </c:pt>
                <c:pt idx="365">
                  <c:v>-60.477926283161452</c:v>
                </c:pt>
                <c:pt idx="366">
                  <c:v>-60.605445278876573</c:v>
                </c:pt>
                <c:pt idx="367">
                  <c:v>-60.731099630412814</c:v>
                </c:pt>
                <c:pt idx="368">
                  <c:v>-60.854923619342486</c:v>
                </c:pt>
                <c:pt idx="369">
                  <c:v>-60.976950716489881</c:v>
                </c:pt>
                <c:pt idx="370">
                  <c:v>-61.097213605484939</c:v>
                </c:pt>
                <c:pt idx="371">
                  <c:v>-61.215744205513772</c:v>
                </c:pt>
                <c:pt idx="372">
                  <c:v>-61.332573693299082</c:v>
                </c:pt>
                <c:pt idx="373">
                  <c:v>-61.447732524338193</c:v>
                </c:pt>
                <c:pt idx="374">
                  <c:v>-61.561250453428528</c:v>
                </c:pt>
                <c:pt idx="375">
                  <c:v>-61.673156554506335</c:v>
                </c:pt>
                <c:pt idx="376">
                  <c:v>-61.783479239826448</c:v>
                </c:pt>
                <c:pt idx="377">
                  <c:v>-61.892246278506263</c:v>
                </c:pt>
                <c:pt idx="378">
                  <c:v>-61.99948481445864</c:v>
                </c:pt>
                <c:pt idx="379">
                  <c:v>-62.105221383737046</c:v>
                </c:pt>
                <c:pt idx="380">
                  <c:v>-62.209481931314031</c:v>
                </c:pt>
                <c:pt idx="381">
                  <c:v>-62.31229182731451</c:v>
                </c:pt>
                <c:pt idx="382">
                  <c:v>-62.413675882724277</c:v>
                </c:pt>
                <c:pt idx="383">
                  <c:v>-62.513658364592658</c:v>
                </c:pt>
                <c:pt idx="384">
                  <c:v>-62.612263010747796</c:v>
                </c:pt>
                <c:pt idx="385">
                  <c:v>-62.709513044043121</c:v>
                </c:pt>
                <c:pt idx="386">
                  <c:v>-62.805431186150827</c:v>
                </c:pt>
                <c:pt idx="387">
                  <c:v>-62.900039670920592</c:v>
                </c:pt>
                <c:pt idx="388">
                  <c:v>-62.993360257316795</c:v>
                </c:pt>
                <c:pt idx="389">
                  <c:v>-63.085414241951838</c:v>
                </c:pt>
                <c:pt idx="390">
                  <c:v>-63.176222471228243</c:v>
                </c:pt>
                <c:pt idx="391">
                  <c:v>-63.265805353104298</c:v>
                </c:pt>
                <c:pt idx="392">
                  <c:v>-63.35418286849648</c:v>
                </c:pt>
                <c:pt idx="393">
                  <c:v>-63.44137458233115</c:v>
                </c:pt>
                <c:pt idx="394">
                  <c:v>-63.527399654258829</c:v>
                </c:pt>
                <c:pt idx="395">
                  <c:v>-63.612276849040938</c:v>
                </c:pt>
                <c:pt idx="396">
                  <c:v>-63.696024546622994</c:v>
                </c:pt>
                <c:pt idx="397">
                  <c:v>-63.778660751902805</c:v>
                </c:pt>
                <c:pt idx="398">
                  <c:v>-63.860203104205709</c:v>
                </c:pt>
                <c:pt idx="399">
                  <c:v>-63.940668886476288</c:v>
                </c:pt>
                <c:pt idx="400">
                  <c:v>-64.020075034196509</c:v>
                </c:pt>
                <c:pt idx="401">
                  <c:v>-64.098438144039307</c:v>
                </c:pt>
                <c:pt idx="402">
                  <c:v>-64.175774482267371</c:v>
                </c:pt>
                <c:pt idx="403">
                  <c:v>-64.252099992884439</c:v>
                </c:pt>
                <c:pt idx="404">
                  <c:v>-64.327430305549171</c:v>
                </c:pt>
                <c:pt idx="405">
                  <c:v>-64.401780743257774</c:v>
                </c:pt>
                <c:pt idx="406">
                  <c:v>-64.475166329804694</c:v>
                </c:pt>
                <c:pt idx="407">
                  <c:v>-64.547601797027369</c:v>
                </c:pt>
                <c:pt idx="408">
                  <c:v>-64.619101591843474</c:v>
                </c:pt>
                <c:pt idx="409">
                  <c:v>-64.689679883086427</c:v>
                </c:pt>
                <c:pt idx="410">
                  <c:v>-64.759350568146658</c:v>
                </c:pt>
                <c:pt idx="411">
                  <c:v>-64.828127279424223</c:v>
                </c:pt>
                <c:pt idx="412">
                  <c:v>-64.896023390599538</c:v>
                </c:pt>
                <c:pt idx="413">
                  <c:v>-64.963052022727851</c:v>
                </c:pt>
                <c:pt idx="414">
                  <c:v>-65.029226050163174</c:v>
                </c:pt>
                <c:pt idx="415">
                  <c:v>-65.094558106316981</c:v>
                </c:pt>
                <c:pt idx="416">
                  <c:v>-65.159060589257592</c:v>
                </c:pt>
                <c:pt idx="417">
                  <c:v>-65.222745667154356</c:v>
                </c:pt>
                <c:pt idx="418">
                  <c:v>-65.285625283572841</c:v>
                </c:pt>
                <c:pt idx="419">
                  <c:v>-65.347711162623881</c:v>
                </c:pt>
                <c:pt idx="420">
                  <c:v>-65.409014813973698</c:v>
                </c:pt>
                <c:pt idx="421">
                  <c:v>-65.469547537716664</c:v>
                </c:pt>
                <c:pt idx="422">
                  <c:v>-65.529320429117121</c:v>
                </c:pt>
                <c:pt idx="423">
                  <c:v>-65.588344383223216</c:v>
                </c:pt>
                <c:pt idx="424">
                  <c:v>-65.646630099357111</c:v>
                </c:pt>
                <c:pt idx="425">
                  <c:v>-65.704188085485271</c:v>
                </c:pt>
                <c:pt idx="426">
                  <c:v>-65.761028662472995</c:v>
                </c:pt>
                <c:pt idx="427">
                  <c:v>-65.817161968225292</c:v>
                </c:pt>
                <c:pt idx="428">
                  <c:v>-65.872597961719947</c:v>
                </c:pt>
                <c:pt idx="429">
                  <c:v>-65.927346426933553</c:v>
                </c:pt>
                <c:pt idx="430">
                  <c:v>-65.981416976665429</c:v>
                </c:pt>
                <c:pt idx="431">
                  <c:v>-66.034819056262108</c:v>
                </c:pt>
                <c:pt idx="432">
                  <c:v>-66.087561947244694</c:v>
                </c:pt>
                <c:pt idx="433">
                  <c:v>-66.139654770843322</c:v>
                </c:pt>
                <c:pt idx="434">
                  <c:v>-66.191106491439683</c:v>
                </c:pt>
                <c:pt idx="435">
                  <c:v>-66.241925919922494</c:v>
                </c:pt>
                <c:pt idx="436">
                  <c:v>-66.292121716956757</c:v>
                </c:pt>
                <c:pt idx="437">
                  <c:v>-66.34170239616958</c:v>
                </c:pt>
                <c:pt idx="438">
                  <c:v>-66.390676327256529</c:v>
                </c:pt>
                <c:pt idx="439">
                  <c:v>-66.43905173900842</c:v>
                </c:pt>
                <c:pt idx="440">
                  <c:v>-66.486836722263035</c:v>
                </c:pt>
                <c:pt idx="441">
                  <c:v>-66.534039232782533</c:v>
                </c:pt>
                <c:pt idx="442">
                  <c:v>-66.580667094059663</c:v>
                </c:pt>
                <c:pt idx="443">
                  <c:v>-66.626728000053703</c:v>
                </c:pt>
                <c:pt idx="444">
                  <c:v>-66.672229517859478</c:v>
                </c:pt>
                <c:pt idx="445">
                  <c:v>-66.717179090310395</c:v>
                </c:pt>
                <c:pt idx="446">
                  <c:v>-66.761584038517611</c:v>
                </c:pt>
                <c:pt idx="447">
                  <c:v>-66.805451564347379</c:v>
                </c:pt>
                <c:pt idx="448">
                  <c:v>-66.848788752838061</c:v>
                </c:pt>
                <c:pt idx="449">
                  <c:v>-66.891602574558505</c:v>
                </c:pt>
                <c:pt idx="450">
                  <c:v>-66.933899887909632</c:v>
                </c:pt>
                <c:pt idx="451">
                  <c:v>-66.975687441370781</c:v>
                </c:pt>
                <c:pt idx="452">
                  <c:v>-67.016971875691894</c:v>
                </c:pt>
                <c:pt idx="453">
                  <c:v>-67.057759726033908</c:v>
                </c:pt>
                <c:pt idx="454">
                  <c:v>-67.098057424057998</c:v>
                </c:pt>
                <c:pt idx="455">
                  <c:v>-67.137871299965298</c:v>
                </c:pt>
                <c:pt idx="456">
                  <c:v>-67.177207584488684</c:v>
                </c:pt>
                <c:pt idx="457">
                  <c:v>-67.216072410837796</c:v>
                </c:pt>
                <c:pt idx="458">
                  <c:v>-67.254471816598311</c:v>
                </c:pt>
                <c:pt idx="459">
                  <c:v>-67.292411745587202</c:v>
                </c:pt>
                <c:pt idx="460">
                  <c:v>-67.329898049664848</c:v>
                </c:pt>
                <c:pt idx="461">
                  <c:v>-67.366936490504997</c:v>
                </c:pt>
                <c:pt idx="462">
                  <c:v>-67.403532741324284</c:v>
                </c:pt>
                <c:pt idx="463">
                  <c:v>-67.439692388571473</c:v>
                </c:pt>
                <c:pt idx="464">
                  <c:v>-67.47542093357896</c:v>
                </c:pt>
                <c:pt idx="465">
                  <c:v>-67.510723794175561</c:v>
                </c:pt>
                <c:pt idx="466">
                  <c:v>-67.545606306263437</c:v>
                </c:pt>
                <c:pt idx="467">
                  <c:v>-67.580073725358943</c:v>
                </c:pt>
                <c:pt idx="468">
                  <c:v>-67.614131228099097</c:v>
                </c:pt>
                <c:pt idx="469">
                  <c:v>-67.647783913713795</c:v>
                </c:pt>
                <c:pt idx="470">
                  <c:v>-67.681036805465112</c:v>
                </c:pt>
                <c:pt idx="471">
                  <c:v>-67.713894852055034</c:v>
                </c:pt>
                <c:pt idx="472">
                  <c:v>-67.746362929001407</c:v>
                </c:pt>
                <c:pt idx="473">
                  <c:v>-67.778445839983164</c:v>
                </c:pt>
                <c:pt idx="474">
                  <c:v>-67.810148318156905</c:v>
                </c:pt>
                <c:pt idx="475">
                  <c:v>-67.841475027443352</c:v>
                </c:pt>
                <c:pt idx="476">
                  <c:v>-67.872430563786594</c:v>
                </c:pt>
                <c:pt idx="477">
                  <c:v>-67.90301945638501</c:v>
                </c:pt>
                <c:pt idx="478">
                  <c:v>-67.933246168896261</c:v>
                </c:pt>
                <c:pt idx="479">
                  <c:v>-67.963115100615397</c:v>
                </c:pt>
                <c:pt idx="480">
                  <c:v>-67.992630587628042</c:v>
                </c:pt>
                <c:pt idx="481">
                  <c:v>-68.021796903938764</c:v>
                </c:pt>
                <c:pt idx="482">
                  <c:v>-68.050618262574801</c:v>
                </c:pt>
                <c:pt idx="483">
                  <c:v>-68.079098816666715</c:v>
                </c:pt>
                <c:pt idx="484">
                  <c:v>-68.107242660505733</c:v>
                </c:pt>
                <c:pt idx="485">
                  <c:v>-68.135053830578812</c:v>
                </c:pt>
                <c:pt idx="486">
                  <c:v>-68.162536306581615</c:v>
                </c:pt>
                <c:pt idx="487">
                  <c:v>-68.189694012410456</c:v>
                </c:pt>
                <c:pt idx="488">
                  <c:v>-68.216530817133275</c:v>
                </c:pt>
                <c:pt idx="489">
                  <c:v>-68.243050535940142</c:v>
                </c:pt>
                <c:pt idx="490">
                  <c:v>-68.269256931074068</c:v>
                </c:pt>
                <c:pt idx="491">
                  <c:v>-68.295153712742575</c:v>
                </c:pt>
                <c:pt idx="492">
                  <c:v>-68.32074454001031</c:v>
                </c:pt>
                <c:pt idx="493">
                  <c:v>-68.34603302167298</c:v>
                </c:pt>
                <c:pt idx="494">
                  <c:v>-68.371022717113988</c:v>
                </c:pt>
                <c:pt idx="495">
                  <c:v>-68.395717137142583</c:v>
                </c:pt>
                <c:pt idx="496">
                  <c:v>-68.420119744815736</c:v>
                </c:pt>
                <c:pt idx="497">
                  <c:v>-68.444233956242783</c:v>
                </c:pt>
                <c:pt idx="498">
                  <c:v>-68.468063141373818</c:v>
                </c:pt>
                <c:pt idx="499">
                  <c:v>-68.491610624772278</c:v>
                </c:pt>
                <c:pt idx="500">
                  <c:v>-68.514879686372041</c:v>
                </c:pt>
                <c:pt idx="501">
                  <c:v>-68.537873562218692</c:v>
                </c:pt>
                <c:pt idx="502">
                  <c:v>-68.560595445197066</c:v>
                </c:pt>
                <c:pt idx="503">
                  <c:v>-68.583048485742893</c:v>
                </c:pt>
                <c:pt idx="504">
                  <c:v>-68.605235792541606</c:v>
                </c:pt>
                <c:pt idx="505">
                  <c:v>-68.627160433212424</c:v>
                </c:pt>
                <c:pt idx="506">
                  <c:v>-68.648825434979216</c:v>
                </c:pt>
                <c:pt idx="507">
                  <c:v>-68.670233785328037</c:v>
                </c:pt>
                <c:pt idx="508">
                  <c:v>-68.691388432652218</c:v>
                </c:pt>
                <c:pt idx="509">
                  <c:v>-68.712292286883923</c:v>
                </c:pt>
                <c:pt idx="510">
                  <c:v>-68.732948220114395</c:v>
                </c:pt>
                <c:pt idx="511">
                  <c:v>-68.753359067201501</c:v>
                </c:pt>
                <c:pt idx="512">
                  <c:v>-68.77352762636562</c:v>
                </c:pt>
                <c:pt idx="513">
                  <c:v>-68.793456659774137</c:v>
                </c:pt>
                <c:pt idx="514">
                  <c:v>-68.813148894114676</c:v>
                </c:pt>
                <c:pt idx="515">
                  <c:v>-68.832607021157457</c:v>
                </c:pt>
                <c:pt idx="516">
                  <c:v>-68.851833698306223</c:v>
                </c:pt>
                <c:pt idx="517">
                  <c:v>-68.87083154913978</c:v>
                </c:pt>
                <c:pt idx="518">
                  <c:v>-68.889603163942155</c:v>
                </c:pt>
                <c:pt idx="519">
                  <c:v>-68.908151100223449</c:v>
                </c:pt>
                <c:pt idx="520">
                  <c:v>-68.926477883230632</c:v>
                </c:pt>
                <c:pt idx="521">
                  <c:v>-68.944586006448475</c:v>
                </c:pt>
                <c:pt idx="522">
                  <c:v>-68.96247793209136</c:v>
                </c:pt>
                <c:pt idx="523">
                  <c:v>-68.980156091586025</c:v>
                </c:pt>
                <c:pt idx="524">
                  <c:v>-68.997622886044752</c:v>
                </c:pt>
                <c:pt idx="525">
                  <c:v>-69.014880686730379</c:v>
                </c:pt>
                <c:pt idx="526">
                  <c:v>-69.031931835512438</c:v>
                </c:pt>
                <c:pt idx="527">
                  <c:v>-69.048778645314485</c:v>
                </c:pt>
                <c:pt idx="528">
                  <c:v>-69.065423400554124</c:v>
                </c:pt>
                <c:pt idx="529">
                  <c:v>-69.081868357573768</c:v>
                </c:pt>
                <c:pt idx="530">
                  <c:v>-69.098115745064803</c:v>
                </c:pt>
                <c:pt idx="531">
                  <c:v>-69.114167764482659</c:v>
                </c:pt>
                <c:pt idx="532">
                  <c:v>-69.130026590455515</c:v>
                </c:pt>
                <c:pt idx="533">
                  <c:v>-69.145694371184874</c:v>
                </c:pt>
                <c:pt idx="534">
                  <c:v>-69.161173228839232</c:v>
                </c:pt>
                <c:pt idx="535">
                  <c:v>-69.176465259940301</c:v>
                </c:pt>
                <c:pt idx="536">
                  <c:v>-69.191572535742921</c:v>
                </c:pt>
                <c:pt idx="537">
                  <c:v>-69.206497102607159</c:v>
                </c:pt>
                <c:pt idx="538">
                  <c:v>-69.22124098236506</c:v>
                </c:pt>
                <c:pt idx="539">
                  <c:v>-69.235806172679787</c:v>
                </c:pt>
                <c:pt idx="540">
                  <c:v>-69.250194647398899</c:v>
                </c:pt>
                <c:pt idx="541">
                  <c:v>-69.264408356901072</c:v>
                </c:pt>
                <c:pt idx="542">
                  <c:v>-69.278449228437182</c:v>
                </c:pt>
                <c:pt idx="543">
                  <c:v>-69.29231916646475</c:v>
                </c:pt>
                <c:pt idx="544">
                  <c:v>-69.30602005297726</c:v>
                </c:pt>
                <c:pt idx="545">
                  <c:v>-69.31955374782703</c:v>
                </c:pt>
                <c:pt idx="546">
                  <c:v>-69.332922089042881</c:v>
                </c:pt>
                <c:pt idx="547">
                  <c:v>-69.346126893141985</c:v>
                </c:pt>
                <c:pt idx="548">
                  <c:v>-69.359169955436641</c:v>
                </c:pt>
                <c:pt idx="549">
                  <c:v>-69.37205305033558</c:v>
                </c:pt>
                <c:pt idx="550">
                  <c:v>-69.384777931640002</c:v>
                </c:pt>
                <c:pt idx="551">
                  <c:v>-69.397346332834559</c:v>
                </c:pt>
                <c:pt idx="552">
                  <c:v>-69.409759967373674</c:v>
                </c:pt>
                <c:pt idx="553">
                  <c:v>-69.422020528962264</c:v>
                </c:pt>
                <c:pt idx="554">
                  <c:v>-69.434129691832482</c:v>
                </c:pt>
                <c:pt idx="555">
                  <c:v>-69.446089111015311</c:v>
                </c:pt>
                <c:pt idx="556">
                  <c:v>-69.457900422607395</c:v>
                </c:pt>
                <c:pt idx="557">
                  <c:v>-69.469565244034158</c:v>
                </c:pt>
                <c:pt idx="558">
                  <c:v>-69.481085174307282</c:v>
                </c:pt>
                <c:pt idx="559">
                  <c:v>-69.492461794279137</c:v>
                </c:pt>
                <c:pt idx="560">
                  <c:v>-69.503696666891898</c:v>
                </c:pt>
                <c:pt idx="561">
                  <c:v>-69.514791337423304</c:v>
                </c:pt>
                <c:pt idx="562">
                  <c:v>-69.525747333727764</c:v>
                </c:pt>
                <c:pt idx="563">
                  <c:v>-69.536566166473847</c:v>
                </c:pt>
                <c:pt idx="564">
                  <c:v>-69.547249329377451</c:v>
                </c:pt>
                <c:pt idx="565">
                  <c:v>-69.557798299431653</c:v>
                </c:pt>
                <c:pt idx="566">
                  <c:v>-69.568214537132263</c:v>
                </c:pt>
                <c:pt idx="567">
                  <c:v>-69.578499486699997</c:v>
                </c:pt>
                <c:pt idx="568">
                  <c:v>-69.588654576298893</c:v>
                </c:pt>
                <c:pt idx="569">
                  <c:v>-69.598681218251329</c:v>
                </c:pt>
                <c:pt idx="570">
                  <c:v>-69.60858080924902</c:v>
                </c:pt>
                <c:pt idx="571">
                  <c:v>-69.618354730561521</c:v>
                </c:pt>
                <c:pt idx="572">
                  <c:v>-69.628004348240495</c:v>
                </c:pt>
                <c:pt idx="573">
                  <c:v>-69.637531013320995</c:v>
                </c:pt>
                <c:pt idx="574">
                  <c:v>-69.646936062019705</c:v>
                </c:pt>
                <c:pt idx="575">
                  <c:v>-69.656220815929714</c:v>
                </c:pt>
                <c:pt idx="576">
                  <c:v>-69.665386582212335</c:v>
                </c:pt>
                <c:pt idx="577">
                  <c:v>-69.67443465378571</c:v>
                </c:pt>
                <c:pt idx="578">
                  <c:v>-69.683366309510802</c:v>
                </c:pt>
                <c:pt idx="579">
                  <c:v>-69.692182814374092</c:v>
                </c:pt>
                <c:pt idx="580">
                  <c:v>-69.700885419666946</c:v>
                </c:pt>
                <c:pt idx="581">
                  <c:v>-69.709475363163477</c:v>
                </c:pt>
                <c:pt idx="582">
                  <c:v>-69.71795386929449</c:v>
                </c:pt>
                <c:pt idx="583">
                  <c:v>-69.72632214931869</c:v>
                </c:pt>
                <c:pt idx="584">
                  <c:v>-69.734581401491909</c:v>
                </c:pt>
                <c:pt idx="585">
                  <c:v>-69.742732811233395</c:v>
                </c:pt>
                <c:pt idx="586">
                  <c:v>-69.750777551289076</c:v>
                </c:pt>
                <c:pt idx="587">
                  <c:v>-69.758716781893071</c:v>
                </c:pt>
                <c:pt idx="588">
                  <c:v>-69.766551650925919</c:v>
                </c:pt>
                <c:pt idx="589">
                  <c:v>-69.774283294071125</c:v>
                </c:pt>
                <c:pt idx="590">
                  <c:v>-69.78191283496858</c:v>
                </c:pt>
                <c:pt idx="591">
                  <c:v>-69.789441385366331</c:v>
                </c:pt>
                <c:pt idx="592">
                  <c:v>-69.796870045269287</c:v>
                </c:pt>
                <c:pt idx="593">
                  <c:v>-69.804199903086243</c:v>
                </c:pt>
                <c:pt idx="594">
                  <c:v>-69.811432035774516</c:v>
                </c:pt>
                <c:pt idx="595">
                  <c:v>-69.818567508982227</c:v>
                </c:pt>
                <c:pt idx="596">
                  <c:v>-69.825607377188703</c:v>
                </c:pt>
                <c:pt idx="597">
                  <c:v>-69.832552683842266</c:v>
                </c:pt>
                <c:pt idx="598">
                  <c:v>-69.839404461496656</c:v>
                </c:pt>
                <c:pt idx="599">
                  <c:v>-69.846163731944841</c:v>
                </c:pt>
                <c:pt idx="600">
                  <c:v>-69.852831506351151</c:v>
                </c:pt>
                <c:pt idx="601">
                  <c:v>-69.859408785380907</c:v>
                </c:pt>
                <c:pt idx="602">
                  <c:v>-69.865896559329173</c:v>
                </c:pt>
                <c:pt idx="603">
                  <c:v>-69.872295808246378</c:v>
                </c:pt>
                <c:pt idx="604">
                  <c:v>-69.87860750206292</c:v>
                </c:pt>
                <c:pt idx="605">
                  <c:v>-69.884832600711718</c:v>
                </c:pt>
                <c:pt idx="606">
                  <c:v>-70.104306433249093</c:v>
                </c:pt>
                <c:pt idx="607">
                  <c:v>-70.199590247720181</c:v>
                </c:pt>
                <c:pt idx="608">
                  <c:v>-70.229105987729724</c:v>
                </c:pt>
                <c:pt idx="609">
                  <c:v>-70.229465675038711</c:v>
                </c:pt>
                <c:pt idx="610">
                  <c:v>-70.223663599917927</c:v>
                </c:pt>
                <c:pt idx="611">
                  <c:v>-70.22590207257727</c:v>
                </c:pt>
                <c:pt idx="612">
                  <c:v>-70.244586540802914</c:v>
                </c:pt>
                <c:pt idx="613">
                  <c:v>-70.284261196813759</c:v>
                </c:pt>
                <c:pt idx="614">
                  <c:v>-70.34689783788744</c:v>
                </c:pt>
                <c:pt idx="615">
                  <c:v>-70.432772046407649</c:v>
                </c:pt>
                <c:pt idx="616">
                  <c:v>-70.541066510597432</c:v>
                </c:pt>
                <c:pt idx="617">
                  <c:v>-70.670288941436837</c:v>
                </c:pt>
                <c:pt idx="618">
                  <c:v>-70.79428398733927</c:v>
                </c:pt>
                <c:pt idx="619">
                  <c:v>-70.918971469114439</c:v>
                </c:pt>
                <c:pt idx="620">
                  <c:v>-71.04434037552204</c:v>
                </c:pt>
                <c:pt idx="621">
                  <c:v>-71.170368569039312</c:v>
                </c:pt>
                <c:pt idx="622">
                  <c:v>-71.297024772362704</c:v>
                </c:pt>
                <c:pt idx="623">
                  <c:v>-71.424270289719743</c:v>
                </c:pt>
                <c:pt idx="624">
                  <c:v>-71.55206049627833</c:v>
                </c:pt>
                <c:pt idx="625">
                  <c:v>-71.680346124667807</c:v>
                </c:pt>
                <c:pt idx="626">
                  <c:v>-71.809074373937023</c:v>
                </c:pt>
                <c:pt idx="627">
                  <c:v>-71.938189863092589</c:v>
                </c:pt>
                <c:pt idx="628">
                  <c:v>-72.067635448599901</c:v>
                </c:pt>
                <c:pt idx="629">
                  <c:v>-72.197352922835734</c:v>
                </c:pt>
                <c:pt idx="630">
                  <c:v>-72.327283608393145</c:v>
                </c:pt>
                <c:pt idx="631">
                  <c:v>-72.457368861323374</c:v>
                </c:pt>
                <c:pt idx="632">
                  <c:v>-72.587550494808198</c:v>
                </c:pt>
                <c:pt idx="633">
                  <c:v>-72.717771133366597</c:v>
                </c:pt>
                <c:pt idx="634">
                  <c:v>-72.847974506480909</c:v>
                </c:pt>
                <c:pt idx="635">
                  <c:v>-72.978105689457124</c:v>
                </c:pt>
                <c:pt idx="636">
                  <c:v>-73.108111298395784</c:v>
                </c:pt>
                <c:pt idx="637">
                  <c:v>-73.237939645321148</c:v>
                </c:pt>
                <c:pt idx="638">
                  <c:v>-73.367540858792069</c:v>
                </c:pt>
                <c:pt idx="639">
                  <c:v>-73.49686697467385</c:v>
                </c:pt>
                <c:pt idx="640">
                  <c:v>-73.625872001188043</c:v>
                </c:pt>
                <c:pt idx="641">
                  <c:v>-73.754511961857645</c:v>
                </c:pt>
                <c:pt idx="642">
                  <c:v>-73.882744919525265</c:v>
                </c:pt>
                <c:pt idx="643">
                  <c:v>-74.010530984235203</c:v>
                </c:pt>
                <c:pt idx="644">
                  <c:v>-74.137832307426834</c:v>
                </c:pt>
                <c:pt idx="645">
                  <c:v>-74.264613064583557</c:v>
                </c:pt>
                <c:pt idx="646">
                  <c:v>-74.390839428215855</c:v>
                </c:pt>
                <c:pt idx="647">
                  <c:v>-74.516479532820142</c:v>
                </c:pt>
                <c:pt idx="648">
                  <c:v>-74.641503433247323</c:v>
                </c:pt>
                <c:pt idx="649">
                  <c:v>-74.765883057729752</c:v>
                </c:pt>
                <c:pt idx="650">
                  <c:v>-74.889592156654942</c:v>
                </c:pt>
                <c:pt idx="651">
                  <c:v>-75.01260624802859</c:v>
                </c:pt>
                <c:pt idx="652">
                  <c:v>-75.134902560446051</c:v>
                </c:pt>
                <c:pt idx="653">
                  <c:v>-75.256459974277305</c:v>
                </c:pt>
                <c:pt idx="654">
                  <c:v>-75.377258961673505</c:v>
                </c:pt>
                <c:pt idx="655">
                  <c:v>-75.497281525917117</c:v>
                </c:pt>
                <c:pt idx="656">
                  <c:v>-75.616511140560704</c:v>
                </c:pt>
                <c:pt idx="657">
                  <c:v>-75.734932688732812</c:v>
                </c:pt>
                <c:pt idx="658">
                  <c:v>-75.852532402931672</c:v>
                </c:pt>
                <c:pt idx="659">
                  <c:v>-75.96929780557457</c:v>
                </c:pt>
                <c:pt idx="660">
                  <c:v>-76.085217650526261</c:v>
                </c:pt>
                <c:pt idx="661">
                  <c:v>-76.200281865791055</c:v>
                </c:pt>
                <c:pt idx="662">
                  <c:v>-76.314481497517079</c:v>
                </c:pt>
                <c:pt idx="663">
                  <c:v>-76.427808655433637</c:v>
                </c:pt>
                <c:pt idx="664">
                  <c:v>-76.540256459813179</c:v>
                </c:pt>
                <c:pt idx="665">
                  <c:v>-76.6518189900317</c:v>
                </c:pt>
                <c:pt idx="666">
                  <c:v>-76.762491234774814</c:v>
                </c:pt>
                <c:pt idx="667">
                  <c:v>-76.872269043928441</c:v>
                </c:pt>
              </c:numCache>
            </c:numRef>
          </c:yVal>
          <c:smooth val="0"/>
          <c:extLst>
            <c:ext xmlns:c16="http://schemas.microsoft.com/office/drawing/2014/chart" uri="{C3380CC4-5D6E-409C-BE32-E72D297353CC}">
              <c16:uniqueId val="{00000003-C323-45F5-AD89-2A9969707A73}"/>
            </c:ext>
          </c:extLst>
        </c:ser>
        <c:dLbls>
          <c:showLegendKey val="0"/>
          <c:showVal val="0"/>
          <c:showCatName val="0"/>
          <c:showSerName val="0"/>
          <c:showPercent val="0"/>
          <c:showBubbleSize val="0"/>
        </c:dLbls>
        <c:axId val="177428736"/>
        <c:axId val="177430528"/>
      </c:scatterChart>
      <c:valAx>
        <c:axId val="177420544"/>
        <c:scaling>
          <c:logBase val="10"/>
          <c:orientation val="minMax"/>
          <c:max val="10000000"/>
          <c:min val="1000"/>
        </c:scaling>
        <c:delete val="0"/>
        <c:axPos val="b"/>
        <c:title>
          <c:tx>
            <c:rich>
              <a:bodyPr/>
              <a:lstStyle/>
              <a:p>
                <a:pPr>
                  <a:defRPr sz="800" b="1" i="0" u="none" strike="noStrike" baseline="0">
                    <a:solidFill>
                      <a:srgbClr val="000000"/>
                    </a:solidFill>
                    <a:latin typeface="Arial"/>
                    <a:ea typeface="Arial"/>
                    <a:cs typeface="Arial"/>
                  </a:defRPr>
                </a:pPr>
                <a:r>
                  <a:rPr lang="en-US"/>
                  <a:t>Frequency (Hz)</a:t>
                </a:r>
              </a:p>
            </c:rich>
          </c:tx>
          <c:layout>
            <c:manualLayout>
              <c:xMode val="edge"/>
              <c:yMode val="edge"/>
              <c:x val="0.438566911218015"/>
              <c:y val="0.88189196822838745"/>
            </c:manualLayout>
          </c:layout>
          <c:overlay val="0"/>
          <c:spPr>
            <a:noFill/>
            <a:ln w="25400">
              <a:noFill/>
            </a:ln>
          </c:spPr>
        </c:title>
        <c:numFmt formatCode="General" sourceLinked="1"/>
        <c:majorTickMark val="out"/>
        <c:minorTickMark val="in"/>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77426816"/>
        <c:crossesAt val="-80"/>
        <c:crossBetween val="midCat"/>
      </c:valAx>
      <c:valAx>
        <c:axId val="177426816"/>
        <c:scaling>
          <c:orientation val="minMax"/>
          <c:min val="-60"/>
        </c:scaling>
        <c:delete val="0"/>
        <c:axPos val="l"/>
        <c:majorGridlines>
          <c:spPr>
            <a:ln w="3175">
              <a:solidFill>
                <a:srgbClr val="000000"/>
              </a:solidFill>
              <a:prstDash val="solid"/>
            </a:ln>
          </c:spPr>
        </c:majorGridlines>
        <c:title>
          <c:tx>
            <c:rich>
              <a:bodyPr/>
              <a:lstStyle/>
              <a:p>
                <a:pPr>
                  <a:defRPr sz="800" b="1" i="0" u="none" strike="noStrike" baseline="0">
                    <a:solidFill>
                      <a:srgbClr val="000000"/>
                    </a:solidFill>
                    <a:latin typeface="Arial"/>
                    <a:ea typeface="Arial"/>
                    <a:cs typeface="Arial"/>
                  </a:defRPr>
                </a:pPr>
                <a:r>
                  <a:rPr lang="en-US"/>
                  <a:t>Gain (db)</a:t>
                </a:r>
              </a:p>
            </c:rich>
          </c:tx>
          <c:layout>
            <c:manualLayout>
              <c:xMode val="edge"/>
              <c:yMode val="edge"/>
              <c:x val="2.9010238907849841E-2"/>
              <c:y val="0.44094598411419045"/>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77420544"/>
        <c:crosses val="autoZero"/>
        <c:crossBetween val="midCat"/>
      </c:valAx>
      <c:valAx>
        <c:axId val="177428736"/>
        <c:scaling>
          <c:logBase val="10"/>
          <c:orientation val="minMax"/>
        </c:scaling>
        <c:delete val="1"/>
        <c:axPos val="b"/>
        <c:numFmt formatCode="General" sourceLinked="1"/>
        <c:majorTickMark val="out"/>
        <c:minorTickMark val="none"/>
        <c:tickLblPos val="none"/>
        <c:crossAx val="177430528"/>
        <c:crosses val="autoZero"/>
        <c:crossBetween val="midCat"/>
      </c:valAx>
      <c:valAx>
        <c:axId val="177430528"/>
        <c:scaling>
          <c:orientation val="minMax"/>
        </c:scaling>
        <c:delete val="0"/>
        <c:axPos val="r"/>
        <c:title>
          <c:tx>
            <c:rich>
              <a:bodyPr/>
              <a:lstStyle/>
              <a:p>
                <a:pPr>
                  <a:defRPr sz="800" b="1" i="0" u="none" strike="noStrike" baseline="0">
                    <a:solidFill>
                      <a:srgbClr val="000000"/>
                    </a:solidFill>
                    <a:latin typeface="Arial"/>
                    <a:ea typeface="Arial"/>
                    <a:cs typeface="Arial"/>
                  </a:defRPr>
                </a:pPr>
                <a:r>
                  <a:rPr lang="en-US"/>
                  <a:t>Phase Margin (Deg)</a:t>
                </a:r>
              </a:p>
            </c:rich>
          </c:tx>
          <c:layout>
            <c:manualLayout>
              <c:xMode val="edge"/>
              <c:yMode val="edge"/>
              <c:x val="0.95733860059302123"/>
              <c:y val="0.36483022299377932"/>
            </c:manualLayout>
          </c:layout>
          <c:overlay val="0"/>
          <c:spPr>
            <a:noFill/>
            <a:ln w="25400">
              <a:noFill/>
            </a:ln>
          </c:spPr>
        </c:title>
        <c:numFmt formatCode="General" sourceLinked="1"/>
        <c:majorTickMark val="cross"/>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77428736"/>
        <c:crosses val="max"/>
        <c:crossBetween val="midCat"/>
      </c:valAx>
      <c:spPr>
        <a:noFill/>
        <a:ln w="12700">
          <a:solidFill>
            <a:srgbClr val="808080"/>
          </a:solidFill>
          <a:prstDash val="solid"/>
        </a:ln>
      </c:spPr>
    </c:plotArea>
    <c:legend>
      <c:legendPos val="t"/>
      <c:layout>
        <c:manualLayout>
          <c:xMode val="edge"/>
          <c:yMode val="edge"/>
          <c:x val="0.78157068250427764"/>
          <c:y val="1.3123359580052583E-2"/>
          <c:w val="0.20307185151344131"/>
          <c:h val="0.14698190285269724"/>
        </c:manualLayout>
      </c:layout>
      <c:overlay val="0"/>
      <c:spPr>
        <a:solidFill>
          <a:srgbClr val="FFFFFF"/>
        </a:solidFill>
        <a:ln w="3175">
          <a:solidFill>
            <a:srgbClr val="000000"/>
          </a:solidFill>
          <a:prstDash val="solid"/>
        </a:ln>
      </c:spPr>
      <c:txPr>
        <a:bodyPr/>
        <a:lstStyle/>
        <a:p>
          <a:pPr>
            <a:defRPr sz="67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25400">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0000000000006" r="0.750000000000006" t="1" header="0.5" footer="0.5"/>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50" b="1" i="0" u="none" strike="noStrike" baseline="0">
                <a:solidFill>
                  <a:srgbClr val="000000"/>
                </a:solidFill>
                <a:latin typeface="Arial"/>
                <a:ea typeface="Arial"/>
                <a:cs typeface="Arial"/>
              </a:defRPr>
            </a:pPr>
            <a:r>
              <a:rPr lang="en-US"/>
              <a:t>FeedBack To Comp</a:t>
            </a:r>
          </a:p>
        </c:rich>
      </c:tx>
      <c:layout>
        <c:manualLayout>
          <c:xMode val="edge"/>
          <c:yMode val="edge"/>
          <c:x val="0.40108892921960942"/>
          <c:y val="3.3854166666666671E-2"/>
        </c:manualLayout>
      </c:layout>
      <c:overlay val="0"/>
      <c:spPr>
        <a:noFill/>
        <a:ln w="25400">
          <a:noFill/>
        </a:ln>
      </c:spPr>
    </c:title>
    <c:autoTitleDeleted val="0"/>
    <c:plotArea>
      <c:layout>
        <c:manualLayout>
          <c:layoutTarget val="inner"/>
          <c:xMode val="edge"/>
          <c:yMode val="edge"/>
          <c:x val="0.11615245009074388"/>
          <c:y val="0.20833386315374539"/>
          <c:w val="0.79128856624319865"/>
          <c:h val="0.60416820314586173"/>
        </c:manualLayout>
      </c:layout>
      <c:scatterChart>
        <c:scatterStyle val="smoothMarker"/>
        <c:varyColors val="0"/>
        <c:ser>
          <c:idx val="2"/>
          <c:order val="0"/>
          <c:tx>
            <c:v>Actual gain</c:v>
          </c:tx>
          <c:spPr>
            <a:ln w="38100">
              <a:solidFill>
                <a:srgbClr val="FF0000"/>
              </a:solidFill>
              <a:prstDash val="solid"/>
            </a:ln>
          </c:spPr>
          <c:marker>
            <c:symbol val="none"/>
          </c:marker>
          <c:xVal>
            <c:numRef>
              <c:f>'Bode Plots Calculations'!$A$9:$A$676</c:f>
              <c:numCache>
                <c:formatCode>General</c:formatCode>
                <c:ptCount val="668"/>
                <c:pt idx="0">
                  <c:v>1</c:v>
                </c:pt>
                <c:pt idx="1">
                  <c:v>2</c:v>
                </c:pt>
                <c:pt idx="2">
                  <c:v>3</c:v>
                </c:pt>
                <c:pt idx="3">
                  <c:v>4</c:v>
                </c:pt>
                <c:pt idx="4">
                  <c:v>5</c:v>
                </c:pt>
                <c:pt idx="5">
                  <c:v>6</c:v>
                </c:pt>
                <c:pt idx="6">
                  <c:v>7</c:v>
                </c:pt>
                <c:pt idx="7">
                  <c:v>8</c:v>
                </c:pt>
                <c:pt idx="8">
                  <c:v>9</c:v>
                </c:pt>
                <c:pt idx="9">
                  <c:v>10</c:v>
                </c:pt>
                <c:pt idx="10">
                  <c:v>20</c:v>
                </c:pt>
                <c:pt idx="11">
                  <c:v>30</c:v>
                </c:pt>
                <c:pt idx="12">
                  <c:v>40</c:v>
                </c:pt>
                <c:pt idx="13">
                  <c:v>50</c:v>
                </c:pt>
                <c:pt idx="14">
                  <c:v>60</c:v>
                </c:pt>
                <c:pt idx="15">
                  <c:v>70</c:v>
                </c:pt>
                <c:pt idx="16">
                  <c:v>80</c:v>
                </c:pt>
                <c:pt idx="17">
                  <c:v>90</c:v>
                </c:pt>
                <c:pt idx="18">
                  <c:v>100</c:v>
                </c:pt>
                <c:pt idx="19">
                  <c:v>200</c:v>
                </c:pt>
                <c:pt idx="20">
                  <c:v>300</c:v>
                </c:pt>
                <c:pt idx="21">
                  <c:v>400</c:v>
                </c:pt>
                <c:pt idx="22">
                  <c:v>500</c:v>
                </c:pt>
                <c:pt idx="23">
                  <c:v>600</c:v>
                </c:pt>
                <c:pt idx="24">
                  <c:v>700</c:v>
                </c:pt>
                <c:pt idx="25">
                  <c:v>800</c:v>
                </c:pt>
                <c:pt idx="26">
                  <c:v>900</c:v>
                </c:pt>
                <c:pt idx="27">
                  <c:v>1000</c:v>
                </c:pt>
                <c:pt idx="28">
                  <c:v>1500</c:v>
                </c:pt>
                <c:pt idx="29">
                  <c:v>2000</c:v>
                </c:pt>
                <c:pt idx="30">
                  <c:v>2500</c:v>
                </c:pt>
                <c:pt idx="31">
                  <c:v>3000</c:v>
                </c:pt>
                <c:pt idx="32">
                  <c:v>3500</c:v>
                </c:pt>
                <c:pt idx="33">
                  <c:v>4000</c:v>
                </c:pt>
                <c:pt idx="34">
                  <c:v>4500</c:v>
                </c:pt>
                <c:pt idx="35">
                  <c:v>5000</c:v>
                </c:pt>
                <c:pt idx="36">
                  <c:v>5500</c:v>
                </c:pt>
                <c:pt idx="37">
                  <c:v>6000</c:v>
                </c:pt>
                <c:pt idx="38">
                  <c:v>6500</c:v>
                </c:pt>
                <c:pt idx="39">
                  <c:v>7000</c:v>
                </c:pt>
                <c:pt idx="40">
                  <c:v>7500</c:v>
                </c:pt>
                <c:pt idx="41">
                  <c:v>8000</c:v>
                </c:pt>
                <c:pt idx="42">
                  <c:v>8500</c:v>
                </c:pt>
                <c:pt idx="43">
                  <c:v>9000</c:v>
                </c:pt>
                <c:pt idx="44">
                  <c:v>9500</c:v>
                </c:pt>
                <c:pt idx="45">
                  <c:v>10000</c:v>
                </c:pt>
                <c:pt idx="46">
                  <c:v>10500</c:v>
                </c:pt>
                <c:pt idx="47">
                  <c:v>11000</c:v>
                </c:pt>
                <c:pt idx="48">
                  <c:v>11500</c:v>
                </c:pt>
                <c:pt idx="49">
                  <c:v>12000</c:v>
                </c:pt>
                <c:pt idx="50">
                  <c:v>12500</c:v>
                </c:pt>
                <c:pt idx="51">
                  <c:v>13000</c:v>
                </c:pt>
                <c:pt idx="52">
                  <c:v>13500</c:v>
                </c:pt>
                <c:pt idx="53">
                  <c:v>14000</c:v>
                </c:pt>
                <c:pt idx="54">
                  <c:v>14500</c:v>
                </c:pt>
                <c:pt idx="55">
                  <c:v>15000</c:v>
                </c:pt>
                <c:pt idx="56">
                  <c:v>15500</c:v>
                </c:pt>
                <c:pt idx="57">
                  <c:v>16000</c:v>
                </c:pt>
                <c:pt idx="58">
                  <c:v>16500</c:v>
                </c:pt>
                <c:pt idx="59">
                  <c:v>17000</c:v>
                </c:pt>
                <c:pt idx="60">
                  <c:v>17500</c:v>
                </c:pt>
                <c:pt idx="61">
                  <c:v>18000</c:v>
                </c:pt>
                <c:pt idx="62">
                  <c:v>18500</c:v>
                </c:pt>
                <c:pt idx="63">
                  <c:v>19000</c:v>
                </c:pt>
                <c:pt idx="64">
                  <c:v>19500</c:v>
                </c:pt>
                <c:pt idx="65">
                  <c:v>20000</c:v>
                </c:pt>
                <c:pt idx="66">
                  <c:v>20500</c:v>
                </c:pt>
                <c:pt idx="67">
                  <c:v>21000</c:v>
                </c:pt>
                <c:pt idx="68">
                  <c:v>21500</c:v>
                </c:pt>
                <c:pt idx="69">
                  <c:v>22000</c:v>
                </c:pt>
                <c:pt idx="70">
                  <c:v>22500</c:v>
                </c:pt>
                <c:pt idx="71">
                  <c:v>23000</c:v>
                </c:pt>
                <c:pt idx="72">
                  <c:v>23500</c:v>
                </c:pt>
                <c:pt idx="73">
                  <c:v>24000</c:v>
                </c:pt>
                <c:pt idx="74">
                  <c:v>24500</c:v>
                </c:pt>
                <c:pt idx="75">
                  <c:v>25000</c:v>
                </c:pt>
                <c:pt idx="76">
                  <c:v>25500</c:v>
                </c:pt>
                <c:pt idx="77">
                  <c:v>26000</c:v>
                </c:pt>
                <c:pt idx="78">
                  <c:v>26500</c:v>
                </c:pt>
                <c:pt idx="79">
                  <c:v>27000</c:v>
                </c:pt>
                <c:pt idx="80">
                  <c:v>27500</c:v>
                </c:pt>
                <c:pt idx="81">
                  <c:v>28000</c:v>
                </c:pt>
                <c:pt idx="82">
                  <c:v>28500</c:v>
                </c:pt>
                <c:pt idx="83">
                  <c:v>29000</c:v>
                </c:pt>
                <c:pt idx="84">
                  <c:v>29500</c:v>
                </c:pt>
                <c:pt idx="85">
                  <c:v>30000</c:v>
                </c:pt>
                <c:pt idx="86">
                  <c:v>30500</c:v>
                </c:pt>
                <c:pt idx="87">
                  <c:v>31000</c:v>
                </c:pt>
                <c:pt idx="88">
                  <c:v>31500</c:v>
                </c:pt>
                <c:pt idx="89">
                  <c:v>32000</c:v>
                </c:pt>
                <c:pt idx="90">
                  <c:v>32500</c:v>
                </c:pt>
                <c:pt idx="91">
                  <c:v>33000</c:v>
                </c:pt>
                <c:pt idx="92">
                  <c:v>33500</c:v>
                </c:pt>
                <c:pt idx="93">
                  <c:v>34000</c:v>
                </c:pt>
                <c:pt idx="94">
                  <c:v>34500</c:v>
                </c:pt>
                <c:pt idx="95">
                  <c:v>35000</c:v>
                </c:pt>
                <c:pt idx="96">
                  <c:v>35500</c:v>
                </c:pt>
                <c:pt idx="97">
                  <c:v>36000</c:v>
                </c:pt>
                <c:pt idx="98">
                  <c:v>36500</c:v>
                </c:pt>
                <c:pt idx="99">
                  <c:v>37000</c:v>
                </c:pt>
                <c:pt idx="100">
                  <c:v>37500</c:v>
                </c:pt>
                <c:pt idx="101">
                  <c:v>38000</c:v>
                </c:pt>
                <c:pt idx="102">
                  <c:v>38500</c:v>
                </c:pt>
                <c:pt idx="103">
                  <c:v>39000</c:v>
                </c:pt>
                <c:pt idx="104">
                  <c:v>39500</c:v>
                </c:pt>
                <c:pt idx="105">
                  <c:v>40000</c:v>
                </c:pt>
                <c:pt idx="106">
                  <c:v>40500</c:v>
                </c:pt>
                <c:pt idx="107">
                  <c:v>41000</c:v>
                </c:pt>
                <c:pt idx="108">
                  <c:v>41500</c:v>
                </c:pt>
                <c:pt idx="109">
                  <c:v>42000</c:v>
                </c:pt>
                <c:pt idx="110">
                  <c:v>42500</c:v>
                </c:pt>
                <c:pt idx="111">
                  <c:v>43000</c:v>
                </c:pt>
                <c:pt idx="112">
                  <c:v>43500</c:v>
                </c:pt>
                <c:pt idx="113">
                  <c:v>44000</c:v>
                </c:pt>
                <c:pt idx="114">
                  <c:v>44500</c:v>
                </c:pt>
                <c:pt idx="115">
                  <c:v>45000</c:v>
                </c:pt>
                <c:pt idx="116">
                  <c:v>45500</c:v>
                </c:pt>
                <c:pt idx="117">
                  <c:v>46000</c:v>
                </c:pt>
                <c:pt idx="118">
                  <c:v>46500</c:v>
                </c:pt>
                <c:pt idx="119">
                  <c:v>47000</c:v>
                </c:pt>
                <c:pt idx="120">
                  <c:v>47500</c:v>
                </c:pt>
                <c:pt idx="121">
                  <c:v>48000</c:v>
                </c:pt>
                <c:pt idx="122">
                  <c:v>48500</c:v>
                </c:pt>
                <c:pt idx="123">
                  <c:v>49000</c:v>
                </c:pt>
                <c:pt idx="124">
                  <c:v>49500</c:v>
                </c:pt>
                <c:pt idx="125">
                  <c:v>50000</c:v>
                </c:pt>
                <c:pt idx="126">
                  <c:v>50500</c:v>
                </c:pt>
                <c:pt idx="127">
                  <c:v>51000</c:v>
                </c:pt>
                <c:pt idx="128">
                  <c:v>51500</c:v>
                </c:pt>
                <c:pt idx="129">
                  <c:v>52000</c:v>
                </c:pt>
                <c:pt idx="130">
                  <c:v>52500</c:v>
                </c:pt>
                <c:pt idx="131">
                  <c:v>53000</c:v>
                </c:pt>
                <c:pt idx="132">
                  <c:v>53500</c:v>
                </c:pt>
                <c:pt idx="133">
                  <c:v>54000</c:v>
                </c:pt>
                <c:pt idx="134">
                  <c:v>54500</c:v>
                </c:pt>
                <c:pt idx="135">
                  <c:v>55000</c:v>
                </c:pt>
                <c:pt idx="136">
                  <c:v>55500</c:v>
                </c:pt>
                <c:pt idx="137">
                  <c:v>56000</c:v>
                </c:pt>
                <c:pt idx="138">
                  <c:v>56500</c:v>
                </c:pt>
                <c:pt idx="139">
                  <c:v>57000</c:v>
                </c:pt>
                <c:pt idx="140">
                  <c:v>57500</c:v>
                </c:pt>
                <c:pt idx="141">
                  <c:v>58000</c:v>
                </c:pt>
                <c:pt idx="142">
                  <c:v>58500</c:v>
                </c:pt>
                <c:pt idx="143">
                  <c:v>59000</c:v>
                </c:pt>
                <c:pt idx="144">
                  <c:v>59500</c:v>
                </c:pt>
                <c:pt idx="145">
                  <c:v>60000</c:v>
                </c:pt>
                <c:pt idx="146">
                  <c:v>60500</c:v>
                </c:pt>
                <c:pt idx="147">
                  <c:v>61000</c:v>
                </c:pt>
                <c:pt idx="148">
                  <c:v>61500</c:v>
                </c:pt>
                <c:pt idx="149">
                  <c:v>62000</c:v>
                </c:pt>
                <c:pt idx="150">
                  <c:v>62500</c:v>
                </c:pt>
                <c:pt idx="151">
                  <c:v>63000</c:v>
                </c:pt>
                <c:pt idx="152">
                  <c:v>63500</c:v>
                </c:pt>
                <c:pt idx="153">
                  <c:v>64000</c:v>
                </c:pt>
                <c:pt idx="154">
                  <c:v>64500</c:v>
                </c:pt>
                <c:pt idx="155">
                  <c:v>65000</c:v>
                </c:pt>
                <c:pt idx="156">
                  <c:v>65500</c:v>
                </c:pt>
                <c:pt idx="157">
                  <c:v>66000</c:v>
                </c:pt>
                <c:pt idx="158">
                  <c:v>66500</c:v>
                </c:pt>
                <c:pt idx="159">
                  <c:v>67000</c:v>
                </c:pt>
                <c:pt idx="160">
                  <c:v>67500</c:v>
                </c:pt>
                <c:pt idx="161">
                  <c:v>68000</c:v>
                </c:pt>
                <c:pt idx="162">
                  <c:v>68500</c:v>
                </c:pt>
                <c:pt idx="163">
                  <c:v>69000</c:v>
                </c:pt>
                <c:pt idx="164">
                  <c:v>69500</c:v>
                </c:pt>
                <c:pt idx="165">
                  <c:v>70000</c:v>
                </c:pt>
                <c:pt idx="166">
                  <c:v>70500</c:v>
                </c:pt>
                <c:pt idx="167">
                  <c:v>71000</c:v>
                </c:pt>
                <c:pt idx="168">
                  <c:v>71500</c:v>
                </c:pt>
                <c:pt idx="169">
                  <c:v>72000</c:v>
                </c:pt>
                <c:pt idx="170">
                  <c:v>72500</c:v>
                </c:pt>
                <c:pt idx="171">
                  <c:v>73000</c:v>
                </c:pt>
                <c:pt idx="172">
                  <c:v>73500</c:v>
                </c:pt>
                <c:pt idx="173">
                  <c:v>74000</c:v>
                </c:pt>
                <c:pt idx="174">
                  <c:v>74500</c:v>
                </c:pt>
                <c:pt idx="175">
                  <c:v>75000</c:v>
                </c:pt>
                <c:pt idx="176">
                  <c:v>75500</c:v>
                </c:pt>
                <c:pt idx="177">
                  <c:v>76000</c:v>
                </c:pt>
                <c:pt idx="178">
                  <c:v>76500</c:v>
                </c:pt>
                <c:pt idx="179">
                  <c:v>77000</c:v>
                </c:pt>
                <c:pt idx="180">
                  <c:v>77500</c:v>
                </c:pt>
                <c:pt idx="181">
                  <c:v>78000</c:v>
                </c:pt>
                <c:pt idx="182">
                  <c:v>78500</c:v>
                </c:pt>
                <c:pt idx="183">
                  <c:v>79000</c:v>
                </c:pt>
                <c:pt idx="184">
                  <c:v>79500</c:v>
                </c:pt>
                <c:pt idx="185">
                  <c:v>80000</c:v>
                </c:pt>
                <c:pt idx="186">
                  <c:v>80500</c:v>
                </c:pt>
                <c:pt idx="187">
                  <c:v>81000</c:v>
                </c:pt>
                <c:pt idx="188">
                  <c:v>81500</c:v>
                </c:pt>
                <c:pt idx="189">
                  <c:v>82000</c:v>
                </c:pt>
                <c:pt idx="190">
                  <c:v>82500</c:v>
                </c:pt>
                <c:pt idx="191">
                  <c:v>83000</c:v>
                </c:pt>
                <c:pt idx="192">
                  <c:v>83500</c:v>
                </c:pt>
                <c:pt idx="193">
                  <c:v>84000</c:v>
                </c:pt>
                <c:pt idx="194">
                  <c:v>84500</c:v>
                </c:pt>
                <c:pt idx="195">
                  <c:v>85000</c:v>
                </c:pt>
                <c:pt idx="196">
                  <c:v>85500</c:v>
                </c:pt>
                <c:pt idx="197">
                  <c:v>86000</c:v>
                </c:pt>
                <c:pt idx="198">
                  <c:v>86500</c:v>
                </c:pt>
                <c:pt idx="199">
                  <c:v>87000</c:v>
                </c:pt>
                <c:pt idx="200">
                  <c:v>87500</c:v>
                </c:pt>
                <c:pt idx="201">
                  <c:v>88000</c:v>
                </c:pt>
                <c:pt idx="202">
                  <c:v>88500</c:v>
                </c:pt>
                <c:pt idx="203">
                  <c:v>89000</c:v>
                </c:pt>
                <c:pt idx="204">
                  <c:v>89500</c:v>
                </c:pt>
                <c:pt idx="205">
                  <c:v>90000</c:v>
                </c:pt>
                <c:pt idx="206">
                  <c:v>90500</c:v>
                </c:pt>
                <c:pt idx="207">
                  <c:v>91000</c:v>
                </c:pt>
                <c:pt idx="208">
                  <c:v>91500</c:v>
                </c:pt>
                <c:pt idx="209">
                  <c:v>92000</c:v>
                </c:pt>
                <c:pt idx="210">
                  <c:v>92500</c:v>
                </c:pt>
                <c:pt idx="211">
                  <c:v>93000</c:v>
                </c:pt>
                <c:pt idx="212">
                  <c:v>93500</c:v>
                </c:pt>
                <c:pt idx="213">
                  <c:v>94000</c:v>
                </c:pt>
                <c:pt idx="214">
                  <c:v>94500</c:v>
                </c:pt>
                <c:pt idx="215">
                  <c:v>95000</c:v>
                </c:pt>
                <c:pt idx="216">
                  <c:v>95500</c:v>
                </c:pt>
                <c:pt idx="217">
                  <c:v>96000</c:v>
                </c:pt>
                <c:pt idx="218">
                  <c:v>96500</c:v>
                </c:pt>
                <c:pt idx="219">
                  <c:v>97000</c:v>
                </c:pt>
                <c:pt idx="220">
                  <c:v>97500</c:v>
                </c:pt>
                <c:pt idx="221">
                  <c:v>98000</c:v>
                </c:pt>
                <c:pt idx="222">
                  <c:v>98500</c:v>
                </c:pt>
                <c:pt idx="223">
                  <c:v>99000</c:v>
                </c:pt>
                <c:pt idx="224">
                  <c:v>99500</c:v>
                </c:pt>
                <c:pt idx="225">
                  <c:v>100000</c:v>
                </c:pt>
                <c:pt idx="226">
                  <c:v>105000</c:v>
                </c:pt>
                <c:pt idx="227">
                  <c:v>110000</c:v>
                </c:pt>
                <c:pt idx="228">
                  <c:v>115000</c:v>
                </c:pt>
                <c:pt idx="229">
                  <c:v>120000</c:v>
                </c:pt>
                <c:pt idx="230">
                  <c:v>125000</c:v>
                </c:pt>
                <c:pt idx="231">
                  <c:v>130000</c:v>
                </c:pt>
                <c:pt idx="232">
                  <c:v>135000</c:v>
                </c:pt>
                <c:pt idx="233">
                  <c:v>140000</c:v>
                </c:pt>
                <c:pt idx="234">
                  <c:v>145000</c:v>
                </c:pt>
                <c:pt idx="235">
                  <c:v>150000</c:v>
                </c:pt>
                <c:pt idx="236">
                  <c:v>155000</c:v>
                </c:pt>
                <c:pt idx="237">
                  <c:v>160000</c:v>
                </c:pt>
                <c:pt idx="238">
                  <c:v>165000</c:v>
                </c:pt>
                <c:pt idx="239">
                  <c:v>170000</c:v>
                </c:pt>
                <c:pt idx="240">
                  <c:v>175000</c:v>
                </c:pt>
                <c:pt idx="241">
                  <c:v>180000</c:v>
                </c:pt>
                <c:pt idx="242">
                  <c:v>185000</c:v>
                </c:pt>
                <c:pt idx="243">
                  <c:v>190000</c:v>
                </c:pt>
                <c:pt idx="244">
                  <c:v>195000</c:v>
                </c:pt>
                <c:pt idx="245">
                  <c:v>200000</c:v>
                </c:pt>
                <c:pt idx="246">
                  <c:v>205000</c:v>
                </c:pt>
                <c:pt idx="247">
                  <c:v>210000</c:v>
                </c:pt>
                <c:pt idx="248">
                  <c:v>215000</c:v>
                </c:pt>
                <c:pt idx="249">
                  <c:v>220000</c:v>
                </c:pt>
                <c:pt idx="250">
                  <c:v>225000</c:v>
                </c:pt>
                <c:pt idx="251">
                  <c:v>230000</c:v>
                </c:pt>
                <c:pt idx="252">
                  <c:v>235000</c:v>
                </c:pt>
                <c:pt idx="253">
                  <c:v>240000</c:v>
                </c:pt>
                <c:pt idx="254">
                  <c:v>245000</c:v>
                </c:pt>
                <c:pt idx="255">
                  <c:v>250000</c:v>
                </c:pt>
                <c:pt idx="256">
                  <c:v>255000</c:v>
                </c:pt>
                <c:pt idx="257">
                  <c:v>260000</c:v>
                </c:pt>
                <c:pt idx="258">
                  <c:v>265000</c:v>
                </c:pt>
                <c:pt idx="259">
                  <c:v>270000</c:v>
                </c:pt>
                <c:pt idx="260">
                  <c:v>275000</c:v>
                </c:pt>
                <c:pt idx="261">
                  <c:v>280000</c:v>
                </c:pt>
                <c:pt idx="262">
                  <c:v>285000</c:v>
                </c:pt>
                <c:pt idx="263">
                  <c:v>290000</c:v>
                </c:pt>
                <c:pt idx="264">
                  <c:v>295000</c:v>
                </c:pt>
                <c:pt idx="265">
                  <c:v>300000</c:v>
                </c:pt>
                <c:pt idx="266">
                  <c:v>305000</c:v>
                </c:pt>
                <c:pt idx="267">
                  <c:v>310000</c:v>
                </c:pt>
                <c:pt idx="268">
                  <c:v>315000</c:v>
                </c:pt>
                <c:pt idx="269">
                  <c:v>320000</c:v>
                </c:pt>
                <c:pt idx="270">
                  <c:v>325000</c:v>
                </c:pt>
                <c:pt idx="271">
                  <c:v>330000</c:v>
                </c:pt>
                <c:pt idx="272">
                  <c:v>335000</c:v>
                </c:pt>
                <c:pt idx="273">
                  <c:v>340000</c:v>
                </c:pt>
                <c:pt idx="274">
                  <c:v>345000</c:v>
                </c:pt>
                <c:pt idx="275">
                  <c:v>350000</c:v>
                </c:pt>
                <c:pt idx="276">
                  <c:v>355000</c:v>
                </c:pt>
                <c:pt idx="277">
                  <c:v>360000</c:v>
                </c:pt>
                <c:pt idx="278">
                  <c:v>365000</c:v>
                </c:pt>
                <c:pt idx="279">
                  <c:v>370000</c:v>
                </c:pt>
                <c:pt idx="280">
                  <c:v>375000</c:v>
                </c:pt>
                <c:pt idx="281">
                  <c:v>380000</c:v>
                </c:pt>
                <c:pt idx="282">
                  <c:v>385000</c:v>
                </c:pt>
                <c:pt idx="283">
                  <c:v>390000</c:v>
                </c:pt>
                <c:pt idx="284">
                  <c:v>395000</c:v>
                </c:pt>
                <c:pt idx="285">
                  <c:v>400000</c:v>
                </c:pt>
                <c:pt idx="286">
                  <c:v>405000</c:v>
                </c:pt>
                <c:pt idx="287">
                  <c:v>410000</c:v>
                </c:pt>
                <c:pt idx="288">
                  <c:v>415000</c:v>
                </c:pt>
                <c:pt idx="289">
                  <c:v>420000</c:v>
                </c:pt>
                <c:pt idx="290">
                  <c:v>425000</c:v>
                </c:pt>
                <c:pt idx="291">
                  <c:v>430000</c:v>
                </c:pt>
                <c:pt idx="292">
                  <c:v>435000</c:v>
                </c:pt>
                <c:pt idx="293">
                  <c:v>440000</c:v>
                </c:pt>
                <c:pt idx="294">
                  <c:v>445000</c:v>
                </c:pt>
                <c:pt idx="295">
                  <c:v>450000</c:v>
                </c:pt>
                <c:pt idx="296">
                  <c:v>455000</c:v>
                </c:pt>
                <c:pt idx="297">
                  <c:v>460000</c:v>
                </c:pt>
                <c:pt idx="298">
                  <c:v>465000</c:v>
                </c:pt>
                <c:pt idx="299">
                  <c:v>470000</c:v>
                </c:pt>
                <c:pt idx="300">
                  <c:v>475000</c:v>
                </c:pt>
                <c:pt idx="301">
                  <c:v>480000</c:v>
                </c:pt>
                <c:pt idx="302">
                  <c:v>485000</c:v>
                </c:pt>
                <c:pt idx="303">
                  <c:v>490000</c:v>
                </c:pt>
                <c:pt idx="304">
                  <c:v>495000</c:v>
                </c:pt>
                <c:pt idx="305">
                  <c:v>500000</c:v>
                </c:pt>
                <c:pt idx="306">
                  <c:v>505000</c:v>
                </c:pt>
                <c:pt idx="307">
                  <c:v>510000</c:v>
                </c:pt>
                <c:pt idx="308">
                  <c:v>515000</c:v>
                </c:pt>
                <c:pt idx="309">
                  <c:v>520000</c:v>
                </c:pt>
                <c:pt idx="310">
                  <c:v>525000</c:v>
                </c:pt>
                <c:pt idx="311">
                  <c:v>530000</c:v>
                </c:pt>
                <c:pt idx="312">
                  <c:v>535000</c:v>
                </c:pt>
                <c:pt idx="313">
                  <c:v>540000</c:v>
                </c:pt>
                <c:pt idx="314">
                  <c:v>545000</c:v>
                </c:pt>
                <c:pt idx="315">
                  <c:v>550000</c:v>
                </c:pt>
                <c:pt idx="316">
                  <c:v>555000</c:v>
                </c:pt>
                <c:pt idx="317">
                  <c:v>560000</c:v>
                </c:pt>
                <c:pt idx="318">
                  <c:v>565000</c:v>
                </c:pt>
                <c:pt idx="319">
                  <c:v>570000</c:v>
                </c:pt>
                <c:pt idx="320">
                  <c:v>575000</c:v>
                </c:pt>
                <c:pt idx="321">
                  <c:v>580000</c:v>
                </c:pt>
                <c:pt idx="322">
                  <c:v>585000</c:v>
                </c:pt>
                <c:pt idx="323">
                  <c:v>590000</c:v>
                </c:pt>
                <c:pt idx="324">
                  <c:v>595000</c:v>
                </c:pt>
                <c:pt idx="325">
                  <c:v>600000</c:v>
                </c:pt>
                <c:pt idx="326">
                  <c:v>605000</c:v>
                </c:pt>
                <c:pt idx="327">
                  <c:v>610000</c:v>
                </c:pt>
                <c:pt idx="328">
                  <c:v>615000</c:v>
                </c:pt>
                <c:pt idx="329">
                  <c:v>620000</c:v>
                </c:pt>
                <c:pt idx="330">
                  <c:v>625000</c:v>
                </c:pt>
                <c:pt idx="331">
                  <c:v>630000</c:v>
                </c:pt>
                <c:pt idx="332">
                  <c:v>635000</c:v>
                </c:pt>
                <c:pt idx="333">
                  <c:v>640000</c:v>
                </c:pt>
                <c:pt idx="334">
                  <c:v>645000</c:v>
                </c:pt>
                <c:pt idx="335">
                  <c:v>650000</c:v>
                </c:pt>
                <c:pt idx="336">
                  <c:v>655000</c:v>
                </c:pt>
                <c:pt idx="337">
                  <c:v>660000</c:v>
                </c:pt>
                <c:pt idx="338">
                  <c:v>665000</c:v>
                </c:pt>
                <c:pt idx="339">
                  <c:v>670000</c:v>
                </c:pt>
                <c:pt idx="340">
                  <c:v>675000</c:v>
                </c:pt>
                <c:pt idx="341">
                  <c:v>680000</c:v>
                </c:pt>
                <c:pt idx="342">
                  <c:v>685000</c:v>
                </c:pt>
                <c:pt idx="343">
                  <c:v>690000</c:v>
                </c:pt>
                <c:pt idx="344">
                  <c:v>695000</c:v>
                </c:pt>
                <c:pt idx="345">
                  <c:v>700000</c:v>
                </c:pt>
                <c:pt idx="346">
                  <c:v>705000</c:v>
                </c:pt>
                <c:pt idx="347">
                  <c:v>710000</c:v>
                </c:pt>
                <c:pt idx="348">
                  <c:v>715000</c:v>
                </c:pt>
                <c:pt idx="349">
                  <c:v>720000</c:v>
                </c:pt>
                <c:pt idx="350">
                  <c:v>725000</c:v>
                </c:pt>
                <c:pt idx="351">
                  <c:v>730000</c:v>
                </c:pt>
                <c:pt idx="352">
                  <c:v>735000</c:v>
                </c:pt>
                <c:pt idx="353">
                  <c:v>740000</c:v>
                </c:pt>
                <c:pt idx="354">
                  <c:v>745000</c:v>
                </c:pt>
                <c:pt idx="355">
                  <c:v>750000</c:v>
                </c:pt>
                <c:pt idx="356">
                  <c:v>755000</c:v>
                </c:pt>
                <c:pt idx="357">
                  <c:v>760000</c:v>
                </c:pt>
                <c:pt idx="358">
                  <c:v>765000</c:v>
                </c:pt>
                <c:pt idx="359">
                  <c:v>770000</c:v>
                </c:pt>
                <c:pt idx="360">
                  <c:v>775000</c:v>
                </c:pt>
                <c:pt idx="361">
                  <c:v>780000</c:v>
                </c:pt>
                <c:pt idx="362">
                  <c:v>785000</c:v>
                </c:pt>
                <c:pt idx="363">
                  <c:v>790000</c:v>
                </c:pt>
                <c:pt idx="364">
                  <c:v>795000</c:v>
                </c:pt>
                <c:pt idx="365">
                  <c:v>800000</c:v>
                </c:pt>
                <c:pt idx="366">
                  <c:v>805000</c:v>
                </c:pt>
                <c:pt idx="367">
                  <c:v>810000</c:v>
                </c:pt>
                <c:pt idx="368">
                  <c:v>815000</c:v>
                </c:pt>
                <c:pt idx="369">
                  <c:v>820000</c:v>
                </c:pt>
                <c:pt idx="370">
                  <c:v>825000</c:v>
                </c:pt>
                <c:pt idx="371">
                  <c:v>830000</c:v>
                </c:pt>
                <c:pt idx="372">
                  <c:v>835000</c:v>
                </c:pt>
                <c:pt idx="373">
                  <c:v>840000</c:v>
                </c:pt>
                <c:pt idx="374">
                  <c:v>845000</c:v>
                </c:pt>
                <c:pt idx="375">
                  <c:v>850000</c:v>
                </c:pt>
                <c:pt idx="376">
                  <c:v>855000</c:v>
                </c:pt>
                <c:pt idx="377">
                  <c:v>860000</c:v>
                </c:pt>
                <c:pt idx="378">
                  <c:v>865000</c:v>
                </c:pt>
                <c:pt idx="379">
                  <c:v>870000</c:v>
                </c:pt>
                <c:pt idx="380">
                  <c:v>875000</c:v>
                </c:pt>
                <c:pt idx="381">
                  <c:v>880000</c:v>
                </c:pt>
                <c:pt idx="382">
                  <c:v>885000</c:v>
                </c:pt>
                <c:pt idx="383">
                  <c:v>890000</c:v>
                </c:pt>
                <c:pt idx="384">
                  <c:v>895000</c:v>
                </c:pt>
                <c:pt idx="385">
                  <c:v>900000</c:v>
                </c:pt>
                <c:pt idx="386">
                  <c:v>905000</c:v>
                </c:pt>
                <c:pt idx="387">
                  <c:v>910000</c:v>
                </c:pt>
                <c:pt idx="388">
                  <c:v>915000</c:v>
                </c:pt>
                <c:pt idx="389">
                  <c:v>920000</c:v>
                </c:pt>
                <c:pt idx="390">
                  <c:v>925000</c:v>
                </c:pt>
                <c:pt idx="391">
                  <c:v>930000</c:v>
                </c:pt>
                <c:pt idx="392">
                  <c:v>935000</c:v>
                </c:pt>
                <c:pt idx="393">
                  <c:v>940000</c:v>
                </c:pt>
                <c:pt idx="394">
                  <c:v>945000</c:v>
                </c:pt>
                <c:pt idx="395">
                  <c:v>950000</c:v>
                </c:pt>
                <c:pt idx="396">
                  <c:v>955000</c:v>
                </c:pt>
                <c:pt idx="397">
                  <c:v>960000</c:v>
                </c:pt>
                <c:pt idx="398">
                  <c:v>965000</c:v>
                </c:pt>
                <c:pt idx="399">
                  <c:v>970000</c:v>
                </c:pt>
                <c:pt idx="400">
                  <c:v>975000</c:v>
                </c:pt>
                <c:pt idx="401">
                  <c:v>980000</c:v>
                </c:pt>
                <c:pt idx="402">
                  <c:v>985000</c:v>
                </c:pt>
                <c:pt idx="403">
                  <c:v>990000</c:v>
                </c:pt>
                <c:pt idx="404">
                  <c:v>995000</c:v>
                </c:pt>
                <c:pt idx="405">
                  <c:v>1000000</c:v>
                </c:pt>
                <c:pt idx="406">
                  <c:v>1005000</c:v>
                </c:pt>
                <c:pt idx="407">
                  <c:v>1010000</c:v>
                </c:pt>
                <c:pt idx="408">
                  <c:v>1015000</c:v>
                </c:pt>
                <c:pt idx="409">
                  <c:v>1020000</c:v>
                </c:pt>
                <c:pt idx="410">
                  <c:v>1025000</c:v>
                </c:pt>
                <c:pt idx="411">
                  <c:v>1030000</c:v>
                </c:pt>
                <c:pt idx="412">
                  <c:v>1035000</c:v>
                </c:pt>
                <c:pt idx="413">
                  <c:v>1040000</c:v>
                </c:pt>
                <c:pt idx="414">
                  <c:v>1045000</c:v>
                </c:pt>
                <c:pt idx="415">
                  <c:v>1050000</c:v>
                </c:pt>
                <c:pt idx="416">
                  <c:v>1055000</c:v>
                </c:pt>
                <c:pt idx="417">
                  <c:v>1060000</c:v>
                </c:pt>
                <c:pt idx="418">
                  <c:v>1065000</c:v>
                </c:pt>
                <c:pt idx="419">
                  <c:v>1070000</c:v>
                </c:pt>
                <c:pt idx="420">
                  <c:v>1075000</c:v>
                </c:pt>
                <c:pt idx="421">
                  <c:v>1080000</c:v>
                </c:pt>
                <c:pt idx="422">
                  <c:v>1085000</c:v>
                </c:pt>
                <c:pt idx="423">
                  <c:v>1090000</c:v>
                </c:pt>
                <c:pt idx="424">
                  <c:v>1095000</c:v>
                </c:pt>
                <c:pt idx="425">
                  <c:v>1100000</c:v>
                </c:pt>
                <c:pt idx="426">
                  <c:v>1105000</c:v>
                </c:pt>
                <c:pt idx="427">
                  <c:v>1110000</c:v>
                </c:pt>
                <c:pt idx="428">
                  <c:v>1115000</c:v>
                </c:pt>
                <c:pt idx="429">
                  <c:v>1120000</c:v>
                </c:pt>
                <c:pt idx="430">
                  <c:v>1125000</c:v>
                </c:pt>
                <c:pt idx="431">
                  <c:v>1130000</c:v>
                </c:pt>
                <c:pt idx="432">
                  <c:v>1135000</c:v>
                </c:pt>
                <c:pt idx="433">
                  <c:v>1140000</c:v>
                </c:pt>
                <c:pt idx="434">
                  <c:v>1145000</c:v>
                </c:pt>
                <c:pt idx="435">
                  <c:v>1150000</c:v>
                </c:pt>
                <c:pt idx="436">
                  <c:v>1155000</c:v>
                </c:pt>
                <c:pt idx="437">
                  <c:v>1160000</c:v>
                </c:pt>
                <c:pt idx="438">
                  <c:v>1165000</c:v>
                </c:pt>
                <c:pt idx="439">
                  <c:v>1170000</c:v>
                </c:pt>
                <c:pt idx="440">
                  <c:v>1175000</c:v>
                </c:pt>
                <c:pt idx="441">
                  <c:v>1180000</c:v>
                </c:pt>
                <c:pt idx="442">
                  <c:v>1185000</c:v>
                </c:pt>
                <c:pt idx="443">
                  <c:v>1190000</c:v>
                </c:pt>
                <c:pt idx="444">
                  <c:v>1195000</c:v>
                </c:pt>
                <c:pt idx="445">
                  <c:v>1200000</c:v>
                </c:pt>
                <c:pt idx="446">
                  <c:v>1205000</c:v>
                </c:pt>
                <c:pt idx="447">
                  <c:v>1210000</c:v>
                </c:pt>
                <c:pt idx="448">
                  <c:v>1215000</c:v>
                </c:pt>
                <c:pt idx="449">
                  <c:v>1220000</c:v>
                </c:pt>
                <c:pt idx="450">
                  <c:v>1225000</c:v>
                </c:pt>
                <c:pt idx="451">
                  <c:v>1230000</c:v>
                </c:pt>
                <c:pt idx="452">
                  <c:v>1235000</c:v>
                </c:pt>
                <c:pt idx="453">
                  <c:v>1240000</c:v>
                </c:pt>
                <c:pt idx="454">
                  <c:v>1245000</c:v>
                </c:pt>
                <c:pt idx="455">
                  <c:v>1250000</c:v>
                </c:pt>
                <c:pt idx="456">
                  <c:v>1255000</c:v>
                </c:pt>
                <c:pt idx="457">
                  <c:v>1260000</c:v>
                </c:pt>
                <c:pt idx="458">
                  <c:v>1265000</c:v>
                </c:pt>
                <c:pt idx="459">
                  <c:v>1270000</c:v>
                </c:pt>
                <c:pt idx="460">
                  <c:v>1275000</c:v>
                </c:pt>
                <c:pt idx="461">
                  <c:v>1280000</c:v>
                </c:pt>
                <c:pt idx="462">
                  <c:v>1285000</c:v>
                </c:pt>
                <c:pt idx="463">
                  <c:v>1290000</c:v>
                </c:pt>
                <c:pt idx="464">
                  <c:v>1295000</c:v>
                </c:pt>
                <c:pt idx="465">
                  <c:v>1300000</c:v>
                </c:pt>
                <c:pt idx="466">
                  <c:v>1305000</c:v>
                </c:pt>
                <c:pt idx="467">
                  <c:v>1310000</c:v>
                </c:pt>
                <c:pt idx="468">
                  <c:v>1315000</c:v>
                </c:pt>
                <c:pt idx="469">
                  <c:v>1320000</c:v>
                </c:pt>
                <c:pt idx="470">
                  <c:v>1325000</c:v>
                </c:pt>
                <c:pt idx="471">
                  <c:v>1330000</c:v>
                </c:pt>
                <c:pt idx="472">
                  <c:v>1335000</c:v>
                </c:pt>
                <c:pt idx="473">
                  <c:v>1340000</c:v>
                </c:pt>
                <c:pt idx="474">
                  <c:v>1345000</c:v>
                </c:pt>
                <c:pt idx="475">
                  <c:v>1350000</c:v>
                </c:pt>
                <c:pt idx="476">
                  <c:v>1355000</c:v>
                </c:pt>
                <c:pt idx="477">
                  <c:v>1360000</c:v>
                </c:pt>
                <c:pt idx="478">
                  <c:v>1365000</c:v>
                </c:pt>
                <c:pt idx="479">
                  <c:v>1370000</c:v>
                </c:pt>
                <c:pt idx="480">
                  <c:v>1375000</c:v>
                </c:pt>
                <c:pt idx="481">
                  <c:v>1380000</c:v>
                </c:pt>
                <c:pt idx="482">
                  <c:v>1385000</c:v>
                </c:pt>
                <c:pt idx="483">
                  <c:v>1390000</c:v>
                </c:pt>
                <c:pt idx="484">
                  <c:v>1395000</c:v>
                </c:pt>
                <c:pt idx="485">
                  <c:v>1400000</c:v>
                </c:pt>
                <c:pt idx="486">
                  <c:v>1405000</c:v>
                </c:pt>
                <c:pt idx="487">
                  <c:v>1410000</c:v>
                </c:pt>
                <c:pt idx="488">
                  <c:v>1415000</c:v>
                </c:pt>
                <c:pt idx="489">
                  <c:v>1420000</c:v>
                </c:pt>
                <c:pt idx="490">
                  <c:v>1425000</c:v>
                </c:pt>
                <c:pt idx="491">
                  <c:v>1430000</c:v>
                </c:pt>
                <c:pt idx="492">
                  <c:v>1435000</c:v>
                </c:pt>
                <c:pt idx="493">
                  <c:v>1440000</c:v>
                </c:pt>
                <c:pt idx="494">
                  <c:v>1445000</c:v>
                </c:pt>
                <c:pt idx="495">
                  <c:v>1450000</c:v>
                </c:pt>
                <c:pt idx="496">
                  <c:v>1455000</c:v>
                </c:pt>
                <c:pt idx="497">
                  <c:v>1460000</c:v>
                </c:pt>
                <c:pt idx="498">
                  <c:v>1465000</c:v>
                </c:pt>
                <c:pt idx="499">
                  <c:v>1470000</c:v>
                </c:pt>
                <c:pt idx="500">
                  <c:v>1475000</c:v>
                </c:pt>
                <c:pt idx="501">
                  <c:v>1480000</c:v>
                </c:pt>
                <c:pt idx="502">
                  <c:v>1485000</c:v>
                </c:pt>
                <c:pt idx="503">
                  <c:v>1490000</c:v>
                </c:pt>
                <c:pt idx="504">
                  <c:v>1495000</c:v>
                </c:pt>
                <c:pt idx="505">
                  <c:v>1500000</c:v>
                </c:pt>
                <c:pt idx="506">
                  <c:v>1505000</c:v>
                </c:pt>
                <c:pt idx="507">
                  <c:v>1510000</c:v>
                </c:pt>
                <c:pt idx="508">
                  <c:v>1515000</c:v>
                </c:pt>
                <c:pt idx="509">
                  <c:v>1520000</c:v>
                </c:pt>
                <c:pt idx="510">
                  <c:v>1525000</c:v>
                </c:pt>
                <c:pt idx="511">
                  <c:v>1530000</c:v>
                </c:pt>
                <c:pt idx="512">
                  <c:v>1535000</c:v>
                </c:pt>
                <c:pt idx="513">
                  <c:v>1540000</c:v>
                </c:pt>
                <c:pt idx="514">
                  <c:v>1545000</c:v>
                </c:pt>
                <c:pt idx="515">
                  <c:v>1550000</c:v>
                </c:pt>
                <c:pt idx="516">
                  <c:v>1555000</c:v>
                </c:pt>
                <c:pt idx="517">
                  <c:v>1560000</c:v>
                </c:pt>
                <c:pt idx="518">
                  <c:v>1565000</c:v>
                </c:pt>
                <c:pt idx="519">
                  <c:v>1570000</c:v>
                </c:pt>
                <c:pt idx="520">
                  <c:v>1575000</c:v>
                </c:pt>
                <c:pt idx="521">
                  <c:v>1580000</c:v>
                </c:pt>
                <c:pt idx="522">
                  <c:v>1585000</c:v>
                </c:pt>
                <c:pt idx="523">
                  <c:v>1590000</c:v>
                </c:pt>
                <c:pt idx="524">
                  <c:v>1595000</c:v>
                </c:pt>
                <c:pt idx="525">
                  <c:v>1600000</c:v>
                </c:pt>
                <c:pt idx="526">
                  <c:v>1605000</c:v>
                </c:pt>
                <c:pt idx="527">
                  <c:v>1610000</c:v>
                </c:pt>
                <c:pt idx="528">
                  <c:v>1615000</c:v>
                </c:pt>
                <c:pt idx="529">
                  <c:v>1620000</c:v>
                </c:pt>
                <c:pt idx="530">
                  <c:v>1625000</c:v>
                </c:pt>
                <c:pt idx="531">
                  <c:v>1630000</c:v>
                </c:pt>
                <c:pt idx="532">
                  <c:v>1635000</c:v>
                </c:pt>
                <c:pt idx="533">
                  <c:v>1640000</c:v>
                </c:pt>
                <c:pt idx="534">
                  <c:v>1645000</c:v>
                </c:pt>
                <c:pt idx="535">
                  <c:v>1650000</c:v>
                </c:pt>
                <c:pt idx="536">
                  <c:v>1655000</c:v>
                </c:pt>
                <c:pt idx="537">
                  <c:v>1660000</c:v>
                </c:pt>
                <c:pt idx="538">
                  <c:v>1665000</c:v>
                </c:pt>
                <c:pt idx="539">
                  <c:v>1670000</c:v>
                </c:pt>
                <c:pt idx="540">
                  <c:v>1675000</c:v>
                </c:pt>
                <c:pt idx="541">
                  <c:v>1680000</c:v>
                </c:pt>
                <c:pt idx="542">
                  <c:v>1685000</c:v>
                </c:pt>
                <c:pt idx="543">
                  <c:v>1690000</c:v>
                </c:pt>
                <c:pt idx="544">
                  <c:v>1695000</c:v>
                </c:pt>
                <c:pt idx="545">
                  <c:v>1700000</c:v>
                </c:pt>
                <c:pt idx="546">
                  <c:v>1705000</c:v>
                </c:pt>
                <c:pt idx="547">
                  <c:v>1710000</c:v>
                </c:pt>
                <c:pt idx="548">
                  <c:v>1715000</c:v>
                </c:pt>
                <c:pt idx="549">
                  <c:v>1720000</c:v>
                </c:pt>
                <c:pt idx="550">
                  <c:v>1725000</c:v>
                </c:pt>
                <c:pt idx="551">
                  <c:v>1730000</c:v>
                </c:pt>
                <c:pt idx="552">
                  <c:v>1735000</c:v>
                </c:pt>
                <c:pt idx="553">
                  <c:v>1740000</c:v>
                </c:pt>
                <c:pt idx="554">
                  <c:v>1745000</c:v>
                </c:pt>
                <c:pt idx="555">
                  <c:v>1750000</c:v>
                </c:pt>
                <c:pt idx="556">
                  <c:v>1755000</c:v>
                </c:pt>
                <c:pt idx="557">
                  <c:v>1760000</c:v>
                </c:pt>
                <c:pt idx="558">
                  <c:v>1765000</c:v>
                </c:pt>
                <c:pt idx="559">
                  <c:v>1770000</c:v>
                </c:pt>
                <c:pt idx="560">
                  <c:v>1775000</c:v>
                </c:pt>
                <c:pt idx="561">
                  <c:v>1780000</c:v>
                </c:pt>
                <c:pt idx="562">
                  <c:v>1785000</c:v>
                </c:pt>
                <c:pt idx="563">
                  <c:v>1790000</c:v>
                </c:pt>
                <c:pt idx="564">
                  <c:v>1795000</c:v>
                </c:pt>
                <c:pt idx="565">
                  <c:v>1800000</c:v>
                </c:pt>
                <c:pt idx="566">
                  <c:v>1805000</c:v>
                </c:pt>
                <c:pt idx="567">
                  <c:v>1810000</c:v>
                </c:pt>
                <c:pt idx="568">
                  <c:v>1815000</c:v>
                </c:pt>
                <c:pt idx="569">
                  <c:v>1820000</c:v>
                </c:pt>
                <c:pt idx="570">
                  <c:v>1825000</c:v>
                </c:pt>
                <c:pt idx="571">
                  <c:v>1830000</c:v>
                </c:pt>
                <c:pt idx="572">
                  <c:v>1835000</c:v>
                </c:pt>
                <c:pt idx="573">
                  <c:v>1840000</c:v>
                </c:pt>
                <c:pt idx="574">
                  <c:v>1845000</c:v>
                </c:pt>
                <c:pt idx="575">
                  <c:v>1850000</c:v>
                </c:pt>
                <c:pt idx="576">
                  <c:v>1855000</c:v>
                </c:pt>
                <c:pt idx="577">
                  <c:v>1860000</c:v>
                </c:pt>
                <c:pt idx="578">
                  <c:v>1865000</c:v>
                </c:pt>
                <c:pt idx="579">
                  <c:v>1870000</c:v>
                </c:pt>
                <c:pt idx="580">
                  <c:v>1875000</c:v>
                </c:pt>
                <c:pt idx="581">
                  <c:v>1880000</c:v>
                </c:pt>
                <c:pt idx="582">
                  <c:v>1885000</c:v>
                </c:pt>
                <c:pt idx="583">
                  <c:v>1890000</c:v>
                </c:pt>
                <c:pt idx="584">
                  <c:v>1895000</c:v>
                </c:pt>
                <c:pt idx="585">
                  <c:v>1900000</c:v>
                </c:pt>
                <c:pt idx="586">
                  <c:v>1905000</c:v>
                </c:pt>
                <c:pt idx="587">
                  <c:v>1910000</c:v>
                </c:pt>
                <c:pt idx="588">
                  <c:v>1915000</c:v>
                </c:pt>
                <c:pt idx="589">
                  <c:v>1920000</c:v>
                </c:pt>
                <c:pt idx="590">
                  <c:v>1925000</c:v>
                </c:pt>
                <c:pt idx="591">
                  <c:v>1930000</c:v>
                </c:pt>
                <c:pt idx="592">
                  <c:v>1935000</c:v>
                </c:pt>
                <c:pt idx="593">
                  <c:v>1940000</c:v>
                </c:pt>
                <c:pt idx="594">
                  <c:v>1945000</c:v>
                </c:pt>
                <c:pt idx="595">
                  <c:v>1950000</c:v>
                </c:pt>
                <c:pt idx="596">
                  <c:v>1955000</c:v>
                </c:pt>
                <c:pt idx="597">
                  <c:v>1960000</c:v>
                </c:pt>
                <c:pt idx="598">
                  <c:v>1965000</c:v>
                </c:pt>
                <c:pt idx="599">
                  <c:v>1970000</c:v>
                </c:pt>
                <c:pt idx="600">
                  <c:v>1975000</c:v>
                </c:pt>
                <c:pt idx="601">
                  <c:v>1980000</c:v>
                </c:pt>
                <c:pt idx="602">
                  <c:v>1985000</c:v>
                </c:pt>
                <c:pt idx="603">
                  <c:v>1990000</c:v>
                </c:pt>
                <c:pt idx="604">
                  <c:v>1995000</c:v>
                </c:pt>
                <c:pt idx="605">
                  <c:v>2000000</c:v>
                </c:pt>
                <c:pt idx="606">
                  <c:v>2250000</c:v>
                </c:pt>
                <c:pt idx="607">
                  <c:v>2500000</c:v>
                </c:pt>
                <c:pt idx="608">
                  <c:v>2750000</c:v>
                </c:pt>
                <c:pt idx="609">
                  <c:v>3000000</c:v>
                </c:pt>
                <c:pt idx="610">
                  <c:v>3250000</c:v>
                </c:pt>
                <c:pt idx="611">
                  <c:v>3500000</c:v>
                </c:pt>
                <c:pt idx="612">
                  <c:v>3750000</c:v>
                </c:pt>
                <c:pt idx="613">
                  <c:v>4000000</c:v>
                </c:pt>
                <c:pt idx="614">
                  <c:v>4250000</c:v>
                </c:pt>
                <c:pt idx="615">
                  <c:v>4500000</c:v>
                </c:pt>
                <c:pt idx="616">
                  <c:v>4750000</c:v>
                </c:pt>
                <c:pt idx="617">
                  <c:v>5000000</c:v>
                </c:pt>
                <c:pt idx="618">
                  <c:v>5100000</c:v>
                </c:pt>
                <c:pt idx="619">
                  <c:v>5200000</c:v>
                </c:pt>
                <c:pt idx="620">
                  <c:v>5300000</c:v>
                </c:pt>
                <c:pt idx="621">
                  <c:v>5400000</c:v>
                </c:pt>
                <c:pt idx="622">
                  <c:v>5500000</c:v>
                </c:pt>
                <c:pt idx="623">
                  <c:v>5600000</c:v>
                </c:pt>
                <c:pt idx="624">
                  <c:v>5700000</c:v>
                </c:pt>
                <c:pt idx="625">
                  <c:v>5800000</c:v>
                </c:pt>
                <c:pt idx="626">
                  <c:v>5900000</c:v>
                </c:pt>
                <c:pt idx="627">
                  <c:v>6000000</c:v>
                </c:pt>
                <c:pt idx="628">
                  <c:v>6100000</c:v>
                </c:pt>
                <c:pt idx="629">
                  <c:v>6200000</c:v>
                </c:pt>
                <c:pt idx="630">
                  <c:v>6300000</c:v>
                </c:pt>
                <c:pt idx="631">
                  <c:v>6400000</c:v>
                </c:pt>
                <c:pt idx="632">
                  <c:v>6500000</c:v>
                </c:pt>
                <c:pt idx="633">
                  <c:v>6600000</c:v>
                </c:pt>
                <c:pt idx="634">
                  <c:v>6700000</c:v>
                </c:pt>
                <c:pt idx="635">
                  <c:v>6800000</c:v>
                </c:pt>
                <c:pt idx="636">
                  <c:v>6900000</c:v>
                </c:pt>
                <c:pt idx="637">
                  <c:v>7000000</c:v>
                </c:pt>
                <c:pt idx="638">
                  <c:v>7100000</c:v>
                </c:pt>
                <c:pt idx="639">
                  <c:v>7200000</c:v>
                </c:pt>
                <c:pt idx="640">
                  <c:v>7300000</c:v>
                </c:pt>
                <c:pt idx="641">
                  <c:v>7400000</c:v>
                </c:pt>
                <c:pt idx="642">
                  <c:v>7500000</c:v>
                </c:pt>
                <c:pt idx="643">
                  <c:v>7600000</c:v>
                </c:pt>
                <c:pt idx="644">
                  <c:v>7700000</c:v>
                </c:pt>
                <c:pt idx="645">
                  <c:v>7800000</c:v>
                </c:pt>
                <c:pt idx="646">
                  <c:v>7900000</c:v>
                </c:pt>
                <c:pt idx="647">
                  <c:v>8000000</c:v>
                </c:pt>
                <c:pt idx="648">
                  <c:v>8100000</c:v>
                </c:pt>
                <c:pt idx="649">
                  <c:v>8200000</c:v>
                </c:pt>
                <c:pt idx="650">
                  <c:v>8300000</c:v>
                </c:pt>
                <c:pt idx="651">
                  <c:v>8400000</c:v>
                </c:pt>
                <c:pt idx="652">
                  <c:v>8500000</c:v>
                </c:pt>
                <c:pt idx="653">
                  <c:v>8600000</c:v>
                </c:pt>
                <c:pt idx="654">
                  <c:v>8700000</c:v>
                </c:pt>
                <c:pt idx="655">
                  <c:v>8800000</c:v>
                </c:pt>
                <c:pt idx="656">
                  <c:v>8900000</c:v>
                </c:pt>
                <c:pt idx="657">
                  <c:v>9000000</c:v>
                </c:pt>
                <c:pt idx="658">
                  <c:v>9100000</c:v>
                </c:pt>
                <c:pt idx="659">
                  <c:v>9200000</c:v>
                </c:pt>
                <c:pt idx="660">
                  <c:v>9300000</c:v>
                </c:pt>
                <c:pt idx="661">
                  <c:v>9400000</c:v>
                </c:pt>
                <c:pt idx="662">
                  <c:v>9500000</c:v>
                </c:pt>
                <c:pt idx="663">
                  <c:v>9600000</c:v>
                </c:pt>
                <c:pt idx="664">
                  <c:v>9700000</c:v>
                </c:pt>
                <c:pt idx="665">
                  <c:v>9800000</c:v>
                </c:pt>
                <c:pt idx="666">
                  <c:v>9900000</c:v>
                </c:pt>
                <c:pt idx="667">
                  <c:v>10000000</c:v>
                </c:pt>
              </c:numCache>
            </c:numRef>
          </c:xVal>
          <c:yVal>
            <c:numRef>
              <c:f>'Bode Plots Calculations'!$BB$9:$BB$676</c:f>
              <c:numCache>
                <c:formatCode>General</c:formatCode>
                <c:ptCount val="668"/>
                <c:pt idx="0">
                  <c:v>46.976227887599258</c:v>
                </c:pt>
                <c:pt idx="1">
                  <c:v>41.022128512546196</c:v>
                </c:pt>
                <c:pt idx="2">
                  <c:v>37.512748115305492</c:v>
                </c:pt>
                <c:pt idx="3">
                  <c:v>35.018357996493272</c:v>
                </c:pt>
                <c:pt idx="4">
                  <c:v>33.082211187685424</c:v>
                </c:pt>
                <c:pt idx="5">
                  <c:v>31.49972600836303</c:v>
                </c:pt>
                <c:pt idx="6">
                  <c:v>30.161502472677828</c:v>
                </c:pt>
                <c:pt idx="7">
                  <c:v>29.002151526548946</c:v>
                </c:pt>
                <c:pt idx="8">
                  <c:v>27.979461926006799</c:v>
                </c:pt>
                <c:pt idx="9">
                  <c:v>27.064596980981218</c:v>
                </c:pt>
                <c:pt idx="10">
                  <c:v>21.045843178641341</c:v>
                </c:pt>
                <c:pt idx="11">
                  <c:v>17.526096586868817</c:v>
                </c:pt>
                <c:pt idx="12">
                  <c:v>15.030099520141691</c:v>
                </c:pt>
                <c:pt idx="13">
                  <c:v>13.095432206590443</c:v>
                </c:pt>
                <c:pt idx="14">
                  <c:v>11.516107921409141</c:v>
                </c:pt>
                <c:pt idx="15">
                  <c:v>10.182243120403516</c:v>
                </c:pt>
                <c:pt idx="16">
                  <c:v>9.0282449666372777</c:v>
                </c:pt>
                <c:pt idx="17">
                  <c:v>8.0118030860151439</c:v>
                </c:pt>
                <c:pt idx="18">
                  <c:v>7.1040267718315757</c:v>
                </c:pt>
                <c:pt idx="19">
                  <c:v>1.1982643511105981</c:v>
                </c:pt>
                <c:pt idx="20">
                  <c:v>-2.138399156263163</c:v>
                </c:pt>
                <c:pt idx="21">
                  <c:v>-4.3899880645006863</c:v>
                </c:pt>
                <c:pt idx="22">
                  <c:v>-6.0288715268288318</c:v>
                </c:pt>
                <c:pt idx="23">
                  <c:v>-7.2714022971224423</c:v>
                </c:pt>
                <c:pt idx="24">
                  <c:v>-8.2373804166305078</c:v>
                </c:pt>
                <c:pt idx="25">
                  <c:v>-9.0012874851874081</c:v>
                </c:pt>
                <c:pt idx="26">
                  <c:v>-9.6130101433396895</c:v>
                </c:pt>
                <c:pt idx="27">
                  <c:v>-10.107643656516972</c:v>
                </c:pt>
                <c:pt idx="28">
                  <c:v>-11.525591422630516</c:v>
                </c:pt>
                <c:pt idx="29">
                  <c:v>-12.075139313381491</c:v>
                </c:pt>
                <c:pt idx="30">
                  <c:v>-12.262268778627096</c:v>
                </c:pt>
                <c:pt idx="31">
                  <c:v>-12.268686392989292</c:v>
                </c:pt>
                <c:pt idx="32">
                  <c:v>-12.171969094739969</c:v>
                </c:pt>
                <c:pt idx="33">
                  <c:v>-12.01047221522175</c:v>
                </c:pt>
                <c:pt idx="34">
                  <c:v>-11.805690024588857</c:v>
                </c:pt>
                <c:pt idx="35">
                  <c:v>-11.570975533348893</c:v>
                </c:pt>
                <c:pt idx="36">
                  <c:v>-11.315311720367031</c:v>
                </c:pt>
                <c:pt idx="37">
                  <c:v>-11.045098267150944</c:v>
                </c:pt>
                <c:pt idx="38">
                  <c:v>-10.765073679716519</c:v>
                </c:pt>
                <c:pt idx="39">
                  <c:v>-10.478832570197817</c:v>
                </c:pt>
                <c:pt idx="40">
                  <c:v>-10.189140136625403</c:v>
                </c:pt>
                <c:pt idx="41">
                  <c:v>-9.8981379072505842</c:v>
                </c:pt>
                <c:pt idx="42">
                  <c:v>-9.6074869289451605</c:v>
                </c:pt>
                <c:pt idx="43">
                  <c:v>-9.3184723111879837</c:v>
                </c:pt>
                <c:pt idx="44">
                  <c:v>-9.0320822391306539</c:v>
                </c:pt>
                <c:pt idx="45">
                  <c:v>-8.7490691140820367</c:v>
                </c:pt>
                <c:pt idx="46">
                  <c:v>-8.4699975986311244</c:v>
                </c:pt>
                <c:pt idx="47">
                  <c:v>-8.1952827422117664</c:v>
                </c:pt>
                <c:pt idx="48">
                  <c:v>-7.9252204191702793</c:v>
                </c:pt>
                <c:pt idx="49">
                  <c:v>-7.6600117190121697</c:v>
                </c:pt>
                <c:pt idx="50">
                  <c:v>-7.3997825329148768</c:v>
                </c:pt>
                <c:pt idx="51">
                  <c:v>-7.1445993016019695</c:v>
                </c:pt>
                <c:pt idx="52">
                  <c:v>-6.8944816841824625</c:v>
                </c:pt>
                <c:pt idx="53">
                  <c:v>-6.64941275133729</c:v>
                </c:pt>
                <c:pt idx="54">
                  <c:v>-6.4093471848868964</c:v>
                </c:pt>
                <c:pt idx="55">
                  <c:v>-6.1742178701958137</c:v>
                </c:pt>
                <c:pt idx="56">
                  <c:v>-5.9439411919369043</c:v>
                </c:pt>
                <c:pt idx="57">
                  <c:v>-5.7184212830959416</c:v>
                </c:pt>
                <c:pt idx="58">
                  <c:v>-5.497553428515527</c:v>
                </c:pt>
                <c:pt idx="59">
                  <c:v>-5.2812267852834172</c:v>
                </c:pt>
                <c:pt idx="60">
                  <c:v>-5.0693265509340666</c:v>
                </c:pt>
                <c:pt idx="61">
                  <c:v>-4.8617356852274334</c:v>
                </c:pt>
                <c:pt idx="62">
                  <c:v>-4.6583362709813283</c:v>
                </c:pt>
                <c:pt idx="63">
                  <c:v>-4.4590105830915769</c:v>
                </c:pt>
                <c:pt idx="64">
                  <c:v>-4.2636419217007733</c:v>
                </c:pt>
                <c:pt idx="65">
                  <c:v>-4.0721152548488169</c:v>
                </c:pt>
                <c:pt idx="66">
                  <c:v>-3.8843177073562787</c:v>
                </c:pt>
                <c:pt idx="67">
                  <c:v>-3.7001389257557666</c:v>
                </c:pt>
                <c:pt idx="68">
                  <c:v>-3.519471343474379</c:v>
                </c:pt>
                <c:pt idx="69">
                  <c:v>-3.3422103659255797</c:v>
                </c:pt>
                <c:pt idx="70">
                  <c:v>-3.1682544914838768</c:v>
                </c:pt>
                <c:pt idx="71">
                  <c:v>-2.9975053813251518</c:v>
                </c:pt>
                <c:pt idx="72">
                  <c:v>-2.8298678886856408</c:v>
                </c:pt>
                <c:pt idx="73">
                  <c:v>-2.6652500561165349</c:v>
                </c:pt>
                <c:pt idx="74">
                  <c:v>-2.503563087702561</c:v>
                </c:pt>
                <c:pt idx="75">
                  <c:v>-2.3447213019022137</c:v>
                </c:pt>
                <c:pt idx="76">
                  <c:v>-2.188642069598453</c:v>
                </c:pt>
                <c:pt idx="77">
                  <c:v>-2.035245741076575</c:v>
                </c:pt>
                <c:pt idx="78">
                  <c:v>-1.8844555649338812</c:v>
                </c:pt>
                <c:pt idx="79">
                  <c:v>-1.7361976013437566</c:v>
                </c:pt>
                <c:pt idx="80">
                  <c:v>-1.590400631621858</c:v>
                </c:pt>
                <c:pt idx="81">
                  <c:v>-1.4469960656531589</c:v>
                </c:pt>
                <c:pt idx="82">
                  <c:v>-1.3059178484215472</c:v>
                </c:pt>
                <c:pt idx="83">
                  <c:v>-1.1671023666239408</c:v>
                </c:pt>
                <c:pt idx="84">
                  <c:v>-1.030488356139589</c:v>
                </c:pt>
                <c:pt idx="85">
                  <c:v>-0.89601681095212937</c:v>
                </c:pt>
                <c:pt idx="86">
                  <c:v>-0.763630893981458</c:v>
                </c:pt>
                <c:pt idx="87">
                  <c:v>-0.63327585016806953</c:v>
                </c:pt>
                <c:pt idx="88">
                  <c:v>-0.50489892205951525</c:v>
                </c:pt>
                <c:pt idx="89">
                  <c:v>-0.37844926807352863</c:v>
                </c:pt>
                <c:pt idx="90">
                  <c:v>-0.25387788355178326</c:v>
                </c:pt>
                <c:pt idx="91">
                  <c:v>-0.13113752466958303</c:v>
                </c:pt>
                <c:pt idx="92">
                  <c:v>-1.0182635227758662E-2</c:v>
                </c:pt>
                <c:pt idx="93">
                  <c:v>0.10903072367743749</c:v>
                </c:pt>
                <c:pt idx="94">
                  <c:v>0.22654494113529652</c:v>
                </c:pt>
                <c:pt idx="95">
                  <c:v>0.34240092109969644</c:v>
                </c:pt>
                <c:pt idx="96">
                  <c:v>0.4566381443281991</c:v>
                </c:pt>
                <c:pt idx="97">
                  <c:v>0.56929472765378519</c:v>
                </c:pt>
                <c:pt idx="98">
                  <c:v>0.6804074806696726</c:v>
                </c:pt>
                <c:pt idx="99">
                  <c:v>0.79001195991315076</c:v>
                </c:pt>
                <c:pt idx="100">
                  <c:v>0.89814252063797828</c:v>
                </c:pt>
                <c:pt idx="101">
                  <c:v>1.0048323662667595</c:v>
                </c:pt>
                <c:pt idx="102">
                  <c:v>1.1101135956155164</c:v>
                </c:pt>
                <c:pt idx="103">
                  <c:v>1.2140172479825064</c:v>
                </c:pt>
                <c:pt idx="104">
                  <c:v>1.3165733461922178</c:v>
                </c:pt>
                <c:pt idx="105">
                  <c:v>1.4178109376839365</c:v>
                </c:pt>
                <c:pt idx="106">
                  <c:v>1.5177581337322101</c:v>
                </c:pt>
                <c:pt idx="107">
                  <c:v>1.6164421468839849</c:v>
                </c:pt>
                <c:pt idx="108">
                  <c:v>1.7138893266948272</c:v>
                </c:pt>
                <c:pt idx="109">
                  <c:v>1.8101251938434249</c:v>
                </c:pt>
                <c:pt idx="110">
                  <c:v>1.905174472700875</c:v>
                </c:pt>
                <c:pt idx="111">
                  <c:v>1.9990611224282053</c:v>
                </c:pt>
                <c:pt idx="112">
                  <c:v>2.0918083666724341</c:v>
                </c:pt>
                <c:pt idx="113">
                  <c:v>2.1834387219286091</c:v>
                </c:pt>
                <c:pt idx="114">
                  <c:v>2.2739740246321434</c:v>
                </c:pt>
                <c:pt idx="115">
                  <c:v>2.3634354570429621</c:v>
                </c:pt>
                <c:pt idx="116">
                  <c:v>2.4518435719799618</c:v>
                </c:pt>
                <c:pt idx="117">
                  <c:v>2.5392183164617337</c:v>
                </c:pt>
                <c:pt idx="118">
                  <c:v>2.6255790543065456</c:v>
                </c:pt>
                <c:pt idx="119">
                  <c:v>2.7109445877422629</c:v>
                </c:pt>
                <c:pt idx="120">
                  <c:v>2.7953331780741433</c:v>
                </c:pt>
                <c:pt idx="121">
                  <c:v>2.8787625654562814</c:v>
                </c:pt>
                <c:pt idx="122">
                  <c:v>2.9612499878100174</c:v>
                </c:pt>
                <c:pt idx="123">
                  <c:v>3.0428121989305712</c:v>
                </c:pt>
                <c:pt idx="124">
                  <c:v>3.123465485820951</c:v>
                </c:pt>
                <c:pt idx="125">
                  <c:v>3.2032256852903087</c:v>
                </c:pt>
                <c:pt idx="126">
                  <c:v>3.2821081998520221</c:v>
                </c:pt>
                <c:pt idx="127">
                  <c:v>3.3601280129548039</c:v>
                </c:pt>
                <c:pt idx="128">
                  <c:v>3.4372997035787805</c:v>
                </c:pt>
                <c:pt idx="129">
                  <c:v>3.5136374602263865</c:v>
                </c:pt>
                <c:pt idx="130">
                  <c:v>3.5891550943369319</c:v>
                </c:pt>
                <c:pt idx="131">
                  <c:v>3.6638660531516787</c:v>
                </c:pt>
                <c:pt idx="132">
                  <c:v>3.7377834320553527</c:v>
                </c:pt>
                <c:pt idx="133">
                  <c:v>3.8109199864183663</c:v>
                </c:pt>
                <c:pt idx="134">
                  <c:v>3.8832881429629813</c:v>
                </c:pt>
                <c:pt idx="135">
                  <c:v>3.9549000106753858</c:v>
                </c:pt>
                <c:pt idx="136">
                  <c:v>4.0257673912845489</c:v>
                </c:pt>
                <c:pt idx="137">
                  <c:v>4.0959017893276464</c:v>
                </c:pt>
                <c:pt idx="138">
                  <c:v>4.1653144218209297</c:v>
                </c:pt>
                <c:pt idx="139">
                  <c:v>4.2340162275538304</c:v>
                </c:pt>
                <c:pt idx="140">
                  <c:v>4.3020178760233057</c:v>
                </c:pt>
                <c:pt idx="141">
                  <c:v>4.3693297760245633</c:v>
                </c:pt>
                <c:pt idx="142">
                  <c:v>4.4359620839134308</c:v>
                </c:pt>
                <c:pt idx="143">
                  <c:v>4.5019247115549783</c:v>
                </c:pt>
                <c:pt idx="144">
                  <c:v>4.5672273339721796</c:v>
                </c:pt>
                <c:pt idx="145">
                  <c:v>4.6318793967078111</c:v>
                </c:pt>
                <c:pt idx="146">
                  <c:v>4.6958901229120702</c:v>
                </c:pt>
                <c:pt idx="147">
                  <c:v>4.7592685201677876</c:v>
                </c:pt>
                <c:pt idx="148">
                  <c:v>4.8220233870646192</c:v>
                </c:pt>
                <c:pt idx="149">
                  <c:v>4.8841633195329157</c:v>
                </c:pt>
                <c:pt idx="150">
                  <c:v>4.9456967169475279</c:v>
                </c:pt>
                <c:pt idx="151">
                  <c:v>5.0066317880113873</c:v>
                </c:pt>
                <c:pt idx="152">
                  <c:v>5.0669765564279956</c:v>
                </c:pt>
                <c:pt idx="153">
                  <c:v>5.1267388663718272</c:v>
                </c:pt>
                <c:pt idx="154">
                  <c:v>5.1859263877649999</c:v>
                </c:pt>
                <c:pt idx="155">
                  <c:v>5.2445466213682295</c:v>
                </c:pt>
                <c:pt idx="156">
                  <c:v>5.3026069036937304</c:v>
                </c:pt>
                <c:pt idx="157">
                  <c:v>5.3601144117474275</c:v>
                </c:pt>
                <c:pt idx="158">
                  <c:v>5.4170761676073411</c:v>
                </c:pt>
                <c:pt idx="159">
                  <c:v>5.473499042844808</c:v>
                </c:pt>
                <c:pt idx="160">
                  <c:v>5.5293897627949207</c:v>
                </c:pt>
                <c:pt idx="161">
                  <c:v>5.5847549106821468</c:v>
                </c:pt>
                <c:pt idx="162">
                  <c:v>5.6396009316069717</c:v>
                </c:pt>
                <c:pt idx="163">
                  <c:v>5.6939341363989735</c:v>
                </c:pt>
                <c:pt idx="164">
                  <c:v>5.7477607053416921</c:v>
                </c:pt>
                <c:pt idx="165">
                  <c:v>5.8010866917742252</c:v>
                </c:pt>
                <c:pt idx="166">
                  <c:v>5.8539180255743863</c:v>
                </c:pt>
                <c:pt idx="167">
                  <c:v>5.9062605165279809</c:v>
                </c:pt>
                <c:pt idx="168">
                  <c:v>5.9581198575886551</c:v>
                </c:pt>
                <c:pt idx="169">
                  <c:v>6.0095016280323499</c:v>
                </c:pt>
                <c:pt idx="170">
                  <c:v>6.0604112965105683</c:v>
                </c:pt>
                <c:pt idx="171">
                  <c:v>6.1108542240060508</c:v>
                </c:pt>
                <c:pt idx="172">
                  <c:v>6.1608356666947639</c:v>
                </c:pt>
                <c:pt idx="173">
                  <c:v>6.2103607787175008</c:v>
                </c:pt>
                <c:pt idx="174">
                  <c:v>6.2594346148645794</c:v>
                </c:pt>
                <c:pt idx="175">
                  <c:v>6.3080621331767794</c:v>
                </c:pt>
                <c:pt idx="176">
                  <c:v>6.3562481974656269</c:v>
                </c:pt>
                <c:pt idx="177">
                  <c:v>6.4039975797559574</c:v>
                </c:pt>
                <c:pt idx="178">
                  <c:v>6.4513149626535915</c:v>
                </c:pt>
                <c:pt idx="179">
                  <c:v>6.4982049416407905</c:v>
                </c:pt>
                <c:pt idx="180">
                  <c:v>6.5446720273021555</c:v>
                </c:pt>
                <c:pt idx="181">
                  <c:v>6.5907206474833284</c:v>
                </c:pt>
                <c:pt idx="182">
                  <c:v>6.6363551493850306</c:v>
                </c:pt>
                <c:pt idx="183">
                  <c:v>6.6815798015946095</c:v>
                </c:pt>
                <c:pt idx="184">
                  <c:v>6.726398796057298</c:v>
                </c:pt>
                <c:pt idx="185">
                  <c:v>6.7708162499893456</c:v>
                </c:pt>
                <c:pt idx="186">
                  <c:v>6.8148362077349773</c:v>
                </c:pt>
                <c:pt idx="187">
                  <c:v>6.8584626425691191</c:v>
                </c:pt>
                <c:pt idx="188">
                  <c:v>6.9016994584478253</c:v>
                </c:pt>
                <c:pt idx="189">
                  <c:v>6.9445504917080658</c:v>
                </c:pt>
                <c:pt idx="190">
                  <c:v>6.9870195127186907</c:v>
                </c:pt>
                <c:pt idx="191">
                  <c:v>7.0291102274841677</c:v>
                </c:pt>
                <c:pt idx="192">
                  <c:v>7.0708262792027039</c:v>
                </c:pt>
                <c:pt idx="193">
                  <c:v>7.1121712497802223</c:v>
                </c:pt>
                <c:pt idx="194">
                  <c:v>7.153148661301719</c:v>
                </c:pt>
                <c:pt idx="195">
                  <c:v>7.1937619774613637</c:v>
                </c:pt>
                <c:pt idx="196">
                  <c:v>7.2340146049526854</c:v>
                </c:pt>
                <c:pt idx="197">
                  <c:v>7.2739098948201741</c:v>
                </c:pt>
                <c:pt idx="198">
                  <c:v>7.3134511437735625</c:v>
                </c:pt>
                <c:pt idx="199">
                  <c:v>7.3526415954658928</c:v>
                </c:pt>
                <c:pt idx="200">
                  <c:v>7.3914844417366563</c:v>
                </c:pt>
                <c:pt idx="201">
                  <c:v>7.4299828238210441</c:v>
                </c:pt>
                <c:pt idx="202">
                  <c:v>7.4681398335263616</c:v>
                </c:pt>
                <c:pt idx="203">
                  <c:v>7.5059585143767249</c:v>
                </c:pt>
                <c:pt idx="204">
                  <c:v>7.5434418627269437</c:v>
                </c:pt>
                <c:pt idx="205">
                  <c:v>7.5805928288465863</c:v>
                </c:pt>
                <c:pt idx="206">
                  <c:v>7.617414317975185</c:v>
                </c:pt>
                <c:pt idx="207">
                  <c:v>7.6539091913493804</c:v>
                </c:pt>
                <c:pt idx="208">
                  <c:v>7.6900802672029851</c:v>
                </c:pt>
                <c:pt idx="209">
                  <c:v>7.7259303217406474</c:v>
                </c:pt>
                <c:pt idx="210">
                  <c:v>7.761462090086062</c:v>
                </c:pt>
                <c:pt idx="211">
                  <c:v>7.7966782672053832</c:v>
                </c:pt>
                <c:pt idx="212">
                  <c:v>7.8315815088066385</c:v>
                </c:pt>
                <c:pt idx="213">
                  <c:v>7.8661744322158196</c:v>
                </c:pt>
                <c:pt idx="214">
                  <c:v>7.9004596172303954</c:v>
                </c:pt>
                <c:pt idx="215">
                  <c:v>7.9344396069508658</c:v>
                </c:pt>
                <c:pt idx="216">
                  <c:v>7.9681169085910151</c:v>
                </c:pt>
                <c:pt idx="217">
                  <c:v>8.0014939942674701</c:v>
                </c:pt>
                <c:pt idx="218">
                  <c:v>8.0345733017692069</c:v>
                </c:pt>
                <c:pt idx="219">
                  <c:v>8.0673572353075365</c:v>
                </c:pt>
                <c:pt idx="220">
                  <c:v>8.0998481662471438</c:v>
                </c:pt>
                <c:pt idx="221">
                  <c:v>8.132048433818742</c:v>
                </c:pt>
                <c:pt idx="222">
                  <c:v>8.163960345813825</c:v>
                </c:pt>
                <c:pt idx="223">
                  <c:v>8.1955861792620492</c:v>
                </c:pt>
                <c:pt idx="224">
                  <c:v>8.2269281810917541</c:v>
                </c:pt>
                <c:pt idx="225">
                  <c:v>8.2579885687740102</c:v>
                </c:pt>
                <c:pt idx="226">
                  <c:v>8.5535716615054511</c:v>
                </c:pt>
                <c:pt idx="227">
                  <c:v>8.8232361598667488</c:v>
                </c:pt>
                <c:pt idx="228">
                  <c:v>9.0687988615053463</c:v>
                </c:pt>
                <c:pt idx="229">
                  <c:v>9.2918885353834586</c:v>
                </c:pt>
                <c:pt idx="230">
                  <c:v>9.4939793186988837</c:v>
                </c:pt>
                <c:pt idx="231">
                  <c:v>9.6764170637961939</c:v>
                </c:pt>
                <c:pt idx="232">
                  <c:v>9.8404401469609244</c:v>
                </c:pt>
                <c:pt idx="233">
                  <c:v>9.9871959001096862</c:v>
                </c:pt>
                <c:pt idx="234">
                  <c:v>10.117753570591217</c:v>
                </c:pt>
                <c:pt idx="235">
                  <c:v>10.233114524371912</c:v>
                </c:pt>
                <c:pt idx="236">
                  <c:v>10.334220264034148</c:v>
                </c:pt>
                <c:pt idx="237">
                  <c:v>10.421958721830327</c:v>
                </c:pt>
                <c:pt idx="238">
                  <c:v>10.497169200343997</c:v>
                </c:pt>
                <c:pt idx="239">
                  <c:v>10.560646262850732</c:v>
                </c:pt>
                <c:pt idx="240">
                  <c:v>10.613142817962579</c:v>
                </c:pt>
                <c:pt idx="241">
                  <c:v>10.655372595640213</c:v>
                </c:pt>
                <c:pt idx="242">
                  <c:v>10.688012172128944</c:v>
                </c:pt>
                <c:pt idx="243">
                  <c:v>10.711702668378631</c:v>
                </c:pt>
                <c:pt idx="244">
                  <c:v>10.727051218994166</c:v>
                </c:pt>
                <c:pt idx="245">
                  <c:v>10.734632285933124</c:v>
                </c:pt>
                <c:pt idx="246">
                  <c:v>10.734988872378606</c:v>
                </c:pt>
                <c:pt idx="247">
                  <c:v>10.728633676927309</c:v>
                </c:pt>
                <c:pt idx="248">
                  <c:v>10.716050215969638</c:v>
                </c:pt>
                <c:pt idx="249">
                  <c:v>10.69769393247288</c:v>
                </c:pt>
                <c:pt idx="250">
                  <c:v>10.673993301919303</c:v>
                </c:pt>
                <c:pt idx="251">
                  <c:v>10.645350940544223</c:v>
                </c:pt>
                <c:pt idx="252">
                  <c:v>10.612144716942844</c:v>
                </c:pt>
                <c:pt idx="253">
                  <c:v>10.574728865282381</c:v>
                </c:pt>
                <c:pt idx="254">
                  <c:v>10.533435096515088</c:v>
                </c:pt>
                <c:pt idx="255">
                  <c:v>10.48857370291984</c:v>
                </c:pt>
                <c:pt idx="256">
                  <c:v>10.440434650819018</c:v>
                </c:pt>
                <c:pt idx="257">
                  <c:v>10.389288656268633</c:v>
                </c:pt>
                <c:pt idx="258">
                  <c:v>10.335388238775645</c:v>
                </c:pt>
                <c:pt idx="259">
                  <c:v>10.278968748555418</c:v>
                </c:pt>
                <c:pt idx="260">
                  <c:v>10.220249363424578</c:v>
                </c:pt>
                <c:pt idx="261">
                  <c:v>10.159434052068255</c:v>
                </c:pt>
                <c:pt idx="262">
                  <c:v>10.096712501080871</c:v>
                </c:pt>
                <c:pt idx="263">
                  <c:v>10.032261003823448</c:v>
                </c:pt>
                <c:pt idx="264">
                  <c:v>9.9662433097452521</c:v>
                </c:pt>
                <c:pt idx="265">
                  <c:v>9.8988114333699979</c:v>
                </c:pt>
                <c:pt idx="266">
                  <c:v>9.8301064226381598</c:v>
                </c:pt>
                <c:pt idx="267">
                  <c:v>9.7602590867245169</c:v>
                </c:pt>
                <c:pt idx="268">
                  <c:v>9.6893906838141781</c:v>
                </c:pt>
                <c:pt idx="269">
                  <c:v>9.6176135696228062</c:v>
                </c:pt>
                <c:pt idx="270">
                  <c:v>9.5450318076930944</c:v>
                </c:pt>
                <c:pt idx="271">
                  <c:v>9.4717417426930517</c:v>
                </c:pt>
                <c:pt idx="272">
                  <c:v>9.3978325380896699</c:v>
                </c:pt>
                <c:pt idx="273">
                  <c:v>9.3233866796782667</c:v>
                </c:pt>
                <c:pt idx="274">
                  <c:v>9.2484804465194177</c:v>
                </c:pt>
                <c:pt idx="275">
                  <c:v>9.1731843508772393</c:v>
                </c:pt>
                <c:pt idx="276">
                  <c:v>9.0975635487690436</c:v>
                </c:pt>
                <c:pt idx="277">
                  <c:v>9.0216782227322785</c:v>
                </c:pt>
                <c:pt idx="278">
                  <c:v>8.9455839383932503</c:v>
                </c:pt>
                <c:pt idx="279">
                  <c:v>8.8693319763876186</c:v>
                </c:pt>
                <c:pt idx="280">
                  <c:v>8.7929696411374163</c:v>
                </c:pt>
                <c:pt idx="281">
                  <c:v>8.7165405479363098</c:v>
                </c:pt>
                <c:pt idx="282">
                  <c:v>8.640084889736201</c:v>
                </c:pt>
                <c:pt idx="283">
                  <c:v>8.5636396849653895</c:v>
                </c:pt>
                <c:pt idx="284">
                  <c:v>8.4872390076439146</c:v>
                </c:pt>
                <c:pt idx="285">
                  <c:v>8.4109142009951778</c:v>
                </c:pt>
                <c:pt idx="286">
                  <c:v>8.3346940756872545</c:v>
                </c:pt>
                <c:pt idx="287">
                  <c:v>8.2586050937714557</c:v>
                </c:pt>
                <c:pt idx="288">
                  <c:v>8.1826715393218858</c:v>
                </c:pt>
                <c:pt idx="289">
                  <c:v>8.1069156767174171</c:v>
                </c:pt>
                <c:pt idx="290">
                  <c:v>8.0313578974474495</c:v>
                </c:pt>
                <c:pt idx="291">
                  <c:v>7.9560168562652533</c:v>
                </c:pt>
                <c:pt idx="292">
                  <c:v>7.8809095974578831</c:v>
                </c:pt>
                <c:pt idx="293">
                  <c:v>7.8060516719492012</c:v>
                </c:pt>
                <c:pt idx="294">
                  <c:v>7.7314572459034174</c:v>
                </c:pt>
                <c:pt idx="295">
                  <c:v>7.6571392014496817</c:v>
                </c:pt>
                <c:pt idx="296">
                  <c:v>7.5831092301046557</c:v>
                </c:pt>
                <c:pt idx="297">
                  <c:v>7.5093779194284593</c:v>
                </c:pt>
                <c:pt idx="298">
                  <c:v>7.4359548334111389</c:v>
                </c:pt>
                <c:pt idx="299">
                  <c:v>7.3628485870505891</c:v>
                </c:pt>
                <c:pt idx="300">
                  <c:v>7.2900669155491729</c:v>
                </c:pt>
                <c:pt idx="301">
                  <c:v>7.217616738524959</c:v>
                </c:pt>
                <c:pt idx="302">
                  <c:v>7.1455042196043683</c:v>
                </c:pt>
                <c:pt idx="303">
                  <c:v>7.0737348217356724</c:v>
                </c:pt>
                <c:pt idx="304">
                  <c:v>7.0023133585378163</c:v>
                </c:pt>
                <c:pt idx="305">
                  <c:v>6.9312440419754529</c:v>
                </c:pt>
                <c:pt idx="306">
                  <c:v>6.8605305266294838</c:v>
                </c:pt>
                <c:pt idx="307">
                  <c:v>6.7901759508122108</c:v>
                </c:pt>
                <c:pt idx="308">
                  <c:v>6.7201829747576749</c:v>
                </c:pt>
                <c:pt idx="309">
                  <c:v>6.6505538161004623</c:v>
                </c:pt>
                <c:pt idx="310">
                  <c:v>6.5812902828402864</c:v>
                </c:pt>
                <c:pt idx="311">
                  <c:v>6.5123938039749705</c:v>
                </c:pt>
                <c:pt idx="312">
                  <c:v>6.4438654579707126</c:v>
                </c:pt>
                <c:pt idx="313">
                  <c:v>6.3757059992260876</c:v>
                </c:pt>
                <c:pt idx="314">
                  <c:v>6.3079158826742709</c:v>
                </c:pt>
                <c:pt idx="315">
                  <c:v>6.2404952866575494</c:v>
                </c:pt>
                <c:pt idx="316">
                  <c:v>6.1734441341979576</c:v>
                </c:pt>
                <c:pt idx="317">
                  <c:v>6.1067621127788119</c:v>
                </c:pt>
                <c:pt idx="318">
                  <c:v>6.0404486927434196</c:v>
                </c:pt>
                <c:pt idx="319">
                  <c:v>5.9745031444092476</c:v>
                </c:pt>
                <c:pt idx="320">
                  <c:v>5.9089245539887845</c:v>
                </c:pt>
                <c:pt idx="321">
                  <c:v>5.8437118384014735</c:v>
                </c:pt>
                <c:pt idx="322">
                  <c:v>5.7788637590549232</c:v>
                </c:pt>
                <c:pt idx="323">
                  <c:v>5.7143789346679803</c:v>
                </c:pt>
                <c:pt idx="324">
                  <c:v>5.6502558532027223</c:v>
                </c:pt>
                <c:pt idx="325">
                  <c:v>5.5864928829678773</c:v>
                </c:pt>
                <c:pt idx="326">
                  <c:v>5.5230882829512806</c:v>
                </c:pt>
                <c:pt idx="327">
                  <c:v>5.4600402124350929</c:v>
                </c:pt>
                <c:pt idx="328">
                  <c:v>5.3973467399435044</c:v>
                </c:pt>
                <c:pt idx="329">
                  <c:v>5.3350058515690346</c:v>
                </c:pt>
                <c:pt idx="330">
                  <c:v>5.2730154587203391</c:v>
                </c:pt>
                <c:pt idx="331">
                  <c:v>5.2113734053312868</c:v>
                </c:pt>
                <c:pt idx="332">
                  <c:v>5.1500774745682563</c:v>
                </c:pt>
                <c:pt idx="333">
                  <c:v>5.0891253950700177</c:v>
                </c:pt>
                <c:pt idx="334">
                  <c:v>5.0285148467520502</c:v>
                </c:pt>
                <c:pt idx="335">
                  <c:v>4.9682434662049797</c:v>
                </c:pt>
                <c:pt idx="336">
                  <c:v>4.9083088517146765</c:v>
                </c:pt>
                <c:pt idx="337">
                  <c:v>4.8487085679296964</c:v>
                </c:pt>
                <c:pt idx="338">
                  <c:v>4.7894401501998161</c:v>
                </c:pt>
                <c:pt idx="339">
                  <c:v>4.730501108607946</c:v>
                </c:pt>
                <c:pt idx="340">
                  <c:v>4.6718889317159906</c:v>
                </c:pt>
                <c:pt idx="341">
                  <c:v>4.6136010900438782</c:v>
                </c:pt>
                <c:pt idx="342">
                  <c:v>4.5556350392997222</c:v>
                </c:pt>
                <c:pt idx="343">
                  <c:v>4.4979882233776198</c:v>
                </c:pt>
                <c:pt idx="344">
                  <c:v>4.4406580771388224</c:v>
                </c:pt>
                <c:pt idx="345">
                  <c:v>4.3836420289905265</c:v>
                </c:pt>
                <c:pt idx="346">
                  <c:v>4.326937503275861</c:v>
                </c:pt>
                <c:pt idx="347">
                  <c:v>4.2705419224876877</c:v>
                </c:pt>
                <c:pt idx="348">
                  <c:v>4.2144527093177553</c:v>
                </c:pt>
                <c:pt idx="349">
                  <c:v>4.1586672885523468</c:v>
                </c:pt>
                <c:pt idx="350">
                  <c:v>4.1031830888243768</c:v>
                </c:pt>
                <c:pt idx="351">
                  <c:v>4.047997544231662</c:v>
                </c:pt>
                <c:pt idx="352">
                  <c:v>3.9931080958300336</c:v>
                </c:pt>
                <c:pt idx="353">
                  <c:v>3.9385121930097649</c:v>
                </c:pt>
                <c:pt idx="354">
                  <c:v>3.8842072947628452</c:v>
                </c:pt>
                <c:pt idx="355">
                  <c:v>3.8301908708484964</c:v>
                </c:pt>
                <c:pt idx="356">
                  <c:v>3.7764604028635231</c:v>
                </c:pt>
                <c:pt idx="357">
                  <c:v>3.7230133852239033</c:v>
                </c:pt>
                <c:pt idx="358">
                  <c:v>3.6698473260634286</c:v>
                </c:pt>
                <c:pt idx="359">
                  <c:v>3.6169597480549287</c:v>
                </c:pt>
                <c:pt idx="360">
                  <c:v>3.5643481891591726</c:v>
                </c:pt>
                <c:pt idx="361">
                  <c:v>3.512010203306311</c:v>
                </c:pt>
                <c:pt idx="362">
                  <c:v>3.4599433610143309</c:v>
                </c:pt>
                <c:pt idx="363">
                  <c:v>3.4081452499486291</c:v>
                </c:pt>
                <c:pt idx="364">
                  <c:v>3.3566134754267676</c:v>
                </c:pt>
                <c:pt idx="365">
                  <c:v>3.3053456608720038</c:v>
                </c:pt>
                <c:pt idx="366">
                  <c:v>3.2543394482190373</c:v>
                </c:pt>
                <c:pt idx="367">
                  <c:v>3.2035924982751891</c:v>
                </c:pt>
                <c:pt idx="368">
                  <c:v>3.1531024910400349</c:v>
                </c:pt>
                <c:pt idx="369">
                  <c:v>3.1028671259862906</c:v>
                </c:pt>
                <c:pt idx="370">
                  <c:v>3.0528841223045755</c:v>
                </c:pt>
                <c:pt idx="371">
                  <c:v>3.0031512191145495</c:v>
                </c:pt>
                <c:pt idx="372">
                  <c:v>2.9536661756447002</c:v>
                </c:pt>
                <c:pt idx="373">
                  <c:v>2.9044267713829504</c:v>
                </c:pt>
                <c:pt idx="374">
                  <c:v>2.8554308062001215</c:v>
                </c:pt>
                <c:pt idx="375">
                  <c:v>2.8066761004481018</c:v>
                </c:pt>
                <c:pt idx="376">
                  <c:v>2.7581604950345717</c:v>
                </c:pt>
                <c:pt idx="377">
                  <c:v>2.7098818514758771</c:v>
                </c:pt>
                <c:pt idx="378">
                  <c:v>2.661838051929601</c:v>
                </c:pt>
                <c:pt idx="379">
                  <c:v>2.6140269992083787</c:v>
                </c:pt>
                <c:pt idx="380">
                  <c:v>2.5664466167761981</c:v>
                </c:pt>
                <c:pt idx="381">
                  <c:v>2.5190948487285665</c:v>
                </c:pt>
                <c:pt idx="382">
                  <c:v>2.4719696597576815</c:v>
                </c:pt>
                <c:pt idx="383">
                  <c:v>2.4250690351037281</c:v>
                </c:pt>
                <c:pt idx="384">
                  <c:v>2.378390980493382</c:v>
                </c:pt>
                <c:pt idx="385">
                  <c:v>2.3319335220665094</c:v>
                </c:pt>
                <c:pt idx="386">
                  <c:v>2.2856947062919017</c:v>
                </c:pt>
                <c:pt idx="387">
                  <c:v>2.2396725998730069</c:v>
                </c:pt>
                <c:pt idx="388">
                  <c:v>2.1938652896444348</c:v>
                </c:pt>
                <c:pt idx="389">
                  <c:v>2.1482708824599253</c:v>
                </c:pt>
                <c:pt idx="390">
                  <c:v>2.1028875050725975</c:v>
                </c:pt>
                <c:pt idx="391">
                  <c:v>2.0577133040080557</c:v>
                </c:pt>
                <c:pt idx="392">
                  <c:v>2.0127464454310267</c:v>
                </c:pt>
                <c:pt idx="393">
                  <c:v>1.9679851150060439</c:v>
                </c:pt>
                <c:pt idx="394">
                  <c:v>1.923427517752816</c:v>
                </c:pt>
                <c:pt idx="395">
                  <c:v>1.8790718778967039</c:v>
                </c:pt>
                <c:pt idx="396">
                  <c:v>1.8349164387147776</c:v>
                </c:pt>
                <c:pt idx="397">
                  <c:v>1.7909594623780303</c:v>
                </c:pt>
                <c:pt idx="398">
                  <c:v>1.747199229789949</c:v>
                </c:pt>
                <c:pt idx="399">
                  <c:v>1.7036340404220272</c:v>
                </c:pt>
                <c:pt idx="400">
                  <c:v>1.6602622121464807</c:v>
                </c:pt>
                <c:pt idx="401">
                  <c:v>1.617082081066519</c:v>
                </c:pt>
                <c:pt idx="402">
                  <c:v>1.5740920013444815</c:v>
                </c:pt>
                <c:pt idx="403">
                  <c:v>1.5312903450282076</c:v>
                </c:pt>
                <c:pt idx="404">
                  <c:v>1.4886755018757933</c:v>
                </c:pt>
                <c:pt idx="405">
                  <c:v>1.446245879179092</c:v>
                </c:pt>
                <c:pt idx="406">
                  <c:v>1.4039999015861515</c:v>
                </c:pt>
                <c:pt idx="407">
                  <c:v>1.3619360109228382</c:v>
                </c:pt>
                <c:pt idx="408">
                  <c:v>1.3200526660138099</c:v>
                </c:pt>
                <c:pt idx="409">
                  <c:v>1.2783483425031155</c:v>
                </c:pt>
                <c:pt idx="410">
                  <c:v>1.2368215326744634</c:v>
                </c:pt>
                <c:pt idx="411">
                  <c:v>1.1954707452715383</c:v>
                </c:pt>
                <c:pt idx="412">
                  <c:v>1.1542945053182403</c:v>
                </c:pt>
                <c:pt idx="413">
                  <c:v>1.1132913539392713</c:v>
                </c:pt>
                <c:pt idx="414">
                  <c:v>1.0724598481810361</c:v>
                </c:pt>
                <c:pt idx="415">
                  <c:v>1.0317985608329741</c:v>
                </c:pt>
                <c:pt idx="416">
                  <c:v>0.99130608024958333</c:v>
                </c:pt>
                <c:pt idx="417">
                  <c:v>0.95098101017302739</c:v>
                </c:pt>
                <c:pt idx="418">
                  <c:v>0.91082196955663686</c:v>
                </c:pt>
                <c:pt idx="419">
                  <c:v>0.87082759238925955</c:v>
                </c:pt>
                <c:pt idx="420">
                  <c:v>0.8309965275205744</c:v>
                </c:pt>
                <c:pt idx="421">
                  <c:v>0.79132743848744747</c:v>
                </c:pt>
                <c:pt idx="422">
                  <c:v>0.75181900334143859</c:v>
                </c:pt>
                <c:pt idx="423">
                  <c:v>0.71246991447744989</c:v>
                </c:pt>
                <c:pt idx="424">
                  <c:v>0.67327887846366508</c:v>
                </c:pt>
                <c:pt idx="425">
                  <c:v>0.63424461587267944</c:v>
                </c:pt>
                <c:pt idx="426">
                  <c:v>0.59536586111411116</c:v>
                </c:pt>
                <c:pt idx="427">
                  <c:v>0.55664136226847716</c:v>
                </c:pt>
                <c:pt idx="428">
                  <c:v>0.51806988092253969</c:v>
                </c:pt>
                <c:pt idx="429">
                  <c:v>0.47965019200615572</c:v>
                </c:pt>
                <c:pt idx="430">
                  <c:v>0.44138108363050316</c:v>
                </c:pt>
                <c:pt idx="431">
                  <c:v>0.40326135692795484</c:v>
                </c:pt>
                <c:pt idx="432">
                  <c:v>0.36528982589340847</c:v>
                </c:pt>
                <c:pt idx="433">
                  <c:v>0.32746531722721561</c:v>
                </c:pt>
                <c:pt idx="434">
                  <c:v>0.28978667017968873</c:v>
                </c:pt>
                <c:pt idx="435">
                  <c:v>0.25225273639721901</c:v>
                </c:pt>
                <c:pt idx="436">
                  <c:v>0.214862379769997</c:v>
                </c:pt>
                <c:pt idx="437">
                  <c:v>0.17761447628134727</c:v>
                </c:pt>
                <c:pt idx="438">
                  <c:v>0.14050791385873546</c:v>
                </c:pt>
                <c:pt idx="439">
                  <c:v>0.10354159222637659</c:v>
                </c:pt>
                <c:pt idx="440">
                  <c:v>6.6714422759523551E-2</c:v>
                </c:pt>
                <c:pt idx="441">
                  <c:v>3.0025328340373393E-2</c:v>
                </c:pt>
                <c:pt idx="442">
                  <c:v>-6.5267567843441546E-3</c:v>
                </c:pt>
                <c:pt idx="443">
                  <c:v>-4.2942887144147353E-2</c:v>
                </c:pt>
                <c:pt idx="444">
                  <c:v>-7.9224106183911194E-2</c:v>
                </c:pt>
                <c:pt idx="445">
                  <c:v>-0.11537144640136751</c:v>
                </c:pt>
                <c:pt idx="446">
                  <c:v>-0.15138592948289087</c:v>
                </c:pt>
                <c:pt idx="447">
                  <c:v>-0.1872685664377351</c:v>
                </c:pt>
                <c:pt idx="448">
                  <c:v>-0.22302035773055148</c:v>
                </c:pt>
                <c:pt idx="449">
                  <c:v>-0.25864229341233563</c:v>
                </c:pt>
                <c:pt idx="450">
                  <c:v>-0.29413535324973794</c:v>
                </c:pt>
                <c:pt idx="451">
                  <c:v>-0.32950050685275573</c:v>
                </c:pt>
                <c:pt idx="452">
                  <c:v>-0.36473871380083456</c:v>
                </c:pt>
                <c:pt idx="453">
                  <c:v>-0.39985092376738496</c:v>
                </c:pt>
                <c:pt idx="454">
                  <c:v>-0.43483807664270963</c:v>
                </c:pt>
                <c:pt idx="455">
                  <c:v>-0.46970110265536924</c:v>
                </c:pt>
                <c:pt idx="456">
                  <c:v>-0.50444092249197237</c:v>
                </c:pt>
                <c:pt idx="457">
                  <c:v>-0.5390584474154787</c:v>
                </c:pt>
                <c:pt idx="458">
                  <c:v>-0.57355457938188603</c:v>
                </c:pt>
                <c:pt idx="459">
                  <c:v>-0.60793021115547652</c:v>
                </c:pt>
                <c:pt idx="460">
                  <c:v>-0.64218622642252288</c:v>
                </c:pt>
                <c:pt idx="461">
                  <c:v>-0.67632349990351881</c:v>
                </c:pt>
                <c:pt idx="462">
                  <c:v>-0.71034289746389934</c:v>
                </c:pt>
                <c:pt idx="463">
                  <c:v>-0.74424527622339243</c:v>
                </c:pt>
                <c:pt idx="464">
                  <c:v>-0.77803148466378502</c:v>
                </c:pt>
                <c:pt idx="465">
                  <c:v>-0.81170236273539642</c:v>
                </c:pt>
                <c:pt idx="466">
                  <c:v>-0.84525874196205875</c:v>
                </c:pt>
                <c:pt idx="467">
                  <c:v>-0.87870144554469887</c:v>
                </c:pt>
                <c:pt idx="468">
                  <c:v>-0.91203128846357173</c:v>
                </c:pt>
                <c:pt idx="469">
                  <c:v>-0.9452490775791017</c:v>
                </c:pt>
                <c:pt idx="470">
                  <c:v>-0.97835561173137497</c:v>
                </c:pt>
                <c:pt idx="471">
                  <c:v>-1.0113516818382913</c:v>
                </c:pt>
                <c:pt idx="472">
                  <c:v>-1.0442380709923929</c:v>
                </c:pt>
                <c:pt idx="473">
                  <c:v>-1.077015554556404</c:v>
                </c:pt>
                <c:pt idx="474">
                  <c:v>-1.1096849002574507</c:v>
                </c:pt>
                <c:pt idx="475">
                  <c:v>-1.1422468682800533</c:v>
                </c:pt>
                <c:pt idx="476">
                  <c:v>-1.174702211357789</c:v>
                </c:pt>
                <c:pt idx="477">
                  <c:v>-1.2070516748637756</c:v>
                </c:pt>
                <c:pt idx="478">
                  <c:v>-1.239295996899922</c:v>
                </c:pt>
                <c:pt idx="479">
                  <c:v>-1.2714359083849063</c:v>
                </c:pt>
                <c:pt idx="480">
                  <c:v>-1.3034721331410521</c:v>
                </c:pt>
                <c:pt idx="481">
                  <c:v>-1.3354053879799332</c:v>
                </c:pt>
                <c:pt idx="482">
                  <c:v>-1.3672363827868785</c:v>
                </c:pt>
                <c:pt idx="483">
                  <c:v>-1.3989658206042956</c:v>
                </c:pt>
                <c:pt idx="484">
                  <c:v>-1.4305943977138511</c:v>
                </c:pt>
                <c:pt idx="485">
                  <c:v>-1.4621228037175764</c:v>
                </c:pt>
                <c:pt idx="486">
                  <c:v>-1.4935517216178353</c:v>
                </c:pt>
                <c:pt idx="487">
                  <c:v>-1.5248818278961789</c:v>
                </c:pt>
                <c:pt idx="488">
                  <c:v>-1.5561137925911788</c:v>
                </c:pt>
                <c:pt idx="489">
                  <c:v>-1.5872482793751719</c:v>
                </c:pt>
                <c:pt idx="490">
                  <c:v>-1.6182859456299652</c:v>
                </c:pt>
                <c:pt idx="491">
                  <c:v>-1.6492274425214857</c:v>
                </c:pt>
                <c:pt idx="492">
                  <c:v>-1.6800734150734757</c:v>
                </c:pt>
                <c:pt idx="493">
                  <c:v>-1.7108245022400967</c:v>
                </c:pt>
                <c:pt idx="494">
                  <c:v>-1.7414813369776398</c:v>
                </c:pt>
                <c:pt idx="495">
                  <c:v>-1.7720445463151746</c:v>
                </c:pt>
                <c:pt idx="496">
                  <c:v>-1.8025147514242945</c:v>
                </c:pt>
                <c:pt idx="497">
                  <c:v>-1.8328925676879044</c:v>
                </c:pt>
                <c:pt idx="498">
                  <c:v>-1.8631786047680476</c:v>
                </c:pt>
                <c:pt idx="499">
                  <c:v>-1.8933734666728397</c:v>
                </c:pt>
                <c:pt idx="500">
                  <c:v>-1.923477751822475</c:v>
                </c:pt>
                <c:pt idx="501">
                  <c:v>-1.9534920531143745</c:v>
                </c:pt>
                <c:pt idx="502">
                  <c:v>-1.9834169579873773</c:v>
                </c:pt>
                <c:pt idx="503">
                  <c:v>-2.0132530484851654</c:v>
                </c:pt>
                <c:pt idx="504">
                  <c:v>-2.0430009013187251</c:v>
                </c:pt>
                <c:pt idx="505">
                  <c:v>-2.0726610879280578</c:v>
                </c:pt>
                <c:pt idx="506">
                  <c:v>-2.1022341745429705</c:v>
                </c:pt>
                <c:pt idx="507">
                  <c:v>-2.1317207222431285</c:v>
                </c:pt>
                <c:pt idx="508">
                  <c:v>-2.1611212870172385</c:v>
                </c:pt>
                <c:pt idx="509">
                  <c:v>-2.1904364198214537</c:v>
                </c:pt>
                <c:pt idx="510">
                  <c:v>-2.2196666666370168</c:v>
                </c:pt>
                <c:pt idx="511">
                  <c:v>-2.2488125685270868</c:v>
                </c:pt>
                <c:pt idx="512">
                  <c:v>-2.2778746616928331</c:v>
                </c:pt>
                <c:pt idx="513">
                  <c:v>-2.3068534775287546</c:v>
                </c:pt>
                <c:pt idx="514">
                  <c:v>-2.3357495426773136</c:v>
                </c:pt>
                <c:pt idx="515">
                  <c:v>-2.3645633790827314</c:v>
                </c:pt>
                <c:pt idx="516">
                  <c:v>-2.3932955040442057</c:v>
                </c:pt>
                <c:pt idx="517">
                  <c:v>-2.4219464302682669</c:v>
                </c:pt>
                <c:pt idx="518">
                  <c:v>-2.4505166659205662</c:v>
                </c:pt>
                <c:pt idx="519">
                  <c:v>-2.4790067146769199</c:v>
                </c:pt>
                <c:pt idx="520">
                  <c:v>-2.5074170757736356</c:v>
                </c:pt>
                <c:pt idx="521">
                  <c:v>-2.5357482440572685</c:v>
                </c:pt>
                <c:pt idx="522">
                  <c:v>-2.5640007100336049</c:v>
                </c:pt>
                <c:pt idx="523">
                  <c:v>-2.592174959916095</c:v>
                </c:pt>
                <c:pt idx="524">
                  <c:v>-2.620271475673579</c:v>
                </c:pt>
                <c:pt idx="525">
                  <c:v>-2.6482907350774192</c:v>
                </c:pt>
                <c:pt idx="526">
                  <c:v>-2.6762332117480119</c:v>
                </c:pt>
                <c:pt idx="527">
                  <c:v>-2.7040993752006406</c:v>
                </c:pt>
                <c:pt idx="528">
                  <c:v>-2.7318896908907906</c:v>
                </c:pt>
                <c:pt idx="529">
                  <c:v>-2.7596046202588309</c:v>
                </c:pt>
                <c:pt idx="530">
                  <c:v>-2.7872446207741133</c:v>
                </c:pt>
                <c:pt idx="531">
                  <c:v>-2.8148101459785053</c:v>
                </c:pt>
                <c:pt idx="532">
                  <c:v>-2.8423016455293419</c:v>
                </c:pt>
                <c:pt idx="533">
                  <c:v>-2.8697195652418395</c:v>
                </c:pt>
                <c:pt idx="534">
                  <c:v>-2.8970643471309159</c:v>
                </c:pt>
                <c:pt idx="535">
                  <c:v>-2.9243364294525307</c:v>
                </c:pt>
                <c:pt idx="536">
                  <c:v>-2.9515362467444053</c:v>
                </c:pt>
                <c:pt idx="537">
                  <c:v>-2.9786642298663022</c:v>
                </c:pt>
                <c:pt idx="538">
                  <c:v>-3.0057208060397005</c:v>
                </c:pt>
                <c:pt idx="539">
                  <c:v>-3.0327063988870488</c:v>
                </c:pt>
                <c:pt idx="540">
                  <c:v>-3.0596214284704111</c:v>
                </c:pt>
                <c:pt idx="541">
                  <c:v>-3.0864663113297128</c:v>
                </c:pt>
                <c:pt idx="542">
                  <c:v>-3.1132414605204057</c:v>
                </c:pt>
                <c:pt idx="543">
                  <c:v>-3.1399472856507331</c:v>
                </c:pt>
                <c:pt idx="544">
                  <c:v>-3.1665841929184508</c:v>
                </c:pt>
                <c:pt idx="545">
                  <c:v>-3.1931525851471063</c:v>
                </c:pt>
                <c:pt idx="546">
                  <c:v>-3.2196528618218681</c:v>
                </c:pt>
                <c:pt idx="547">
                  <c:v>-3.2460854191248711</c:v>
                </c:pt>
                <c:pt idx="548">
                  <c:v>-3.2724506499701222</c:v>
                </c:pt>
                <c:pt idx="549">
                  <c:v>-3.2987489440379729</c:v>
                </c:pt>
                <c:pt idx="550">
                  <c:v>-3.3249806878091426</c:v>
                </c:pt>
                <c:pt idx="551">
                  <c:v>-3.3511462645983232</c:v>
                </c:pt>
                <c:pt idx="552">
                  <c:v>-3.377246054587328</c:v>
                </c:pt>
                <c:pt idx="553">
                  <c:v>-3.4032804348578654</c:v>
                </c:pt>
                <c:pt idx="554">
                  <c:v>-3.4292497794238832</c:v>
                </c:pt>
                <c:pt idx="555">
                  <c:v>-3.4551544592634813</c:v>
                </c:pt>
                <c:pt idx="556">
                  <c:v>-3.4809948423504715</c:v>
                </c:pt>
                <c:pt idx="557">
                  <c:v>-3.5067712936854942</c:v>
                </c:pt>
                <c:pt idx="558">
                  <c:v>-3.5324841753267764</c:v>
                </c:pt>
                <c:pt idx="559">
                  <c:v>-3.5581338464205094</c:v>
                </c:pt>
                <c:pt idx="560">
                  <c:v>-3.5837206632308045</c:v>
                </c:pt>
                <c:pt idx="561">
                  <c:v>-3.6092449791693419</c:v>
                </c:pt>
                <c:pt idx="562">
                  <c:v>-3.6347071448246053</c:v>
                </c:pt>
                <c:pt idx="563">
                  <c:v>-3.6601075079907615</c:v>
                </c:pt>
                <c:pt idx="564">
                  <c:v>-3.6854464136961851</c:v>
                </c:pt>
                <c:pt idx="565">
                  <c:v>-3.7107242042316391</c:v>
                </c:pt>
                <c:pt idx="566">
                  <c:v>-3.7359412191781165</c:v>
                </c:pt>
                <c:pt idx="567">
                  <c:v>-3.7610977954342983</c:v>
                </c:pt>
                <c:pt idx="568">
                  <c:v>-3.7861942672437241</c:v>
                </c:pt>
                <c:pt idx="569">
                  <c:v>-3.8112309662216042</c:v>
                </c:pt>
                <c:pt idx="570">
                  <c:v>-3.836208221381292</c:v>
                </c:pt>
                <c:pt idx="571">
                  <c:v>-3.8611263591604676</c:v>
                </c:pt>
                <c:pt idx="572">
                  <c:v>-3.8859857034469747</c:v>
                </c:pt>
                <c:pt idx="573">
                  <c:v>-3.9107865756043605</c:v>
                </c:pt>
                <c:pt idx="574">
                  <c:v>-3.9355292944970759</c:v>
                </c:pt>
                <c:pt idx="575">
                  <c:v>-3.9602141765154202</c:v>
                </c:pt>
                <c:pt idx="576">
                  <c:v>-3.9848415356001325</c:v>
                </c:pt>
                <c:pt idx="577">
                  <c:v>-4.0094116832667179</c:v>
                </c:pt>
                <c:pt idx="578">
                  <c:v>-4.0339249286294736</c:v>
                </c:pt>
                <c:pt idx="579">
                  <c:v>-4.058381578425224</c:v>
                </c:pt>
                <c:pt idx="580">
                  <c:v>-4.0827819370367706</c:v>
                </c:pt>
                <c:pt idx="581">
                  <c:v>-4.1071263065160561</c:v>
                </c:pt>
                <c:pt idx="582">
                  <c:v>-4.1314149866070684</c:v>
                </c:pt>
                <c:pt idx="583">
                  <c:v>-4.1556482747684527</c:v>
                </c:pt>
                <c:pt idx="584">
                  <c:v>-4.1798264661958635</c:v>
                </c:pt>
                <c:pt idx="585">
                  <c:v>-4.203949853844045</c:v>
                </c:pt>
                <c:pt idx="586">
                  <c:v>-4.2280187284486646</c:v>
                </c:pt>
                <c:pt idx="587">
                  <c:v>-4.2520333785478588</c:v>
                </c:pt>
                <c:pt idx="588">
                  <c:v>-4.2759940905035645</c:v>
                </c:pt>
                <c:pt idx="589">
                  <c:v>-4.2999011485225589</c:v>
                </c:pt>
                <c:pt idx="590">
                  <c:v>-4.3237548346772865</c:v>
                </c:pt>
                <c:pt idx="591">
                  <c:v>-4.3475554289263876</c:v>
                </c:pt>
                <c:pt idx="592">
                  <c:v>-4.371303209135073</c:v>
                </c:pt>
                <c:pt idx="593">
                  <c:v>-4.3949984510951792</c:v>
                </c:pt>
                <c:pt idx="594">
                  <c:v>-4.4186414285450146</c:v>
                </c:pt>
                <c:pt idx="595">
                  <c:v>-4.4422324131890063</c:v>
                </c:pt>
                <c:pt idx="596">
                  <c:v>-4.465771674717061</c:v>
                </c:pt>
                <c:pt idx="597">
                  <c:v>-4.4892594808237511</c:v>
                </c:pt>
                <c:pt idx="598">
                  <c:v>-4.5126960972272547</c:v>
                </c:pt>
                <c:pt idx="599">
                  <c:v>-4.5360817876880786</c:v>
                </c:pt>
                <c:pt idx="600">
                  <c:v>-4.5594168140275562</c:v>
                </c:pt>
                <c:pt idx="601">
                  <c:v>-4.5827014361461611</c:v>
                </c:pt>
                <c:pt idx="602">
                  <c:v>-4.6059359120415886</c:v>
                </c:pt>
                <c:pt idx="603">
                  <c:v>-4.6291204978266078</c:v>
                </c:pt>
                <c:pt idx="604">
                  <c:v>-4.6522554477467724</c:v>
                </c:pt>
                <c:pt idx="605">
                  <c:v>-4.6753410141978522</c:v>
                </c:pt>
                <c:pt idx="606">
                  <c:v>-5.7717416623782594</c:v>
                </c:pt>
                <c:pt idx="607">
                  <c:v>-6.7710057650390283</c:v>
                </c:pt>
                <c:pt idx="608">
                  <c:v>-7.6922327427452899</c:v>
                </c:pt>
                <c:pt idx="609">
                  <c:v>-8.5495101302575893</c:v>
                </c:pt>
                <c:pt idx="610">
                  <c:v>-9.3534774306712709</c:v>
                </c:pt>
                <c:pt idx="611">
                  <c:v>-10.112330352559233</c:v>
                </c:pt>
                <c:pt idx="612">
                  <c:v>-10.832488906695035</c:v>
                </c:pt>
                <c:pt idx="613">
                  <c:v>-11.519055553849693</c:v>
                </c:pt>
                <c:pt idx="614">
                  <c:v>-12.17613766398026</c:v>
                </c:pt>
                <c:pt idx="615">
                  <c:v>-12.80707961269507</c:v>
                </c:pt>
                <c:pt idx="616">
                  <c:v>-13.41463309175362</c:v>
                </c:pt>
                <c:pt idx="617">
                  <c:v>-14.00108417904973</c:v>
                </c:pt>
                <c:pt idx="618">
                  <c:v>-14.22890420773742</c:v>
                </c:pt>
                <c:pt idx="619">
                  <c:v>-14.453775043860846</c:v>
                </c:pt>
                <c:pt idx="620">
                  <c:v>-14.675800910527105</c:v>
                </c:pt>
                <c:pt idx="621">
                  <c:v>-14.895079361982759</c:v>
                </c:pt>
                <c:pt idx="622">
                  <c:v>-15.11170183320708</c:v>
                </c:pt>
                <c:pt idx="623">
                  <c:v>-15.325754137394851</c:v>
                </c:pt>
                <c:pt idx="624">
                  <c:v>-15.537316916935275</c:v>
                </c:pt>
                <c:pt idx="625">
                  <c:v>-15.746466052805864</c:v>
                </c:pt>
                <c:pt idx="626">
                  <c:v>-15.953273036708509</c:v>
                </c:pt>
                <c:pt idx="627">
                  <c:v>-16.157805309763795</c:v>
                </c:pt>
                <c:pt idx="628">
                  <c:v>-16.360126571137151</c:v>
                </c:pt>
                <c:pt idx="629">
                  <c:v>-16.560297059585981</c:v>
                </c:pt>
                <c:pt idx="630">
                  <c:v>-16.758373810582263</c:v>
                </c:pt>
                <c:pt idx="631">
                  <c:v>-16.954410891372607</c:v>
                </c:pt>
                <c:pt idx="632">
                  <c:v>-17.148459616082036</c:v>
                </c:pt>
                <c:pt idx="633">
                  <c:v>-17.340568742742803</c:v>
                </c:pt>
                <c:pt idx="634">
                  <c:v>-17.530784653932137</c:v>
                </c:pt>
                <c:pt idx="635">
                  <c:v>-17.719151522528378</c:v>
                </c:pt>
                <c:pt idx="636">
                  <c:v>-17.905711463940854</c:v>
                </c:pt>
                <c:pt idx="637">
                  <c:v>-18.090504676032609</c:v>
                </c:pt>
                <c:pt idx="638">
                  <c:v>-18.273569567833665</c:v>
                </c:pt>
                <c:pt idx="639">
                  <c:v>-18.454942878035126</c:v>
                </c:pt>
                <c:pt idx="640">
                  <c:v>-18.634659784158238</c:v>
                </c:pt>
                <c:pt idx="641">
                  <c:v>-18.8127540032071</c:v>
                </c:pt>
                <c:pt idx="642">
                  <c:v>-18.989257884536919</c:v>
                </c:pt>
                <c:pt idx="643">
                  <c:v>-19.164202495601383</c:v>
                </c:pt>
                <c:pt idx="644">
                  <c:v>-19.337617701181109</c:v>
                </c:pt>
                <c:pt idx="645">
                  <c:v>-19.509532236639757</c:v>
                </c:pt>
                <c:pt idx="646">
                  <c:v>-19.679973775705115</c:v>
                </c:pt>
                <c:pt idx="647">
                  <c:v>-19.848968993227199</c:v>
                </c:pt>
                <c:pt idx="648">
                  <c:v>-20.016543623325433</c:v>
                </c:pt>
                <c:pt idx="649">
                  <c:v>-20.182722513300373</c:v>
                </c:pt>
                <c:pt idx="650">
                  <c:v>-20.347529673652378</c:v>
                </c:pt>
                <c:pt idx="651">
                  <c:v>-20.510988324520191</c:v>
                </c:pt>
                <c:pt idx="652">
                  <c:v>-20.673120938824731</c:v>
                </c:pt>
                <c:pt idx="653">
                  <c:v>-20.833949282379702</c:v>
                </c:pt>
                <c:pt idx="654">
                  <c:v>-20.993494451207514</c:v>
                </c:pt>
                <c:pt idx="655">
                  <c:v>-21.151776906279586</c:v>
                </c:pt>
                <c:pt idx="656">
                  <c:v>-21.308816505881097</c:v>
                </c:pt>
                <c:pt idx="657">
                  <c:v>-21.464632535783981</c:v>
                </c:pt>
                <c:pt idx="658">
                  <c:v>-21.619243737396374</c:v>
                </c:pt>
                <c:pt idx="659">
                  <c:v>-21.772668334043072</c:v>
                </c:pt>
                <c:pt idx="660">
                  <c:v>-21.924924055518773</c:v>
                </c:pt>
                <c:pt idx="661">
                  <c:v>-22.076028161044306</c:v>
                </c:pt>
                <c:pt idx="662">
                  <c:v>-22.225997460745614</c:v>
                </c:pt>
                <c:pt idx="663">
                  <c:v>-22.374848335765357</c:v>
                </c:pt>
                <c:pt idx="664">
                  <c:v>-22.522596757108388</c:v>
                </c:pt>
                <c:pt idx="665">
                  <c:v>-22.669258303314351</c:v>
                </c:pt>
                <c:pt idx="666">
                  <c:v>-22.814848177042812</c:v>
                </c:pt>
                <c:pt idx="667">
                  <c:v>-22.959381220650119</c:v>
                </c:pt>
              </c:numCache>
            </c:numRef>
          </c:yVal>
          <c:smooth val="1"/>
          <c:extLst>
            <c:ext xmlns:c16="http://schemas.microsoft.com/office/drawing/2014/chart" uri="{C3380CC4-5D6E-409C-BE32-E72D297353CC}">
              <c16:uniqueId val="{00000000-306B-4242-B253-B9A3B2188A5D}"/>
            </c:ext>
          </c:extLst>
        </c:ser>
        <c:dLbls>
          <c:showLegendKey val="0"/>
          <c:showVal val="0"/>
          <c:showCatName val="0"/>
          <c:showSerName val="0"/>
          <c:showPercent val="0"/>
          <c:showBubbleSize val="0"/>
        </c:dLbls>
        <c:axId val="177449216"/>
        <c:axId val="177463680"/>
      </c:scatterChart>
      <c:scatterChart>
        <c:scatterStyle val="lineMarker"/>
        <c:varyColors val="0"/>
        <c:ser>
          <c:idx val="3"/>
          <c:order val="1"/>
          <c:tx>
            <c:v>Actual Phase</c:v>
          </c:tx>
          <c:spPr>
            <a:ln w="38100">
              <a:solidFill>
                <a:srgbClr val="660066"/>
              </a:solidFill>
              <a:prstDash val="solid"/>
            </a:ln>
          </c:spPr>
          <c:marker>
            <c:symbol val="none"/>
          </c:marker>
          <c:xVal>
            <c:numRef>
              <c:f>'Bode Plots Calculations'!$A$9:$A$676</c:f>
              <c:numCache>
                <c:formatCode>General</c:formatCode>
                <c:ptCount val="668"/>
                <c:pt idx="0">
                  <c:v>1</c:v>
                </c:pt>
                <c:pt idx="1">
                  <c:v>2</c:v>
                </c:pt>
                <c:pt idx="2">
                  <c:v>3</c:v>
                </c:pt>
                <c:pt idx="3">
                  <c:v>4</c:v>
                </c:pt>
                <c:pt idx="4">
                  <c:v>5</c:v>
                </c:pt>
                <c:pt idx="5">
                  <c:v>6</c:v>
                </c:pt>
                <c:pt idx="6">
                  <c:v>7</c:v>
                </c:pt>
                <c:pt idx="7">
                  <c:v>8</c:v>
                </c:pt>
                <c:pt idx="8">
                  <c:v>9</c:v>
                </c:pt>
                <c:pt idx="9">
                  <c:v>10</c:v>
                </c:pt>
                <c:pt idx="10">
                  <c:v>20</c:v>
                </c:pt>
                <c:pt idx="11">
                  <c:v>30</c:v>
                </c:pt>
                <c:pt idx="12">
                  <c:v>40</c:v>
                </c:pt>
                <c:pt idx="13">
                  <c:v>50</c:v>
                </c:pt>
                <c:pt idx="14">
                  <c:v>60</c:v>
                </c:pt>
                <c:pt idx="15">
                  <c:v>70</c:v>
                </c:pt>
                <c:pt idx="16">
                  <c:v>80</c:v>
                </c:pt>
                <c:pt idx="17">
                  <c:v>90</c:v>
                </c:pt>
                <c:pt idx="18">
                  <c:v>100</c:v>
                </c:pt>
                <c:pt idx="19">
                  <c:v>200</c:v>
                </c:pt>
                <c:pt idx="20">
                  <c:v>300</c:v>
                </c:pt>
                <c:pt idx="21">
                  <c:v>400</c:v>
                </c:pt>
                <c:pt idx="22">
                  <c:v>500</c:v>
                </c:pt>
                <c:pt idx="23">
                  <c:v>600</c:v>
                </c:pt>
                <c:pt idx="24">
                  <c:v>700</c:v>
                </c:pt>
                <c:pt idx="25">
                  <c:v>800</c:v>
                </c:pt>
                <c:pt idx="26">
                  <c:v>900</c:v>
                </c:pt>
                <c:pt idx="27">
                  <c:v>1000</c:v>
                </c:pt>
                <c:pt idx="28">
                  <c:v>1500</c:v>
                </c:pt>
                <c:pt idx="29">
                  <c:v>2000</c:v>
                </c:pt>
                <c:pt idx="30">
                  <c:v>2500</c:v>
                </c:pt>
                <c:pt idx="31">
                  <c:v>3000</c:v>
                </c:pt>
                <c:pt idx="32">
                  <c:v>3500</c:v>
                </c:pt>
                <c:pt idx="33">
                  <c:v>4000</c:v>
                </c:pt>
                <c:pt idx="34">
                  <c:v>4500</c:v>
                </c:pt>
                <c:pt idx="35">
                  <c:v>5000</c:v>
                </c:pt>
                <c:pt idx="36">
                  <c:v>5500</c:v>
                </c:pt>
                <c:pt idx="37">
                  <c:v>6000</c:v>
                </c:pt>
                <c:pt idx="38">
                  <c:v>6500</c:v>
                </c:pt>
                <c:pt idx="39">
                  <c:v>7000</c:v>
                </c:pt>
                <c:pt idx="40">
                  <c:v>7500</c:v>
                </c:pt>
                <c:pt idx="41">
                  <c:v>8000</c:v>
                </c:pt>
                <c:pt idx="42">
                  <c:v>8500</c:v>
                </c:pt>
                <c:pt idx="43">
                  <c:v>9000</c:v>
                </c:pt>
                <c:pt idx="44">
                  <c:v>9500</c:v>
                </c:pt>
                <c:pt idx="45">
                  <c:v>10000</c:v>
                </c:pt>
                <c:pt idx="46">
                  <c:v>10500</c:v>
                </c:pt>
                <c:pt idx="47">
                  <c:v>11000</c:v>
                </c:pt>
                <c:pt idx="48">
                  <c:v>11500</c:v>
                </c:pt>
                <c:pt idx="49">
                  <c:v>12000</c:v>
                </c:pt>
                <c:pt idx="50">
                  <c:v>12500</c:v>
                </c:pt>
                <c:pt idx="51">
                  <c:v>13000</c:v>
                </c:pt>
                <c:pt idx="52">
                  <c:v>13500</c:v>
                </c:pt>
                <c:pt idx="53">
                  <c:v>14000</c:v>
                </c:pt>
                <c:pt idx="54">
                  <c:v>14500</c:v>
                </c:pt>
                <c:pt idx="55">
                  <c:v>15000</c:v>
                </c:pt>
                <c:pt idx="56">
                  <c:v>15500</c:v>
                </c:pt>
                <c:pt idx="57">
                  <c:v>16000</c:v>
                </c:pt>
                <c:pt idx="58">
                  <c:v>16500</c:v>
                </c:pt>
                <c:pt idx="59">
                  <c:v>17000</c:v>
                </c:pt>
                <c:pt idx="60">
                  <c:v>17500</c:v>
                </c:pt>
                <c:pt idx="61">
                  <c:v>18000</c:v>
                </c:pt>
                <c:pt idx="62">
                  <c:v>18500</c:v>
                </c:pt>
                <c:pt idx="63">
                  <c:v>19000</c:v>
                </c:pt>
                <c:pt idx="64">
                  <c:v>19500</c:v>
                </c:pt>
                <c:pt idx="65">
                  <c:v>20000</c:v>
                </c:pt>
                <c:pt idx="66">
                  <c:v>20500</c:v>
                </c:pt>
                <c:pt idx="67">
                  <c:v>21000</c:v>
                </c:pt>
                <c:pt idx="68">
                  <c:v>21500</c:v>
                </c:pt>
                <c:pt idx="69">
                  <c:v>22000</c:v>
                </c:pt>
                <c:pt idx="70">
                  <c:v>22500</c:v>
                </c:pt>
                <c:pt idx="71">
                  <c:v>23000</c:v>
                </c:pt>
                <c:pt idx="72">
                  <c:v>23500</c:v>
                </c:pt>
                <c:pt idx="73">
                  <c:v>24000</c:v>
                </c:pt>
                <c:pt idx="74">
                  <c:v>24500</c:v>
                </c:pt>
                <c:pt idx="75">
                  <c:v>25000</c:v>
                </c:pt>
                <c:pt idx="76">
                  <c:v>25500</c:v>
                </c:pt>
                <c:pt idx="77">
                  <c:v>26000</c:v>
                </c:pt>
                <c:pt idx="78">
                  <c:v>26500</c:v>
                </c:pt>
                <c:pt idx="79">
                  <c:v>27000</c:v>
                </c:pt>
                <c:pt idx="80">
                  <c:v>27500</c:v>
                </c:pt>
                <c:pt idx="81">
                  <c:v>28000</c:v>
                </c:pt>
                <c:pt idx="82">
                  <c:v>28500</c:v>
                </c:pt>
                <c:pt idx="83">
                  <c:v>29000</c:v>
                </c:pt>
                <c:pt idx="84">
                  <c:v>29500</c:v>
                </c:pt>
                <c:pt idx="85">
                  <c:v>30000</c:v>
                </c:pt>
                <c:pt idx="86">
                  <c:v>30500</c:v>
                </c:pt>
                <c:pt idx="87">
                  <c:v>31000</c:v>
                </c:pt>
                <c:pt idx="88">
                  <c:v>31500</c:v>
                </c:pt>
                <c:pt idx="89">
                  <c:v>32000</c:v>
                </c:pt>
                <c:pt idx="90">
                  <c:v>32500</c:v>
                </c:pt>
                <c:pt idx="91">
                  <c:v>33000</c:v>
                </c:pt>
                <c:pt idx="92">
                  <c:v>33500</c:v>
                </c:pt>
                <c:pt idx="93">
                  <c:v>34000</c:v>
                </c:pt>
                <c:pt idx="94">
                  <c:v>34500</c:v>
                </c:pt>
                <c:pt idx="95">
                  <c:v>35000</c:v>
                </c:pt>
                <c:pt idx="96">
                  <c:v>35500</c:v>
                </c:pt>
                <c:pt idx="97">
                  <c:v>36000</c:v>
                </c:pt>
                <c:pt idx="98">
                  <c:v>36500</c:v>
                </c:pt>
                <c:pt idx="99">
                  <c:v>37000</c:v>
                </c:pt>
                <c:pt idx="100">
                  <c:v>37500</c:v>
                </c:pt>
                <c:pt idx="101">
                  <c:v>38000</c:v>
                </c:pt>
                <c:pt idx="102">
                  <c:v>38500</c:v>
                </c:pt>
                <c:pt idx="103">
                  <c:v>39000</c:v>
                </c:pt>
                <c:pt idx="104">
                  <c:v>39500</c:v>
                </c:pt>
                <c:pt idx="105">
                  <c:v>40000</c:v>
                </c:pt>
                <c:pt idx="106">
                  <c:v>40500</c:v>
                </c:pt>
                <c:pt idx="107">
                  <c:v>41000</c:v>
                </c:pt>
                <c:pt idx="108">
                  <c:v>41500</c:v>
                </c:pt>
                <c:pt idx="109">
                  <c:v>42000</c:v>
                </c:pt>
                <c:pt idx="110">
                  <c:v>42500</c:v>
                </c:pt>
                <c:pt idx="111">
                  <c:v>43000</c:v>
                </c:pt>
                <c:pt idx="112">
                  <c:v>43500</c:v>
                </c:pt>
                <c:pt idx="113">
                  <c:v>44000</c:v>
                </c:pt>
                <c:pt idx="114">
                  <c:v>44500</c:v>
                </c:pt>
                <c:pt idx="115">
                  <c:v>45000</c:v>
                </c:pt>
                <c:pt idx="116">
                  <c:v>45500</c:v>
                </c:pt>
                <c:pt idx="117">
                  <c:v>46000</c:v>
                </c:pt>
                <c:pt idx="118">
                  <c:v>46500</c:v>
                </c:pt>
                <c:pt idx="119">
                  <c:v>47000</c:v>
                </c:pt>
                <c:pt idx="120">
                  <c:v>47500</c:v>
                </c:pt>
                <c:pt idx="121">
                  <c:v>48000</c:v>
                </c:pt>
                <c:pt idx="122">
                  <c:v>48500</c:v>
                </c:pt>
                <c:pt idx="123">
                  <c:v>49000</c:v>
                </c:pt>
                <c:pt idx="124">
                  <c:v>49500</c:v>
                </c:pt>
                <c:pt idx="125">
                  <c:v>50000</c:v>
                </c:pt>
                <c:pt idx="126">
                  <c:v>50500</c:v>
                </c:pt>
                <c:pt idx="127">
                  <c:v>51000</c:v>
                </c:pt>
                <c:pt idx="128">
                  <c:v>51500</c:v>
                </c:pt>
                <c:pt idx="129">
                  <c:v>52000</c:v>
                </c:pt>
                <c:pt idx="130">
                  <c:v>52500</c:v>
                </c:pt>
                <c:pt idx="131">
                  <c:v>53000</c:v>
                </c:pt>
                <c:pt idx="132">
                  <c:v>53500</c:v>
                </c:pt>
                <c:pt idx="133">
                  <c:v>54000</c:v>
                </c:pt>
                <c:pt idx="134">
                  <c:v>54500</c:v>
                </c:pt>
                <c:pt idx="135">
                  <c:v>55000</c:v>
                </c:pt>
                <c:pt idx="136">
                  <c:v>55500</c:v>
                </c:pt>
                <c:pt idx="137">
                  <c:v>56000</c:v>
                </c:pt>
                <c:pt idx="138">
                  <c:v>56500</c:v>
                </c:pt>
                <c:pt idx="139">
                  <c:v>57000</c:v>
                </c:pt>
                <c:pt idx="140">
                  <c:v>57500</c:v>
                </c:pt>
                <c:pt idx="141">
                  <c:v>58000</c:v>
                </c:pt>
                <c:pt idx="142">
                  <c:v>58500</c:v>
                </c:pt>
                <c:pt idx="143">
                  <c:v>59000</c:v>
                </c:pt>
                <c:pt idx="144">
                  <c:v>59500</c:v>
                </c:pt>
                <c:pt idx="145">
                  <c:v>60000</c:v>
                </c:pt>
                <c:pt idx="146">
                  <c:v>60500</c:v>
                </c:pt>
                <c:pt idx="147">
                  <c:v>61000</c:v>
                </c:pt>
                <c:pt idx="148">
                  <c:v>61500</c:v>
                </c:pt>
                <c:pt idx="149">
                  <c:v>62000</c:v>
                </c:pt>
                <c:pt idx="150">
                  <c:v>62500</c:v>
                </c:pt>
                <c:pt idx="151">
                  <c:v>63000</c:v>
                </c:pt>
                <c:pt idx="152">
                  <c:v>63500</c:v>
                </c:pt>
                <c:pt idx="153">
                  <c:v>64000</c:v>
                </c:pt>
                <c:pt idx="154">
                  <c:v>64500</c:v>
                </c:pt>
                <c:pt idx="155">
                  <c:v>65000</c:v>
                </c:pt>
                <c:pt idx="156">
                  <c:v>65500</c:v>
                </c:pt>
                <c:pt idx="157">
                  <c:v>66000</c:v>
                </c:pt>
                <c:pt idx="158">
                  <c:v>66500</c:v>
                </c:pt>
                <c:pt idx="159">
                  <c:v>67000</c:v>
                </c:pt>
                <c:pt idx="160">
                  <c:v>67500</c:v>
                </c:pt>
                <c:pt idx="161">
                  <c:v>68000</c:v>
                </c:pt>
                <c:pt idx="162">
                  <c:v>68500</c:v>
                </c:pt>
                <c:pt idx="163">
                  <c:v>69000</c:v>
                </c:pt>
                <c:pt idx="164">
                  <c:v>69500</c:v>
                </c:pt>
                <c:pt idx="165">
                  <c:v>70000</c:v>
                </c:pt>
                <c:pt idx="166">
                  <c:v>70500</c:v>
                </c:pt>
                <c:pt idx="167">
                  <c:v>71000</c:v>
                </c:pt>
                <c:pt idx="168">
                  <c:v>71500</c:v>
                </c:pt>
                <c:pt idx="169">
                  <c:v>72000</c:v>
                </c:pt>
                <c:pt idx="170">
                  <c:v>72500</c:v>
                </c:pt>
                <c:pt idx="171">
                  <c:v>73000</c:v>
                </c:pt>
                <c:pt idx="172">
                  <c:v>73500</c:v>
                </c:pt>
                <c:pt idx="173">
                  <c:v>74000</c:v>
                </c:pt>
                <c:pt idx="174">
                  <c:v>74500</c:v>
                </c:pt>
                <c:pt idx="175">
                  <c:v>75000</c:v>
                </c:pt>
                <c:pt idx="176">
                  <c:v>75500</c:v>
                </c:pt>
                <c:pt idx="177">
                  <c:v>76000</c:v>
                </c:pt>
                <c:pt idx="178">
                  <c:v>76500</c:v>
                </c:pt>
                <c:pt idx="179">
                  <c:v>77000</c:v>
                </c:pt>
                <c:pt idx="180">
                  <c:v>77500</c:v>
                </c:pt>
                <c:pt idx="181">
                  <c:v>78000</c:v>
                </c:pt>
                <c:pt idx="182">
                  <c:v>78500</c:v>
                </c:pt>
                <c:pt idx="183">
                  <c:v>79000</c:v>
                </c:pt>
                <c:pt idx="184">
                  <c:v>79500</c:v>
                </c:pt>
                <c:pt idx="185">
                  <c:v>80000</c:v>
                </c:pt>
                <c:pt idx="186">
                  <c:v>80500</c:v>
                </c:pt>
                <c:pt idx="187">
                  <c:v>81000</c:v>
                </c:pt>
                <c:pt idx="188">
                  <c:v>81500</c:v>
                </c:pt>
                <c:pt idx="189">
                  <c:v>82000</c:v>
                </c:pt>
                <c:pt idx="190">
                  <c:v>82500</c:v>
                </c:pt>
                <c:pt idx="191">
                  <c:v>83000</c:v>
                </c:pt>
                <c:pt idx="192">
                  <c:v>83500</c:v>
                </c:pt>
                <c:pt idx="193">
                  <c:v>84000</c:v>
                </c:pt>
                <c:pt idx="194">
                  <c:v>84500</c:v>
                </c:pt>
                <c:pt idx="195">
                  <c:v>85000</c:v>
                </c:pt>
                <c:pt idx="196">
                  <c:v>85500</c:v>
                </c:pt>
                <c:pt idx="197">
                  <c:v>86000</c:v>
                </c:pt>
                <c:pt idx="198">
                  <c:v>86500</c:v>
                </c:pt>
                <c:pt idx="199">
                  <c:v>87000</c:v>
                </c:pt>
                <c:pt idx="200">
                  <c:v>87500</c:v>
                </c:pt>
                <c:pt idx="201">
                  <c:v>88000</c:v>
                </c:pt>
                <c:pt idx="202">
                  <c:v>88500</c:v>
                </c:pt>
                <c:pt idx="203">
                  <c:v>89000</c:v>
                </c:pt>
                <c:pt idx="204">
                  <c:v>89500</c:v>
                </c:pt>
                <c:pt idx="205">
                  <c:v>90000</c:v>
                </c:pt>
                <c:pt idx="206">
                  <c:v>90500</c:v>
                </c:pt>
                <c:pt idx="207">
                  <c:v>91000</c:v>
                </c:pt>
                <c:pt idx="208">
                  <c:v>91500</c:v>
                </c:pt>
                <c:pt idx="209">
                  <c:v>92000</c:v>
                </c:pt>
                <c:pt idx="210">
                  <c:v>92500</c:v>
                </c:pt>
                <c:pt idx="211">
                  <c:v>93000</c:v>
                </c:pt>
                <c:pt idx="212">
                  <c:v>93500</c:v>
                </c:pt>
                <c:pt idx="213">
                  <c:v>94000</c:v>
                </c:pt>
                <c:pt idx="214">
                  <c:v>94500</c:v>
                </c:pt>
                <c:pt idx="215">
                  <c:v>95000</c:v>
                </c:pt>
                <c:pt idx="216">
                  <c:v>95500</c:v>
                </c:pt>
                <c:pt idx="217">
                  <c:v>96000</c:v>
                </c:pt>
                <c:pt idx="218">
                  <c:v>96500</c:v>
                </c:pt>
                <c:pt idx="219">
                  <c:v>97000</c:v>
                </c:pt>
                <c:pt idx="220">
                  <c:v>97500</c:v>
                </c:pt>
                <c:pt idx="221">
                  <c:v>98000</c:v>
                </c:pt>
                <c:pt idx="222">
                  <c:v>98500</c:v>
                </c:pt>
                <c:pt idx="223">
                  <c:v>99000</c:v>
                </c:pt>
                <c:pt idx="224">
                  <c:v>99500</c:v>
                </c:pt>
                <c:pt idx="225">
                  <c:v>100000</c:v>
                </c:pt>
                <c:pt idx="226">
                  <c:v>105000</c:v>
                </c:pt>
                <c:pt idx="227">
                  <c:v>110000</c:v>
                </c:pt>
                <c:pt idx="228">
                  <c:v>115000</c:v>
                </c:pt>
                <c:pt idx="229">
                  <c:v>120000</c:v>
                </c:pt>
                <c:pt idx="230">
                  <c:v>125000</c:v>
                </c:pt>
                <c:pt idx="231">
                  <c:v>130000</c:v>
                </c:pt>
                <c:pt idx="232">
                  <c:v>135000</c:v>
                </c:pt>
                <c:pt idx="233">
                  <c:v>140000</c:v>
                </c:pt>
                <c:pt idx="234">
                  <c:v>145000</c:v>
                </c:pt>
                <c:pt idx="235">
                  <c:v>150000</c:v>
                </c:pt>
                <c:pt idx="236">
                  <c:v>155000</c:v>
                </c:pt>
                <c:pt idx="237">
                  <c:v>160000</c:v>
                </c:pt>
                <c:pt idx="238">
                  <c:v>165000</c:v>
                </c:pt>
                <c:pt idx="239">
                  <c:v>170000</c:v>
                </c:pt>
                <c:pt idx="240">
                  <c:v>175000</c:v>
                </c:pt>
                <c:pt idx="241">
                  <c:v>180000</c:v>
                </c:pt>
                <c:pt idx="242">
                  <c:v>185000</c:v>
                </c:pt>
                <c:pt idx="243">
                  <c:v>190000</c:v>
                </c:pt>
                <c:pt idx="244">
                  <c:v>195000</c:v>
                </c:pt>
                <c:pt idx="245">
                  <c:v>200000</c:v>
                </c:pt>
                <c:pt idx="246">
                  <c:v>205000</c:v>
                </c:pt>
                <c:pt idx="247">
                  <c:v>210000</c:v>
                </c:pt>
                <c:pt idx="248">
                  <c:v>215000</c:v>
                </c:pt>
                <c:pt idx="249">
                  <c:v>220000</c:v>
                </c:pt>
                <c:pt idx="250">
                  <c:v>225000</c:v>
                </c:pt>
                <c:pt idx="251">
                  <c:v>230000</c:v>
                </c:pt>
                <c:pt idx="252">
                  <c:v>235000</c:v>
                </c:pt>
                <c:pt idx="253">
                  <c:v>240000</c:v>
                </c:pt>
                <c:pt idx="254">
                  <c:v>245000</c:v>
                </c:pt>
                <c:pt idx="255">
                  <c:v>250000</c:v>
                </c:pt>
                <c:pt idx="256">
                  <c:v>255000</c:v>
                </c:pt>
                <c:pt idx="257">
                  <c:v>260000</c:v>
                </c:pt>
                <c:pt idx="258">
                  <c:v>265000</c:v>
                </c:pt>
                <c:pt idx="259">
                  <c:v>270000</c:v>
                </c:pt>
                <c:pt idx="260">
                  <c:v>275000</c:v>
                </c:pt>
                <c:pt idx="261">
                  <c:v>280000</c:v>
                </c:pt>
                <c:pt idx="262">
                  <c:v>285000</c:v>
                </c:pt>
                <c:pt idx="263">
                  <c:v>290000</c:v>
                </c:pt>
                <c:pt idx="264">
                  <c:v>295000</c:v>
                </c:pt>
                <c:pt idx="265">
                  <c:v>300000</c:v>
                </c:pt>
                <c:pt idx="266">
                  <c:v>305000</c:v>
                </c:pt>
                <c:pt idx="267">
                  <c:v>310000</c:v>
                </c:pt>
                <c:pt idx="268">
                  <c:v>315000</c:v>
                </c:pt>
                <c:pt idx="269">
                  <c:v>320000</c:v>
                </c:pt>
                <c:pt idx="270">
                  <c:v>325000</c:v>
                </c:pt>
                <c:pt idx="271">
                  <c:v>330000</c:v>
                </c:pt>
                <c:pt idx="272">
                  <c:v>335000</c:v>
                </c:pt>
                <c:pt idx="273">
                  <c:v>340000</c:v>
                </c:pt>
                <c:pt idx="274">
                  <c:v>345000</c:v>
                </c:pt>
                <c:pt idx="275">
                  <c:v>350000</c:v>
                </c:pt>
                <c:pt idx="276">
                  <c:v>355000</c:v>
                </c:pt>
                <c:pt idx="277">
                  <c:v>360000</c:v>
                </c:pt>
                <c:pt idx="278">
                  <c:v>365000</c:v>
                </c:pt>
                <c:pt idx="279">
                  <c:v>370000</c:v>
                </c:pt>
                <c:pt idx="280">
                  <c:v>375000</c:v>
                </c:pt>
                <c:pt idx="281">
                  <c:v>380000</c:v>
                </c:pt>
                <c:pt idx="282">
                  <c:v>385000</c:v>
                </c:pt>
                <c:pt idx="283">
                  <c:v>390000</c:v>
                </c:pt>
                <c:pt idx="284">
                  <c:v>395000</c:v>
                </c:pt>
                <c:pt idx="285">
                  <c:v>400000</c:v>
                </c:pt>
                <c:pt idx="286">
                  <c:v>405000</c:v>
                </c:pt>
                <c:pt idx="287">
                  <c:v>410000</c:v>
                </c:pt>
                <c:pt idx="288">
                  <c:v>415000</c:v>
                </c:pt>
                <c:pt idx="289">
                  <c:v>420000</c:v>
                </c:pt>
                <c:pt idx="290">
                  <c:v>425000</c:v>
                </c:pt>
                <c:pt idx="291">
                  <c:v>430000</c:v>
                </c:pt>
                <c:pt idx="292">
                  <c:v>435000</c:v>
                </c:pt>
                <c:pt idx="293">
                  <c:v>440000</c:v>
                </c:pt>
                <c:pt idx="294">
                  <c:v>445000</c:v>
                </c:pt>
                <c:pt idx="295">
                  <c:v>450000</c:v>
                </c:pt>
                <c:pt idx="296">
                  <c:v>455000</c:v>
                </c:pt>
                <c:pt idx="297">
                  <c:v>460000</c:v>
                </c:pt>
                <c:pt idx="298">
                  <c:v>465000</c:v>
                </c:pt>
                <c:pt idx="299">
                  <c:v>470000</c:v>
                </c:pt>
                <c:pt idx="300">
                  <c:v>475000</c:v>
                </c:pt>
                <c:pt idx="301">
                  <c:v>480000</c:v>
                </c:pt>
                <c:pt idx="302">
                  <c:v>485000</c:v>
                </c:pt>
                <c:pt idx="303">
                  <c:v>490000</c:v>
                </c:pt>
                <c:pt idx="304">
                  <c:v>495000</c:v>
                </c:pt>
                <c:pt idx="305">
                  <c:v>500000</c:v>
                </c:pt>
                <c:pt idx="306">
                  <c:v>505000</c:v>
                </c:pt>
                <c:pt idx="307">
                  <c:v>510000</c:v>
                </c:pt>
                <c:pt idx="308">
                  <c:v>515000</c:v>
                </c:pt>
                <c:pt idx="309">
                  <c:v>520000</c:v>
                </c:pt>
                <c:pt idx="310">
                  <c:v>525000</c:v>
                </c:pt>
                <c:pt idx="311">
                  <c:v>530000</c:v>
                </c:pt>
                <c:pt idx="312">
                  <c:v>535000</c:v>
                </c:pt>
                <c:pt idx="313">
                  <c:v>540000</c:v>
                </c:pt>
                <c:pt idx="314">
                  <c:v>545000</c:v>
                </c:pt>
                <c:pt idx="315">
                  <c:v>550000</c:v>
                </c:pt>
                <c:pt idx="316">
                  <c:v>555000</c:v>
                </c:pt>
                <c:pt idx="317">
                  <c:v>560000</c:v>
                </c:pt>
                <c:pt idx="318">
                  <c:v>565000</c:v>
                </c:pt>
                <c:pt idx="319">
                  <c:v>570000</c:v>
                </c:pt>
                <c:pt idx="320">
                  <c:v>575000</c:v>
                </c:pt>
                <c:pt idx="321">
                  <c:v>580000</c:v>
                </c:pt>
                <c:pt idx="322">
                  <c:v>585000</c:v>
                </c:pt>
                <c:pt idx="323">
                  <c:v>590000</c:v>
                </c:pt>
                <c:pt idx="324">
                  <c:v>595000</c:v>
                </c:pt>
                <c:pt idx="325">
                  <c:v>600000</c:v>
                </c:pt>
                <c:pt idx="326">
                  <c:v>605000</c:v>
                </c:pt>
                <c:pt idx="327">
                  <c:v>610000</c:v>
                </c:pt>
                <c:pt idx="328">
                  <c:v>615000</c:v>
                </c:pt>
                <c:pt idx="329">
                  <c:v>620000</c:v>
                </c:pt>
                <c:pt idx="330">
                  <c:v>625000</c:v>
                </c:pt>
                <c:pt idx="331">
                  <c:v>630000</c:v>
                </c:pt>
                <c:pt idx="332">
                  <c:v>635000</c:v>
                </c:pt>
                <c:pt idx="333">
                  <c:v>640000</c:v>
                </c:pt>
                <c:pt idx="334">
                  <c:v>645000</c:v>
                </c:pt>
                <c:pt idx="335">
                  <c:v>650000</c:v>
                </c:pt>
                <c:pt idx="336">
                  <c:v>655000</c:v>
                </c:pt>
                <c:pt idx="337">
                  <c:v>660000</c:v>
                </c:pt>
                <c:pt idx="338">
                  <c:v>665000</c:v>
                </c:pt>
                <c:pt idx="339">
                  <c:v>670000</c:v>
                </c:pt>
                <c:pt idx="340">
                  <c:v>675000</c:v>
                </c:pt>
                <c:pt idx="341">
                  <c:v>680000</c:v>
                </c:pt>
                <c:pt idx="342">
                  <c:v>685000</c:v>
                </c:pt>
                <c:pt idx="343">
                  <c:v>690000</c:v>
                </c:pt>
                <c:pt idx="344">
                  <c:v>695000</c:v>
                </c:pt>
                <c:pt idx="345">
                  <c:v>700000</c:v>
                </c:pt>
                <c:pt idx="346">
                  <c:v>705000</c:v>
                </c:pt>
                <c:pt idx="347">
                  <c:v>710000</c:v>
                </c:pt>
                <c:pt idx="348">
                  <c:v>715000</c:v>
                </c:pt>
                <c:pt idx="349">
                  <c:v>720000</c:v>
                </c:pt>
                <c:pt idx="350">
                  <c:v>725000</c:v>
                </c:pt>
                <c:pt idx="351">
                  <c:v>730000</c:v>
                </c:pt>
                <c:pt idx="352">
                  <c:v>735000</c:v>
                </c:pt>
                <c:pt idx="353">
                  <c:v>740000</c:v>
                </c:pt>
                <c:pt idx="354">
                  <c:v>745000</c:v>
                </c:pt>
                <c:pt idx="355">
                  <c:v>750000</c:v>
                </c:pt>
                <c:pt idx="356">
                  <c:v>755000</c:v>
                </c:pt>
                <c:pt idx="357">
                  <c:v>760000</c:v>
                </c:pt>
                <c:pt idx="358">
                  <c:v>765000</c:v>
                </c:pt>
                <c:pt idx="359">
                  <c:v>770000</c:v>
                </c:pt>
                <c:pt idx="360">
                  <c:v>775000</c:v>
                </c:pt>
                <c:pt idx="361">
                  <c:v>780000</c:v>
                </c:pt>
                <c:pt idx="362">
                  <c:v>785000</c:v>
                </c:pt>
                <c:pt idx="363">
                  <c:v>790000</c:v>
                </c:pt>
                <c:pt idx="364">
                  <c:v>795000</c:v>
                </c:pt>
                <c:pt idx="365">
                  <c:v>800000</c:v>
                </c:pt>
                <c:pt idx="366">
                  <c:v>805000</c:v>
                </c:pt>
                <c:pt idx="367">
                  <c:v>810000</c:v>
                </c:pt>
                <c:pt idx="368">
                  <c:v>815000</c:v>
                </c:pt>
                <c:pt idx="369">
                  <c:v>820000</c:v>
                </c:pt>
                <c:pt idx="370">
                  <c:v>825000</c:v>
                </c:pt>
                <c:pt idx="371">
                  <c:v>830000</c:v>
                </c:pt>
                <c:pt idx="372">
                  <c:v>835000</c:v>
                </c:pt>
                <c:pt idx="373">
                  <c:v>840000</c:v>
                </c:pt>
                <c:pt idx="374">
                  <c:v>845000</c:v>
                </c:pt>
                <c:pt idx="375">
                  <c:v>850000</c:v>
                </c:pt>
                <c:pt idx="376">
                  <c:v>855000</c:v>
                </c:pt>
                <c:pt idx="377">
                  <c:v>860000</c:v>
                </c:pt>
                <c:pt idx="378">
                  <c:v>865000</c:v>
                </c:pt>
                <c:pt idx="379">
                  <c:v>870000</c:v>
                </c:pt>
                <c:pt idx="380">
                  <c:v>875000</c:v>
                </c:pt>
                <c:pt idx="381">
                  <c:v>880000</c:v>
                </c:pt>
                <c:pt idx="382">
                  <c:v>885000</c:v>
                </c:pt>
                <c:pt idx="383">
                  <c:v>890000</c:v>
                </c:pt>
                <c:pt idx="384">
                  <c:v>895000</c:v>
                </c:pt>
                <c:pt idx="385">
                  <c:v>900000</c:v>
                </c:pt>
                <c:pt idx="386">
                  <c:v>905000</c:v>
                </c:pt>
                <c:pt idx="387">
                  <c:v>910000</c:v>
                </c:pt>
                <c:pt idx="388">
                  <c:v>915000</c:v>
                </c:pt>
                <c:pt idx="389">
                  <c:v>920000</c:v>
                </c:pt>
                <c:pt idx="390">
                  <c:v>925000</c:v>
                </c:pt>
                <c:pt idx="391">
                  <c:v>930000</c:v>
                </c:pt>
                <c:pt idx="392">
                  <c:v>935000</c:v>
                </c:pt>
                <c:pt idx="393">
                  <c:v>940000</c:v>
                </c:pt>
                <c:pt idx="394">
                  <c:v>945000</c:v>
                </c:pt>
                <c:pt idx="395">
                  <c:v>950000</c:v>
                </c:pt>
                <c:pt idx="396">
                  <c:v>955000</c:v>
                </c:pt>
                <c:pt idx="397">
                  <c:v>960000</c:v>
                </c:pt>
                <c:pt idx="398">
                  <c:v>965000</c:v>
                </c:pt>
                <c:pt idx="399">
                  <c:v>970000</c:v>
                </c:pt>
                <c:pt idx="400">
                  <c:v>975000</c:v>
                </c:pt>
                <c:pt idx="401">
                  <c:v>980000</c:v>
                </c:pt>
                <c:pt idx="402">
                  <c:v>985000</c:v>
                </c:pt>
                <c:pt idx="403">
                  <c:v>990000</c:v>
                </c:pt>
                <c:pt idx="404">
                  <c:v>995000</c:v>
                </c:pt>
                <c:pt idx="405">
                  <c:v>1000000</c:v>
                </c:pt>
                <c:pt idx="406">
                  <c:v>1005000</c:v>
                </c:pt>
                <c:pt idx="407">
                  <c:v>1010000</c:v>
                </c:pt>
                <c:pt idx="408">
                  <c:v>1015000</c:v>
                </c:pt>
                <c:pt idx="409">
                  <c:v>1020000</c:v>
                </c:pt>
                <c:pt idx="410">
                  <c:v>1025000</c:v>
                </c:pt>
                <c:pt idx="411">
                  <c:v>1030000</c:v>
                </c:pt>
                <c:pt idx="412">
                  <c:v>1035000</c:v>
                </c:pt>
                <c:pt idx="413">
                  <c:v>1040000</c:v>
                </c:pt>
                <c:pt idx="414">
                  <c:v>1045000</c:v>
                </c:pt>
                <c:pt idx="415">
                  <c:v>1050000</c:v>
                </c:pt>
                <c:pt idx="416">
                  <c:v>1055000</c:v>
                </c:pt>
                <c:pt idx="417">
                  <c:v>1060000</c:v>
                </c:pt>
                <c:pt idx="418">
                  <c:v>1065000</c:v>
                </c:pt>
                <c:pt idx="419">
                  <c:v>1070000</c:v>
                </c:pt>
                <c:pt idx="420">
                  <c:v>1075000</c:v>
                </c:pt>
                <c:pt idx="421">
                  <c:v>1080000</c:v>
                </c:pt>
                <c:pt idx="422">
                  <c:v>1085000</c:v>
                </c:pt>
                <c:pt idx="423">
                  <c:v>1090000</c:v>
                </c:pt>
                <c:pt idx="424">
                  <c:v>1095000</c:v>
                </c:pt>
                <c:pt idx="425">
                  <c:v>1100000</c:v>
                </c:pt>
                <c:pt idx="426">
                  <c:v>1105000</c:v>
                </c:pt>
                <c:pt idx="427">
                  <c:v>1110000</c:v>
                </c:pt>
                <c:pt idx="428">
                  <c:v>1115000</c:v>
                </c:pt>
                <c:pt idx="429">
                  <c:v>1120000</c:v>
                </c:pt>
                <c:pt idx="430">
                  <c:v>1125000</c:v>
                </c:pt>
                <c:pt idx="431">
                  <c:v>1130000</c:v>
                </c:pt>
                <c:pt idx="432">
                  <c:v>1135000</c:v>
                </c:pt>
                <c:pt idx="433">
                  <c:v>1140000</c:v>
                </c:pt>
                <c:pt idx="434">
                  <c:v>1145000</c:v>
                </c:pt>
                <c:pt idx="435">
                  <c:v>1150000</c:v>
                </c:pt>
                <c:pt idx="436">
                  <c:v>1155000</c:v>
                </c:pt>
                <c:pt idx="437">
                  <c:v>1160000</c:v>
                </c:pt>
                <c:pt idx="438">
                  <c:v>1165000</c:v>
                </c:pt>
                <c:pt idx="439">
                  <c:v>1170000</c:v>
                </c:pt>
                <c:pt idx="440">
                  <c:v>1175000</c:v>
                </c:pt>
                <c:pt idx="441">
                  <c:v>1180000</c:v>
                </c:pt>
                <c:pt idx="442">
                  <c:v>1185000</c:v>
                </c:pt>
                <c:pt idx="443">
                  <c:v>1190000</c:v>
                </c:pt>
                <c:pt idx="444">
                  <c:v>1195000</c:v>
                </c:pt>
                <c:pt idx="445">
                  <c:v>1200000</c:v>
                </c:pt>
                <c:pt idx="446">
                  <c:v>1205000</c:v>
                </c:pt>
                <c:pt idx="447">
                  <c:v>1210000</c:v>
                </c:pt>
                <c:pt idx="448">
                  <c:v>1215000</c:v>
                </c:pt>
                <c:pt idx="449">
                  <c:v>1220000</c:v>
                </c:pt>
                <c:pt idx="450">
                  <c:v>1225000</c:v>
                </c:pt>
                <c:pt idx="451">
                  <c:v>1230000</c:v>
                </c:pt>
                <c:pt idx="452">
                  <c:v>1235000</c:v>
                </c:pt>
                <c:pt idx="453">
                  <c:v>1240000</c:v>
                </c:pt>
                <c:pt idx="454">
                  <c:v>1245000</c:v>
                </c:pt>
                <c:pt idx="455">
                  <c:v>1250000</c:v>
                </c:pt>
                <c:pt idx="456">
                  <c:v>1255000</c:v>
                </c:pt>
                <c:pt idx="457">
                  <c:v>1260000</c:v>
                </c:pt>
                <c:pt idx="458">
                  <c:v>1265000</c:v>
                </c:pt>
                <c:pt idx="459">
                  <c:v>1270000</c:v>
                </c:pt>
                <c:pt idx="460">
                  <c:v>1275000</c:v>
                </c:pt>
                <c:pt idx="461">
                  <c:v>1280000</c:v>
                </c:pt>
                <c:pt idx="462">
                  <c:v>1285000</c:v>
                </c:pt>
                <c:pt idx="463">
                  <c:v>1290000</c:v>
                </c:pt>
                <c:pt idx="464">
                  <c:v>1295000</c:v>
                </c:pt>
                <c:pt idx="465">
                  <c:v>1300000</c:v>
                </c:pt>
                <c:pt idx="466">
                  <c:v>1305000</c:v>
                </c:pt>
                <c:pt idx="467">
                  <c:v>1310000</c:v>
                </c:pt>
                <c:pt idx="468">
                  <c:v>1315000</c:v>
                </c:pt>
                <c:pt idx="469">
                  <c:v>1320000</c:v>
                </c:pt>
                <c:pt idx="470">
                  <c:v>1325000</c:v>
                </c:pt>
                <c:pt idx="471">
                  <c:v>1330000</c:v>
                </c:pt>
                <c:pt idx="472">
                  <c:v>1335000</c:v>
                </c:pt>
                <c:pt idx="473">
                  <c:v>1340000</c:v>
                </c:pt>
                <c:pt idx="474">
                  <c:v>1345000</c:v>
                </c:pt>
                <c:pt idx="475">
                  <c:v>1350000</c:v>
                </c:pt>
                <c:pt idx="476">
                  <c:v>1355000</c:v>
                </c:pt>
                <c:pt idx="477">
                  <c:v>1360000</c:v>
                </c:pt>
                <c:pt idx="478">
                  <c:v>1365000</c:v>
                </c:pt>
                <c:pt idx="479">
                  <c:v>1370000</c:v>
                </c:pt>
                <c:pt idx="480">
                  <c:v>1375000</c:v>
                </c:pt>
                <c:pt idx="481">
                  <c:v>1380000</c:v>
                </c:pt>
                <c:pt idx="482">
                  <c:v>1385000</c:v>
                </c:pt>
                <c:pt idx="483">
                  <c:v>1390000</c:v>
                </c:pt>
                <c:pt idx="484">
                  <c:v>1395000</c:v>
                </c:pt>
                <c:pt idx="485">
                  <c:v>1400000</c:v>
                </c:pt>
                <c:pt idx="486">
                  <c:v>1405000</c:v>
                </c:pt>
                <c:pt idx="487">
                  <c:v>1410000</c:v>
                </c:pt>
                <c:pt idx="488">
                  <c:v>1415000</c:v>
                </c:pt>
                <c:pt idx="489">
                  <c:v>1420000</c:v>
                </c:pt>
                <c:pt idx="490">
                  <c:v>1425000</c:v>
                </c:pt>
                <c:pt idx="491">
                  <c:v>1430000</c:v>
                </c:pt>
                <c:pt idx="492">
                  <c:v>1435000</c:v>
                </c:pt>
                <c:pt idx="493">
                  <c:v>1440000</c:v>
                </c:pt>
                <c:pt idx="494">
                  <c:v>1445000</c:v>
                </c:pt>
                <c:pt idx="495">
                  <c:v>1450000</c:v>
                </c:pt>
                <c:pt idx="496">
                  <c:v>1455000</c:v>
                </c:pt>
                <c:pt idx="497">
                  <c:v>1460000</c:v>
                </c:pt>
                <c:pt idx="498">
                  <c:v>1465000</c:v>
                </c:pt>
                <c:pt idx="499">
                  <c:v>1470000</c:v>
                </c:pt>
                <c:pt idx="500">
                  <c:v>1475000</c:v>
                </c:pt>
                <c:pt idx="501">
                  <c:v>1480000</c:v>
                </c:pt>
                <c:pt idx="502">
                  <c:v>1485000</c:v>
                </c:pt>
                <c:pt idx="503">
                  <c:v>1490000</c:v>
                </c:pt>
                <c:pt idx="504">
                  <c:v>1495000</c:v>
                </c:pt>
                <c:pt idx="505">
                  <c:v>1500000</c:v>
                </c:pt>
                <c:pt idx="506">
                  <c:v>1505000</c:v>
                </c:pt>
                <c:pt idx="507">
                  <c:v>1510000</c:v>
                </c:pt>
                <c:pt idx="508">
                  <c:v>1515000</c:v>
                </c:pt>
                <c:pt idx="509">
                  <c:v>1520000</c:v>
                </c:pt>
                <c:pt idx="510">
                  <c:v>1525000</c:v>
                </c:pt>
                <c:pt idx="511">
                  <c:v>1530000</c:v>
                </c:pt>
                <c:pt idx="512">
                  <c:v>1535000</c:v>
                </c:pt>
                <c:pt idx="513">
                  <c:v>1540000</c:v>
                </c:pt>
                <c:pt idx="514">
                  <c:v>1545000</c:v>
                </c:pt>
                <c:pt idx="515">
                  <c:v>1550000</c:v>
                </c:pt>
                <c:pt idx="516">
                  <c:v>1555000</c:v>
                </c:pt>
                <c:pt idx="517">
                  <c:v>1560000</c:v>
                </c:pt>
                <c:pt idx="518">
                  <c:v>1565000</c:v>
                </c:pt>
                <c:pt idx="519">
                  <c:v>1570000</c:v>
                </c:pt>
                <c:pt idx="520">
                  <c:v>1575000</c:v>
                </c:pt>
                <c:pt idx="521">
                  <c:v>1580000</c:v>
                </c:pt>
                <c:pt idx="522">
                  <c:v>1585000</c:v>
                </c:pt>
                <c:pt idx="523">
                  <c:v>1590000</c:v>
                </c:pt>
                <c:pt idx="524">
                  <c:v>1595000</c:v>
                </c:pt>
                <c:pt idx="525">
                  <c:v>1600000</c:v>
                </c:pt>
                <c:pt idx="526">
                  <c:v>1605000</c:v>
                </c:pt>
                <c:pt idx="527">
                  <c:v>1610000</c:v>
                </c:pt>
                <c:pt idx="528">
                  <c:v>1615000</c:v>
                </c:pt>
                <c:pt idx="529">
                  <c:v>1620000</c:v>
                </c:pt>
                <c:pt idx="530">
                  <c:v>1625000</c:v>
                </c:pt>
                <c:pt idx="531">
                  <c:v>1630000</c:v>
                </c:pt>
                <c:pt idx="532">
                  <c:v>1635000</c:v>
                </c:pt>
                <c:pt idx="533">
                  <c:v>1640000</c:v>
                </c:pt>
                <c:pt idx="534">
                  <c:v>1645000</c:v>
                </c:pt>
                <c:pt idx="535">
                  <c:v>1650000</c:v>
                </c:pt>
                <c:pt idx="536">
                  <c:v>1655000</c:v>
                </c:pt>
                <c:pt idx="537">
                  <c:v>1660000</c:v>
                </c:pt>
                <c:pt idx="538">
                  <c:v>1665000</c:v>
                </c:pt>
                <c:pt idx="539">
                  <c:v>1670000</c:v>
                </c:pt>
                <c:pt idx="540">
                  <c:v>1675000</c:v>
                </c:pt>
                <c:pt idx="541">
                  <c:v>1680000</c:v>
                </c:pt>
                <c:pt idx="542">
                  <c:v>1685000</c:v>
                </c:pt>
                <c:pt idx="543">
                  <c:v>1690000</c:v>
                </c:pt>
                <c:pt idx="544">
                  <c:v>1695000</c:v>
                </c:pt>
                <c:pt idx="545">
                  <c:v>1700000</c:v>
                </c:pt>
                <c:pt idx="546">
                  <c:v>1705000</c:v>
                </c:pt>
                <c:pt idx="547">
                  <c:v>1710000</c:v>
                </c:pt>
                <c:pt idx="548">
                  <c:v>1715000</c:v>
                </c:pt>
                <c:pt idx="549">
                  <c:v>1720000</c:v>
                </c:pt>
                <c:pt idx="550">
                  <c:v>1725000</c:v>
                </c:pt>
                <c:pt idx="551">
                  <c:v>1730000</c:v>
                </c:pt>
                <c:pt idx="552">
                  <c:v>1735000</c:v>
                </c:pt>
                <c:pt idx="553">
                  <c:v>1740000</c:v>
                </c:pt>
                <c:pt idx="554">
                  <c:v>1745000</c:v>
                </c:pt>
                <c:pt idx="555">
                  <c:v>1750000</c:v>
                </c:pt>
                <c:pt idx="556">
                  <c:v>1755000</c:v>
                </c:pt>
                <c:pt idx="557">
                  <c:v>1760000</c:v>
                </c:pt>
                <c:pt idx="558">
                  <c:v>1765000</c:v>
                </c:pt>
                <c:pt idx="559">
                  <c:v>1770000</c:v>
                </c:pt>
                <c:pt idx="560">
                  <c:v>1775000</c:v>
                </c:pt>
                <c:pt idx="561">
                  <c:v>1780000</c:v>
                </c:pt>
                <c:pt idx="562">
                  <c:v>1785000</c:v>
                </c:pt>
                <c:pt idx="563">
                  <c:v>1790000</c:v>
                </c:pt>
                <c:pt idx="564">
                  <c:v>1795000</c:v>
                </c:pt>
                <c:pt idx="565">
                  <c:v>1800000</c:v>
                </c:pt>
                <c:pt idx="566">
                  <c:v>1805000</c:v>
                </c:pt>
                <c:pt idx="567">
                  <c:v>1810000</c:v>
                </c:pt>
                <c:pt idx="568">
                  <c:v>1815000</c:v>
                </c:pt>
                <c:pt idx="569">
                  <c:v>1820000</c:v>
                </c:pt>
                <c:pt idx="570">
                  <c:v>1825000</c:v>
                </c:pt>
                <c:pt idx="571">
                  <c:v>1830000</c:v>
                </c:pt>
                <c:pt idx="572">
                  <c:v>1835000</c:v>
                </c:pt>
                <c:pt idx="573">
                  <c:v>1840000</c:v>
                </c:pt>
                <c:pt idx="574">
                  <c:v>1845000</c:v>
                </c:pt>
                <c:pt idx="575">
                  <c:v>1850000</c:v>
                </c:pt>
                <c:pt idx="576">
                  <c:v>1855000</c:v>
                </c:pt>
                <c:pt idx="577">
                  <c:v>1860000</c:v>
                </c:pt>
                <c:pt idx="578">
                  <c:v>1865000</c:v>
                </c:pt>
                <c:pt idx="579">
                  <c:v>1870000</c:v>
                </c:pt>
                <c:pt idx="580">
                  <c:v>1875000</c:v>
                </c:pt>
                <c:pt idx="581">
                  <c:v>1880000</c:v>
                </c:pt>
                <c:pt idx="582">
                  <c:v>1885000</c:v>
                </c:pt>
                <c:pt idx="583">
                  <c:v>1890000</c:v>
                </c:pt>
                <c:pt idx="584">
                  <c:v>1895000</c:v>
                </c:pt>
                <c:pt idx="585">
                  <c:v>1900000</c:v>
                </c:pt>
                <c:pt idx="586">
                  <c:v>1905000</c:v>
                </c:pt>
                <c:pt idx="587">
                  <c:v>1910000</c:v>
                </c:pt>
                <c:pt idx="588">
                  <c:v>1915000</c:v>
                </c:pt>
                <c:pt idx="589">
                  <c:v>1920000</c:v>
                </c:pt>
                <c:pt idx="590">
                  <c:v>1925000</c:v>
                </c:pt>
                <c:pt idx="591">
                  <c:v>1930000</c:v>
                </c:pt>
                <c:pt idx="592">
                  <c:v>1935000</c:v>
                </c:pt>
                <c:pt idx="593">
                  <c:v>1940000</c:v>
                </c:pt>
                <c:pt idx="594">
                  <c:v>1945000</c:v>
                </c:pt>
                <c:pt idx="595">
                  <c:v>1950000</c:v>
                </c:pt>
                <c:pt idx="596">
                  <c:v>1955000</c:v>
                </c:pt>
                <c:pt idx="597">
                  <c:v>1960000</c:v>
                </c:pt>
                <c:pt idx="598">
                  <c:v>1965000</c:v>
                </c:pt>
                <c:pt idx="599">
                  <c:v>1970000</c:v>
                </c:pt>
                <c:pt idx="600">
                  <c:v>1975000</c:v>
                </c:pt>
                <c:pt idx="601">
                  <c:v>1980000</c:v>
                </c:pt>
                <c:pt idx="602">
                  <c:v>1985000</c:v>
                </c:pt>
                <c:pt idx="603">
                  <c:v>1990000</c:v>
                </c:pt>
                <c:pt idx="604">
                  <c:v>1995000</c:v>
                </c:pt>
                <c:pt idx="605">
                  <c:v>2000000</c:v>
                </c:pt>
                <c:pt idx="606">
                  <c:v>2250000</c:v>
                </c:pt>
                <c:pt idx="607">
                  <c:v>2500000</c:v>
                </c:pt>
                <c:pt idx="608">
                  <c:v>2750000</c:v>
                </c:pt>
                <c:pt idx="609">
                  <c:v>3000000</c:v>
                </c:pt>
                <c:pt idx="610">
                  <c:v>3250000</c:v>
                </c:pt>
                <c:pt idx="611">
                  <c:v>3500000</c:v>
                </c:pt>
                <c:pt idx="612">
                  <c:v>3750000</c:v>
                </c:pt>
                <c:pt idx="613">
                  <c:v>4000000</c:v>
                </c:pt>
                <c:pt idx="614">
                  <c:v>4250000</c:v>
                </c:pt>
                <c:pt idx="615">
                  <c:v>4500000</c:v>
                </c:pt>
                <c:pt idx="616">
                  <c:v>4750000</c:v>
                </c:pt>
                <c:pt idx="617">
                  <c:v>5000000</c:v>
                </c:pt>
                <c:pt idx="618">
                  <c:v>5100000</c:v>
                </c:pt>
                <c:pt idx="619">
                  <c:v>5200000</c:v>
                </c:pt>
                <c:pt idx="620">
                  <c:v>5300000</c:v>
                </c:pt>
                <c:pt idx="621">
                  <c:v>5400000</c:v>
                </c:pt>
                <c:pt idx="622">
                  <c:v>5500000</c:v>
                </c:pt>
                <c:pt idx="623">
                  <c:v>5600000</c:v>
                </c:pt>
                <c:pt idx="624">
                  <c:v>5700000</c:v>
                </c:pt>
                <c:pt idx="625">
                  <c:v>5800000</c:v>
                </c:pt>
                <c:pt idx="626">
                  <c:v>5900000</c:v>
                </c:pt>
                <c:pt idx="627">
                  <c:v>6000000</c:v>
                </c:pt>
                <c:pt idx="628">
                  <c:v>6100000</c:v>
                </c:pt>
                <c:pt idx="629">
                  <c:v>6200000</c:v>
                </c:pt>
                <c:pt idx="630">
                  <c:v>6300000</c:v>
                </c:pt>
                <c:pt idx="631">
                  <c:v>6400000</c:v>
                </c:pt>
                <c:pt idx="632">
                  <c:v>6500000</c:v>
                </c:pt>
                <c:pt idx="633">
                  <c:v>6600000</c:v>
                </c:pt>
                <c:pt idx="634">
                  <c:v>6700000</c:v>
                </c:pt>
                <c:pt idx="635">
                  <c:v>6800000</c:v>
                </c:pt>
                <c:pt idx="636">
                  <c:v>6900000</c:v>
                </c:pt>
                <c:pt idx="637">
                  <c:v>7000000</c:v>
                </c:pt>
                <c:pt idx="638">
                  <c:v>7100000</c:v>
                </c:pt>
                <c:pt idx="639">
                  <c:v>7200000</c:v>
                </c:pt>
                <c:pt idx="640">
                  <c:v>7300000</c:v>
                </c:pt>
                <c:pt idx="641">
                  <c:v>7400000</c:v>
                </c:pt>
                <c:pt idx="642">
                  <c:v>7500000</c:v>
                </c:pt>
                <c:pt idx="643">
                  <c:v>7600000</c:v>
                </c:pt>
                <c:pt idx="644">
                  <c:v>7700000</c:v>
                </c:pt>
                <c:pt idx="645">
                  <c:v>7800000</c:v>
                </c:pt>
                <c:pt idx="646">
                  <c:v>7900000</c:v>
                </c:pt>
                <c:pt idx="647">
                  <c:v>8000000</c:v>
                </c:pt>
                <c:pt idx="648">
                  <c:v>8100000</c:v>
                </c:pt>
                <c:pt idx="649">
                  <c:v>8200000</c:v>
                </c:pt>
                <c:pt idx="650">
                  <c:v>8300000</c:v>
                </c:pt>
                <c:pt idx="651">
                  <c:v>8400000</c:v>
                </c:pt>
                <c:pt idx="652">
                  <c:v>8500000</c:v>
                </c:pt>
                <c:pt idx="653">
                  <c:v>8600000</c:v>
                </c:pt>
                <c:pt idx="654">
                  <c:v>8700000</c:v>
                </c:pt>
                <c:pt idx="655">
                  <c:v>8800000</c:v>
                </c:pt>
                <c:pt idx="656">
                  <c:v>8900000</c:v>
                </c:pt>
                <c:pt idx="657">
                  <c:v>9000000</c:v>
                </c:pt>
                <c:pt idx="658">
                  <c:v>9100000</c:v>
                </c:pt>
                <c:pt idx="659">
                  <c:v>9200000</c:v>
                </c:pt>
                <c:pt idx="660">
                  <c:v>9300000</c:v>
                </c:pt>
                <c:pt idx="661">
                  <c:v>9400000</c:v>
                </c:pt>
                <c:pt idx="662">
                  <c:v>9500000</c:v>
                </c:pt>
                <c:pt idx="663">
                  <c:v>9600000</c:v>
                </c:pt>
                <c:pt idx="664">
                  <c:v>9700000</c:v>
                </c:pt>
                <c:pt idx="665">
                  <c:v>9800000</c:v>
                </c:pt>
                <c:pt idx="666">
                  <c:v>9900000</c:v>
                </c:pt>
                <c:pt idx="667">
                  <c:v>10000000</c:v>
                </c:pt>
              </c:numCache>
            </c:numRef>
          </c:xVal>
          <c:yVal>
            <c:numRef>
              <c:f>'Bode Plots Calculations'!$BD$9:$BD$676</c:f>
              <c:numCache>
                <c:formatCode>General</c:formatCode>
                <c:ptCount val="668"/>
                <c:pt idx="0">
                  <c:v>-261.75612547758141</c:v>
                </c:pt>
                <c:pt idx="1">
                  <c:v>-265.76518272716453</c:v>
                </c:pt>
                <c:pt idx="2">
                  <c:v>-267.07204709730212</c:v>
                </c:pt>
                <c:pt idx="3">
                  <c:v>-267.69611652013856</c:v>
                </c:pt>
                <c:pt idx="4">
                  <c:v>-268.04634452077585</c:v>
                </c:pt>
                <c:pt idx="5">
                  <c:v>-268.25950280026905</c:v>
                </c:pt>
                <c:pt idx="6">
                  <c:v>-268.39429191732017</c:v>
                </c:pt>
                <c:pt idx="7">
                  <c:v>-268.48008455775175</c:v>
                </c:pt>
                <c:pt idx="8">
                  <c:v>-268.5332063749297</c:v>
                </c:pt>
                <c:pt idx="9">
                  <c:v>-268.56345570412839</c:v>
                </c:pt>
                <c:pt idx="10">
                  <c:v>-268.3627029529863</c:v>
                </c:pt>
                <c:pt idx="11">
                  <c:v>-267.8875619090071</c:v>
                </c:pt>
                <c:pt idx="12">
                  <c:v>-267.34405356496563</c:v>
                </c:pt>
                <c:pt idx="13">
                  <c:v>-266.77346277814615</c:v>
                </c:pt>
                <c:pt idx="14">
                  <c:v>-266.18961417215934</c:v>
                </c:pt>
                <c:pt idx="15">
                  <c:v>-265.59848590056777</c:v>
                </c:pt>
                <c:pt idx="16">
                  <c:v>-265.00311323372563</c:v>
                </c:pt>
                <c:pt idx="17">
                  <c:v>-264.40522305844775</c:v>
                </c:pt>
                <c:pt idx="18">
                  <c:v>-263.80588763030499</c:v>
                </c:pt>
                <c:pt idx="19">
                  <c:v>-257.82795739849962</c:v>
                </c:pt>
                <c:pt idx="20">
                  <c:v>-251.99857818568466</c:v>
                </c:pt>
                <c:pt idx="21">
                  <c:v>-246.40555035828669</c:v>
                </c:pt>
                <c:pt idx="22">
                  <c:v>-241.10041970619972</c:v>
                </c:pt>
                <c:pt idx="23">
                  <c:v>-236.11211438368272</c:v>
                </c:pt>
                <c:pt idx="24">
                  <c:v>-231.45137730194779</c:v>
                </c:pt>
                <c:pt idx="25">
                  <c:v>-227.11504768751377</c:v>
                </c:pt>
                <c:pt idx="26">
                  <c:v>-223.09025926397203</c:v>
                </c:pt>
                <c:pt idx="27">
                  <c:v>-219.35809805851011</c:v>
                </c:pt>
                <c:pt idx="28">
                  <c:v>-204.300820019989</c:v>
                </c:pt>
                <c:pt idx="29">
                  <c:v>-193.43700809541394</c:v>
                </c:pt>
                <c:pt idx="30">
                  <c:v>-185.08466424650516</c:v>
                </c:pt>
                <c:pt idx="31">
                  <c:v>-178.31892132503751</c:v>
                </c:pt>
                <c:pt idx="32">
                  <c:v>-172.63071311055629</c:v>
                </c:pt>
                <c:pt idx="33">
                  <c:v>-167.72558435370269</c:v>
                </c:pt>
                <c:pt idx="34">
                  <c:v>-163.42251991616493</c:v>
                </c:pt>
                <c:pt idx="35">
                  <c:v>-159.60311920840525</c:v>
                </c:pt>
                <c:pt idx="36">
                  <c:v>-156.18521065755013</c:v>
                </c:pt>
                <c:pt idx="37">
                  <c:v>-153.10861599501334</c:v>
                </c:pt>
                <c:pt idx="38">
                  <c:v>-150.32717597894913</c:v>
                </c:pt>
                <c:pt idx="39">
                  <c:v>-147.80411916349033</c:v>
                </c:pt>
                <c:pt idx="40">
                  <c:v>-145.50927315281908</c:v>
                </c:pt>
                <c:pt idx="41">
                  <c:v>-143.41732070987217</c:v>
                </c:pt>
                <c:pt idx="42">
                  <c:v>-141.50666453828285</c:v>
                </c:pt>
                <c:pt idx="43">
                  <c:v>-139.75865639515479</c:v>
                </c:pt>
                <c:pt idx="44">
                  <c:v>-138.15705072158374</c:v>
                </c:pt>
                <c:pt idx="45">
                  <c:v>-136.68760117421672</c:v>
                </c:pt>
                <c:pt idx="46">
                  <c:v>-135.33775143024297</c:v>
                </c:pt>
                <c:pt idx="47">
                  <c:v>-134.09639063613017</c:v>
                </c:pt>
                <c:pt idx="48">
                  <c:v>-132.953654975917</c:v>
                </c:pt>
                <c:pt idx="49">
                  <c:v>-131.90076342788433</c:v>
                </c:pt>
                <c:pt idx="50">
                  <c:v>-130.9298797606595</c:v>
                </c:pt>
                <c:pt idx="51">
                  <c:v>-130.03399527439731</c:v>
                </c:pt>
                <c:pt idx="52">
                  <c:v>-129.20682834282596</c:v>
                </c:pt>
                <c:pt idx="53">
                  <c:v>-128.44273781947973</c:v>
                </c:pt>
                <c:pt idx="54">
                  <c:v>-127.73664804823565</c:v>
                </c:pt>
                <c:pt idx="55">
                  <c:v>-127.08398368951751</c:v>
                </c:pt>
                <c:pt idx="56">
                  <c:v>-126.48061291394799</c:v>
                </c:pt>
                <c:pt idx="57">
                  <c:v>-125.92279776996249</c:v>
                </c:pt>
                <c:pt idx="58">
                  <c:v>-125.40715072864384</c:v>
                </c:pt>
                <c:pt idx="59">
                  <c:v>-124.93059656511664</c:v>
                </c:pt>
                <c:pt idx="60">
                  <c:v>-124.49033886235065</c:v>
                </c:pt>
                <c:pt idx="61">
                  <c:v>-124.08383052748169</c:v>
                </c:pt>
                <c:pt idx="62">
                  <c:v>-123.70874779775178</c:v>
                </c:pt>
                <c:pt idx="63">
                  <c:v>-123.36296728642117</c:v>
                </c:pt>
                <c:pt idx="64">
                  <c:v>-123.04454568109146</c:v>
                </c:pt>
                <c:pt idx="65">
                  <c:v>-122.75170175975722</c:v>
                </c:pt>
                <c:pt idx="66">
                  <c:v>-122.48280043509203</c:v>
                </c:pt>
                <c:pt idx="67">
                  <c:v>-122.23633857619795</c:v>
                </c:pt>
                <c:pt idx="68">
                  <c:v>-122.01093239029331</c:v>
                </c:pt>
                <c:pt idx="69">
                  <c:v>-121.80530617540441</c:v>
                </c:pt>
                <c:pt idx="70">
                  <c:v>-121.61828227974877</c:v>
                </c:pt>
                <c:pt idx="71">
                  <c:v>-121.44877212472799</c:v>
                </c:pt>
                <c:pt idx="72">
                  <c:v>-121.29576816677285</c:v>
                </c:pt>
                <c:pt idx="73">
                  <c:v>-121.15833668912214</c:v>
                </c:pt>
                <c:pt idx="74">
                  <c:v>-121.0356113283171</c:v>
                </c:pt>
                <c:pt idx="75">
                  <c:v>-120.9267872520618</c:v>
                </c:pt>
                <c:pt idx="76">
                  <c:v>-120.83111591538841</c:v>
                </c:pt>
                <c:pt idx="77">
                  <c:v>-120.74790033100038</c:v>
                </c:pt>
                <c:pt idx="78">
                  <c:v>-120.67649079743066</c:v>
                </c:pt>
                <c:pt idx="79">
                  <c:v>-120.61628103540643</c:v>
                </c:pt>
                <c:pt idx="80">
                  <c:v>-120.56670468870112</c:v>
                </c:pt>
                <c:pt idx="81">
                  <c:v>-120.52723215088659</c:v>
                </c:pt>
                <c:pt idx="82">
                  <c:v>-120.49736768388516</c:v>
                </c:pt>
                <c:pt idx="83">
                  <c:v>-120.47664679814409</c:v>
                </c:pt>
                <c:pt idx="84">
                  <c:v>-120.46463386768889</c:v>
                </c:pt>
                <c:pt idx="85">
                  <c:v>-120.46091995632554</c:v>
                </c:pt>
                <c:pt idx="86">
                  <c:v>-120.4651208339054</c:v>
                </c:pt>
                <c:pt idx="87">
                  <c:v>-120.47687516389166</c:v>
                </c:pt>
                <c:pt idx="88">
                  <c:v>-120.49584284551355</c:v>
                </c:pt>
                <c:pt idx="89">
                  <c:v>-120.52170349559765</c:v>
                </c:pt>
                <c:pt idx="90">
                  <c:v>-120.5541550567588</c:v>
                </c:pt>
                <c:pt idx="91">
                  <c:v>-120.59291252003922</c:v>
                </c:pt>
                <c:pt idx="92">
                  <c:v>-120.63770675133036</c:v>
                </c:pt>
                <c:pt idx="93">
                  <c:v>-120.68828341201458</c:v>
                </c:pt>
                <c:pt idx="94">
                  <c:v>-120.74440196524262</c:v>
                </c:pt>
                <c:pt idx="95">
                  <c:v>-120.80583476013132</c:v>
                </c:pt>
                <c:pt idx="96">
                  <c:v>-120.87236618694027</c:v>
                </c:pt>
                <c:pt idx="97">
                  <c:v>-120.94379189697267</c:v>
                </c:pt>
                <c:pt idx="98">
                  <c:v>-121.01991808156062</c:v>
                </c:pt>
                <c:pt idx="99">
                  <c:v>-121.10056080504174</c:v>
                </c:pt>
                <c:pt idx="100">
                  <c:v>-121.18554538712374</c:v>
                </c:pt>
                <c:pt idx="101">
                  <c:v>-121.27470583047116</c:v>
                </c:pt>
                <c:pt idx="102">
                  <c:v>-121.36788428974066</c:v>
                </c:pt>
                <c:pt idx="103">
                  <c:v>-121.46493057864259</c:v>
                </c:pt>
                <c:pt idx="104">
                  <c:v>-121.56570171192266</c:v>
                </c:pt>
                <c:pt idx="105">
                  <c:v>-121.67006147944025</c:v>
                </c:pt>
                <c:pt idx="106">
                  <c:v>-121.7778800497759</c:v>
                </c:pt>
                <c:pt idx="107">
                  <c:v>-121.88903360102972</c:v>
                </c:pt>
                <c:pt idx="108">
                  <c:v>-122.00340397667983</c:v>
                </c:pt>
                <c:pt idx="109">
                  <c:v>-122.12087836455683</c:v>
                </c:pt>
                <c:pt idx="110">
                  <c:v>-122.24134899715887</c:v>
                </c:pt>
                <c:pt idx="111">
                  <c:v>-122.36471287168555</c:v>
                </c:pt>
                <c:pt idx="112">
                  <c:v>-122.49087148830537</c:v>
                </c:pt>
                <c:pt idx="113">
                  <c:v>-122.61973060529866</c:v>
                </c:pt>
                <c:pt idx="114">
                  <c:v>-122.75120000983003</c:v>
                </c:pt>
                <c:pt idx="115">
                  <c:v>-122.88519330320841</c:v>
                </c:pt>
                <c:pt idx="116">
                  <c:v>-123.02162769958554</c:v>
                </c:pt>
                <c:pt idx="117">
                  <c:v>-123.16042383712971</c:v>
                </c:pt>
                <c:pt idx="118">
                  <c:v>-123.30150560078935</c:v>
                </c:pt>
                <c:pt idx="119">
                  <c:v>-123.44479995583018</c:v>
                </c:pt>
                <c:pt idx="120">
                  <c:v>-123.59023679139592</c:v>
                </c:pt>
                <c:pt idx="121">
                  <c:v>-123.73774877340068</c:v>
                </c:pt>
                <c:pt idx="122">
                  <c:v>-123.88727120611377</c:v>
                </c:pt>
                <c:pt idx="123">
                  <c:v>-124.03874190184865</c:v>
                </c:pt>
                <c:pt idx="124">
                  <c:v>-124.19210105821139</c:v>
                </c:pt>
                <c:pt idx="125">
                  <c:v>-124.34729114240554</c:v>
                </c:pt>
                <c:pt idx="126">
                  <c:v>-124.5042567821275</c:v>
                </c:pt>
                <c:pt idx="127">
                  <c:v>-124.66294466262245</c:v>
                </c:pt>
                <c:pt idx="128">
                  <c:v>-124.82330342950036</c:v>
                </c:pt>
                <c:pt idx="129">
                  <c:v>-124.98528359694325</c:v>
                </c:pt>
                <c:pt idx="130">
                  <c:v>-125.14883746095961</c:v>
                </c:pt>
                <c:pt idx="131">
                  <c:v>-125.3139190173676</c:v>
                </c:pt>
                <c:pt idx="132">
                  <c:v>-125.48048388421093</c:v>
                </c:pt>
                <c:pt idx="133">
                  <c:v>-125.64848922833281</c:v>
                </c:pt>
                <c:pt idx="134">
                  <c:v>-125.81789369585115</c:v>
                </c:pt>
                <c:pt idx="135">
                  <c:v>-125.988657346298</c:v>
                </c:pt>
                <c:pt idx="136">
                  <c:v>-126.16074159020076</c:v>
                </c:pt>
                <c:pt idx="137">
                  <c:v>-126.33410912989885</c:v>
                </c:pt>
                <c:pt idx="138">
                  <c:v>-126.50872390340353</c:v>
                </c:pt>
                <c:pt idx="139">
                  <c:v>-126.68455103112046</c:v>
                </c:pt>
                <c:pt idx="140">
                  <c:v>-126.86155676526846</c:v>
                </c:pt>
                <c:pt idx="141">
                  <c:v>-127.03970844183678</c:v>
                </c:pt>
                <c:pt idx="142">
                  <c:v>-127.21897443493532</c:v>
                </c:pt>
                <c:pt idx="143">
                  <c:v>-127.39932411340068</c:v>
                </c:pt>
                <c:pt idx="144">
                  <c:v>-127.58072779953022</c:v>
                </c:pt>
                <c:pt idx="145">
                  <c:v>-127.76315672982429</c:v>
                </c:pt>
                <c:pt idx="146">
                  <c:v>-127.94658301762465</c:v>
                </c:pt>
                <c:pt idx="147">
                  <c:v>-128.1309796175438</c:v>
                </c:pt>
                <c:pt idx="148">
                  <c:v>-128.31632029158709</c:v>
                </c:pt>
                <c:pt idx="149">
                  <c:v>-128.50257957687487</c:v>
                </c:pt>
                <c:pt idx="150">
                  <c:v>-128.68973275487841</c:v>
                </c:pt>
                <c:pt idx="151">
                  <c:v>-128.87775582208798</c:v>
                </c:pt>
                <c:pt idx="152">
                  <c:v>-129.06662546203668</c:v>
                </c:pt>
                <c:pt idx="153">
                  <c:v>-129.25631901860888</c:v>
                </c:pt>
                <c:pt idx="154">
                  <c:v>-129.4468144705645</c:v>
                </c:pt>
                <c:pt idx="155">
                  <c:v>-129.63809040721716</c:v>
                </c:pt>
                <c:pt idx="156">
                  <c:v>-129.83012600520539</c:v>
                </c:pt>
                <c:pt idx="157">
                  <c:v>-130.02290100630131</c:v>
                </c:pt>
                <c:pt idx="158">
                  <c:v>-130.21639569620328</c:v>
                </c:pt>
                <c:pt idx="159">
                  <c:v>-130.41059088426346</c:v>
                </c:pt>
                <c:pt idx="160">
                  <c:v>-130.60546788410258</c:v>
                </c:pt>
                <c:pt idx="161">
                  <c:v>-130.80100849506758</c:v>
                </c:pt>
                <c:pt idx="162">
                  <c:v>-130.99719498449096</c:v>
                </c:pt>
                <c:pt idx="163">
                  <c:v>-131.1940100707117</c:v>
                </c:pt>
                <c:pt idx="164">
                  <c:v>-131.3914369068207</c:v>
                </c:pt>
                <c:pt idx="165">
                  <c:v>-131.58945906509598</c:v>
                </c:pt>
                <c:pt idx="166">
                  <c:v>-131.78806052209339</c:v>
                </c:pt>
                <c:pt idx="167">
                  <c:v>-131.98722564436244</c:v>
                </c:pt>
                <c:pt idx="168">
                  <c:v>-132.18693917475696</c:v>
                </c:pt>
                <c:pt idx="169">
                  <c:v>-132.38718621931258</c:v>
                </c:pt>
                <c:pt idx="170">
                  <c:v>-132.58795223466456</c:v>
                </c:pt>
                <c:pt idx="171">
                  <c:v>-132.78922301598038</c:v>
                </c:pt>
                <c:pt idx="172">
                  <c:v>-132.99098468538375</c:v>
                </c:pt>
                <c:pt idx="173">
                  <c:v>-133.19322368084698</c:v>
                </c:pt>
                <c:pt idx="174">
                  <c:v>-133.39592674553091</c:v>
                </c:pt>
                <c:pt idx="175">
                  <c:v>-133.59908091755094</c:v>
                </c:pt>
                <c:pt idx="176">
                  <c:v>-133.80267352015136</c:v>
                </c:pt>
                <c:pt idx="177">
                  <c:v>-134.00669215226856</c:v>
                </c:pt>
                <c:pt idx="178">
                  <c:v>-134.21112467946625</c:v>
                </c:pt>
                <c:pt idx="179">
                  <c:v>-134.4159592252262</c:v>
                </c:pt>
                <c:pt idx="180">
                  <c:v>-134.62118416257888</c:v>
                </c:pt>
                <c:pt idx="181">
                  <c:v>-134.82678810605876</c:v>
                </c:pt>
                <c:pt idx="182">
                  <c:v>-135.03275990397083</c:v>
                </c:pt>
                <c:pt idx="183">
                  <c:v>-135.23908863095431</c:v>
                </c:pt>
                <c:pt idx="184">
                  <c:v>-135.44576358083114</c:v>
                </c:pt>
                <c:pt idx="185">
                  <c:v>-135.6527742597269</c:v>
                </c:pt>
                <c:pt idx="186">
                  <c:v>-135.86011037945266</c:v>
                </c:pt>
                <c:pt idx="187">
                  <c:v>-136.06776185113677</c:v>
                </c:pt>
                <c:pt idx="188">
                  <c:v>-136.27571877909622</c:v>
                </c:pt>
                <c:pt idx="189">
                  <c:v>-136.48397145493743</c:v>
                </c:pt>
                <c:pt idx="190">
                  <c:v>-136.6925103518769</c:v>
                </c:pt>
                <c:pt idx="191">
                  <c:v>-136.90132611927302</c:v>
                </c:pt>
                <c:pt idx="192">
                  <c:v>-137.11040957735992</c:v>
                </c:pt>
                <c:pt idx="193">
                  <c:v>-137.31975171217542</c:v>
                </c:pt>
                <c:pt idx="194">
                  <c:v>-137.52934367067542</c:v>
                </c:pt>
                <c:pt idx="195">
                  <c:v>-137.73917675602647</c:v>
                </c:pt>
                <c:pt idx="196">
                  <c:v>-137.9492424230703</c:v>
                </c:pt>
                <c:pt idx="197">
                  <c:v>-138.159532273953</c:v>
                </c:pt>
                <c:pt idx="198">
                  <c:v>-138.37003805391186</c:v>
                </c:pt>
                <c:pt idx="199">
                  <c:v>-138.58075164721481</c:v>
                </c:pt>
                <c:pt idx="200">
                  <c:v>-138.79166507324555</c:v>
                </c:pt>
                <c:pt idx="201">
                  <c:v>-139.00277048272878</c:v>
                </c:pt>
                <c:pt idx="202">
                  <c:v>-139.21406015409036</c:v>
                </c:pt>
                <c:pt idx="203">
                  <c:v>-139.42552648994737</c:v>
                </c:pt>
                <c:pt idx="204">
                  <c:v>-139.63716201372227</c:v>
                </c:pt>
                <c:pt idx="205">
                  <c:v>-139.84895936637747</c:v>
                </c:pt>
                <c:pt idx="206">
                  <c:v>-140.06091130326473</c:v>
                </c:pt>
                <c:pt idx="207">
                  <c:v>-140.2730106910858</c:v>
                </c:pt>
                <c:pt idx="208">
                  <c:v>-140.48525050495982</c:v>
                </c:pt>
                <c:pt idx="209">
                  <c:v>-140.69762382559307</c:v>
                </c:pt>
                <c:pt idx="210">
                  <c:v>-140.91012383654828</c:v>
                </c:pt>
                <c:pt idx="211">
                  <c:v>-141.12274382160848</c:v>
                </c:pt>
                <c:pt idx="212">
                  <c:v>-141.33547716223293</c:v>
                </c:pt>
                <c:pt idx="213">
                  <c:v>-141.54831733510144</c:v>
                </c:pt>
                <c:pt idx="214">
                  <c:v>-141.76125790974331</c:v>
                </c:pt>
                <c:pt idx="215">
                  <c:v>-141.97429254624862</c:v>
                </c:pt>
                <c:pt idx="216">
                  <c:v>-142.18741499305844</c:v>
                </c:pt>
                <c:pt idx="217">
                  <c:v>-142.40061908483082</c:v>
                </c:pt>
                <c:pt idx="218">
                  <c:v>-142.61389874038053</c:v>
                </c:pt>
                <c:pt idx="219">
                  <c:v>-142.82724796068928</c:v>
                </c:pt>
                <c:pt idx="220">
                  <c:v>-143.04066082698395</c:v>
                </c:pt>
                <c:pt idx="221">
                  <c:v>-143.25413149888084</c:v>
                </c:pt>
                <c:pt idx="222">
                  <c:v>-143.4676542125932</c:v>
                </c:pt>
                <c:pt idx="223">
                  <c:v>-143.68122327919951</c:v>
                </c:pt>
                <c:pt idx="224">
                  <c:v>-143.89483308297142</c:v>
                </c:pt>
                <c:pt idx="225">
                  <c:v>-144.10847807975779</c:v>
                </c:pt>
                <c:pt idx="226">
                  <c:v>-146.2456921560935</c:v>
                </c:pt>
                <c:pt idx="227">
                  <c:v>-148.38080456285039</c:v>
                </c:pt>
                <c:pt idx="228">
                  <c:v>-150.50925071138991</c:v>
                </c:pt>
                <c:pt idx="229">
                  <c:v>-152.62694068664982</c:v>
                </c:pt>
                <c:pt idx="230">
                  <c:v>-154.73019435873505</c:v>
                </c:pt>
                <c:pt idx="231">
                  <c:v>-156.81569481358736</c:v>
                </c:pt>
                <c:pt idx="232">
                  <c:v>-158.88045455494256</c:v>
                </c:pt>
                <c:pt idx="233">
                  <c:v>-160.92179046401887</c:v>
                </c:pt>
                <c:pt idx="234">
                  <c:v>-162.93730460208019</c:v>
                </c:pt>
                <c:pt idx="235">
                  <c:v>-164.92486874533643</c:v>
                </c:pt>
                <c:pt idx="236">
                  <c:v>-166.88261114133911</c:v>
                </c:pt>
                <c:pt idx="237">
                  <c:v>-168.8089044290403</c:v>
                </c:pt>
                <c:pt idx="238">
                  <c:v>-170.70235400914004</c:v>
                </c:pt>
                <c:pt idx="239">
                  <c:v>-172.56178641302779</c:v>
                </c:pt>
                <c:pt idx="240">
                  <c:v>-174.38623741557436</c:v>
                </c:pt>
                <c:pt idx="241">
                  <c:v>-176.17493978248854</c:v>
                </c:pt>
                <c:pt idx="242">
                  <c:v>-177.92731064707439</c:v>
                </c:pt>
                <c:pt idx="243">
                  <c:v>-179.64293858218636</c:v>
                </c:pt>
                <c:pt idx="244">
                  <c:v>-181.321570477774</c:v>
                </c:pt>
                <c:pt idx="245">
                  <c:v>-182.96309835839682</c:v>
                </c:pt>
                <c:pt idx="246">
                  <c:v>-184.56754628339573</c:v>
                </c:pt>
                <c:pt idx="247">
                  <c:v>-186.13505746921072</c:v>
                </c:pt>
                <c:pt idx="248">
                  <c:v>-187.66588176213571</c:v>
                </c:pt>
                <c:pt idx="249">
                  <c:v>-189.16036357348472</c:v>
                </c:pt>
                <c:pt idx="250">
                  <c:v>-190.61893036999825</c:v>
                </c:pt>
                <c:pt idx="251">
                  <c:v>-192.04208179214129</c:v>
                </c:pt>
                <c:pt idx="252">
                  <c:v>-193.43037945303996</c:v>
                </c:pt>
                <c:pt idx="253">
                  <c:v>-194.78443745211925</c:v>
                </c:pt>
                <c:pt idx="254">
                  <c:v>-196.1049136206351</c:v>
                </c:pt>
                <c:pt idx="255">
                  <c:v>-197.39250150158654</c:v>
                </c:pt>
                <c:pt idx="256">
                  <c:v>-198.64792305409168</c:v>
                </c:pt>
                <c:pt idx="257">
                  <c:v>-199.87192206220186</c:v>
                </c:pt>
                <c:pt idx="258">
                  <c:v>-201.06525822019915</c:v>
                </c:pt>
                <c:pt idx="259">
                  <c:v>-202.22870186048846</c:v>
                </c:pt>
                <c:pt idx="260">
                  <c:v>-203.36302928603357</c:v>
                </c:pt>
                <c:pt idx="261">
                  <c:v>-204.46901866665647</c:v>
                </c:pt>
                <c:pt idx="262">
                  <c:v>-205.54744645717733</c:v>
                </c:pt>
                <c:pt idx="263">
                  <c:v>-206.5990842950913</c:v>
                </c:pt>
                <c:pt idx="264">
                  <c:v>-207.62469633604118</c:v>
                </c:pt>
                <c:pt idx="265">
                  <c:v>-208.62503698656306</c:v>
                </c:pt>
                <c:pt idx="266">
                  <c:v>-209.60084899528951</c:v>
                </c:pt>
                <c:pt idx="267">
                  <c:v>-210.55286186584789</c:v>
                </c:pt>
                <c:pt idx="268">
                  <c:v>-211.48179055697102</c:v>
                </c:pt>
                <c:pt idx="269">
                  <c:v>-212.38833443774854</c:v>
                </c:pt>
                <c:pt idx="270">
                  <c:v>-213.27317646840825</c:v>
                </c:pt>
                <c:pt idx="271">
                  <c:v>-214.1369825794693</c:v>
                </c:pt>
                <c:pt idx="272">
                  <c:v>-214.98040122450379</c:v>
                </c:pt>
                <c:pt idx="273">
                  <c:v>-215.80406308405009</c:v>
                </c:pt>
                <c:pt idx="274">
                  <c:v>-216.60858090040858</c:v>
                </c:pt>
                <c:pt idx="275">
                  <c:v>-217.39454942511196</c:v>
                </c:pt>
                <c:pt idx="276">
                  <c:v>-218.16254546277958</c:v>
                </c:pt>
                <c:pt idx="277">
                  <c:v>-218.9131279968405</c:v>
                </c:pt>
                <c:pt idx="278">
                  <c:v>-219.64683838424099</c:v>
                </c:pt>
                <c:pt idx="279">
                  <c:v>-220.36420060774032</c:v>
                </c:pt>
                <c:pt idx="280">
                  <c:v>-221.0657215757538</c:v>
                </c:pt>
                <c:pt idx="281">
                  <c:v>-221.75189146092492</c:v>
                </c:pt>
                <c:pt idx="282">
                  <c:v>-222.42318406971251</c:v>
                </c:pt>
                <c:pt idx="283">
                  <c:v>-223.08005723626667</c:v>
                </c:pt>
                <c:pt idx="284">
                  <c:v>-223.72295323475467</c:v>
                </c:pt>
                <c:pt idx="285">
                  <c:v>-224.35229920508422</c:v>
                </c:pt>
                <c:pt idx="286">
                  <c:v>-224.96850758767425</c:v>
                </c:pt>
                <c:pt idx="287">
                  <c:v>-225.57197656354305</c:v>
                </c:pt>
                <c:pt idx="288">
                  <c:v>-226.16309049653378</c:v>
                </c:pt>
                <c:pt idx="289">
                  <c:v>-226.7422203749789</c:v>
                </c:pt>
                <c:pt idx="290">
                  <c:v>-227.3097242505325</c:v>
                </c:pt>
                <c:pt idx="291">
                  <c:v>-227.8659476722699</c:v>
                </c:pt>
                <c:pt idx="292">
                  <c:v>-228.41122411448134</c:v>
                </c:pt>
                <c:pt idx="293">
                  <c:v>-228.94587539686907</c:v>
                </c:pt>
                <c:pt idx="294">
                  <c:v>-229.47021209610622</c:v>
                </c:pt>
                <c:pt idx="295">
                  <c:v>-229.98453394792773</c:v>
                </c:pt>
                <c:pt idx="296">
                  <c:v>-230.48913023911089</c:v>
                </c:pt>
                <c:pt idx="297">
                  <c:v>-230.98428018886113</c:v>
                </c:pt>
                <c:pt idx="298">
                  <c:v>-231.47025331925681</c:v>
                </c:pt>
                <c:pt idx="299">
                  <c:v>-231.94730981452278</c:v>
                </c:pt>
                <c:pt idx="300">
                  <c:v>-232.41570086900362</c:v>
                </c:pt>
                <c:pt idx="301">
                  <c:v>-232.87566902379075</c:v>
                </c:pt>
                <c:pt idx="302">
                  <c:v>-233.32744849202973</c:v>
                </c:pt>
                <c:pt idx="303">
                  <c:v>-233.77126547299292</c:v>
                </c:pt>
                <c:pt idx="304">
                  <c:v>-234.20733845505305</c:v>
                </c:pt>
                <c:pt idx="305">
                  <c:v>-234.63587850773274</c:v>
                </c:pt>
                <c:pt idx="306">
                  <c:v>-235.05708956303971</c:v>
                </c:pt>
                <c:pt idx="307">
                  <c:v>-235.47116868632216</c:v>
                </c:pt>
                <c:pt idx="308">
                  <c:v>-235.87830633690089</c:v>
                </c:pt>
                <c:pt idx="309">
                  <c:v>-236.27868661875038</c:v>
                </c:pt>
                <c:pt idx="310">
                  <c:v>-236.67248752151221</c:v>
                </c:pt>
                <c:pt idx="311">
                  <c:v>-237.05988115213364</c:v>
                </c:pt>
                <c:pt idx="312">
                  <c:v>-237.44103395742749</c:v>
                </c:pt>
                <c:pt idx="313">
                  <c:v>-237.81610693785427</c:v>
                </c:pt>
                <c:pt idx="314">
                  <c:v>-238.18525585282572</c:v>
                </c:pt>
                <c:pt idx="315">
                  <c:v>-238.54863141782903</c:v>
                </c:pt>
                <c:pt idx="316">
                  <c:v>-238.90637949366706</c:v>
                </c:pt>
                <c:pt idx="317">
                  <c:v>-239.25864126810723</c:v>
                </c:pt>
                <c:pt idx="318">
                  <c:v>-239.60555343022367</c:v>
                </c:pt>
                <c:pt idx="319">
                  <c:v>-239.94724833771477</c:v>
                </c:pt>
                <c:pt idx="320">
                  <c:v>-240.28385417746878</c:v>
                </c:pt>
                <c:pt idx="321">
                  <c:v>-240.61549511964444</c:v>
                </c:pt>
                <c:pt idx="322">
                  <c:v>-240.94229146552516</c:v>
                </c:pt>
                <c:pt idx="323">
                  <c:v>-241.26435978939844</c:v>
                </c:pt>
                <c:pt idx="324">
                  <c:v>-241.58181307470335</c:v>
                </c:pt>
                <c:pt idx="325">
                  <c:v>-241.89476084468106</c:v>
                </c:pt>
                <c:pt idx="326">
                  <c:v>-242.20330928775559</c:v>
                </c:pt>
                <c:pt idx="327">
                  <c:v>-242.50756137786325</c:v>
                </c:pt>
                <c:pt idx="328">
                  <c:v>-242.80761698994192</c:v>
                </c:pt>
                <c:pt idx="329">
                  <c:v>-243.10357301078244</c:v>
                </c:pt>
                <c:pt idx="330">
                  <c:v>-243.39552344543782</c:v>
                </c:pt>
                <c:pt idx="331">
                  <c:v>-243.68355951937659</c:v>
                </c:pt>
                <c:pt idx="332">
                  <c:v>-243.96776977656114</c:v>
                </c:pt>
                <c:pt idx="333">
                  <c:v>-244.24824017362312</c:v>
                </c:pt>
                <c:pt idx="334">
                  <c:v>-244.52505417030127</c:v>
                </c:pt>
                <c:pt idx="335">
                  <c:v>-244.7982928163006</c:v>
                </c:pt>
                <c:pt idx="336">
                  <c:v>-245.06803483472459</c:v>
                </c:pt>
                <c:pt idx="337">
                  <c:v>-245.3343567022265</c:v>
                </c:pt>
                <c:pt idx="338">
                  <c:v>-245.59733272601824</c:v>
                </c:pt>
                <c:pt idx="339">
                  <c:v>-245.85703511787116</c:v>
                </c:pt>
                <c:pt idx="340">
                  <c:v>-246.11353406523551</c:v>
                </c:pt>
                <c:pt idx="341">
                  <c:v>-246.36689779960136</c:v>
                </c:pt>
                <c:pt idx="342">
                  <c:v>-246.61719266221743</c:v>
                </c:pt>
                <c:pt idx="343">
                  <c:v>-246.86448316727916</c:v>
                </c:pt>
                <c:pt idx="344">
                  <c:v>-247.10883206269369</c:v>
                </c:pt>
                <c:pt idx="345">
                  <c:v>-247.35030038852295</c:v>
                </c:pt>
                <c:pt idx="346">
                  <c:v>-247.588947533203</c:v>
                </c:pt>
                <c:pt idx="347">
                  <c:v>-247.82483128763238</c:v>
                </c:pt>
                <c:pt idx="348">
                  <c:v>-248.05800789721954</c:v>
                </c:pt>
                <c:pt idx="349">
                  <c:v>-248.2885321119735</c:v>
                </c:pt>
                <c:pt idx="350">
                  <c:v>-248.51645723471984</c:v>
                </c:pt>
                <c:pt idx="351">
                  <c:v>-248.74183516751992</c:v>
                </c:pt>
                <c:pt idx="352">
                  <c:v>-248.96471645636734</c:v>
                </c:pt>
                <c:pt idx="353">
                  <c:v>-249.18515033423301</c:v>
                </c:pt>
                <c:pt idx="354">
                  <c:v>-249.40318476252673</c:v>
                </c:pt>
                <c:pt idx="355">
                  <c:v>-249.61886647104055</c:v>
                </c:pt>
                <c:pt idx="356">
                  <c:v>-249.83224099643542</c:v>
                </c:pt>
                <c:pt idx="357">
                  <c:v>-250.04335271933087</c:v>
                </c:pt>
                <c:pt idx="358">
                  <c:v>-250.25224490005488</c:v>
                </c:pt>
                <c:pt idx="359">
                  <c:v>-250.45895971310699</c:v>
                </c:pt>
                <c:pt idx="360">
                  <c:v>-250.66353828038814</c:v>
                </c:pt>
                <c:pt idx="361">
                  <c:v>-250.86602070324554</c:v>
                </c:pt>
                <c:pt idx="362">
                  <c:v>-251.06644609338053</c:v>
                </c:pt>
                <c:pt idx="363">
                  <c:v>-251.264852602665</c:v>
                </c:pt>
                <c:pt idx="364">
                  <c:v>-251.46127745190938</c:v>
                </c:pt>
                <c:pt idx="365">
                  <c:v>-251.65575695862401</c:v>
                </c:pt>
                <c:pt idx="366">
                  <c:v>-251.84832656381354</c:v>
                </c:pt>
                <c:pt idx="367">
                  <c:v>-252.03902085784216</c:v>
                </c:pt>
                <c:pt idx="368">
                  <c:v>-252.22787360540636</c:v>
                </c:pt>
                <c:pt idx="369">
                  <c:v>-252.41491776965006</c:v>
                </c:pt>
                <c:pt idx="370">
                  <c:v>-252.60018553545478</c:v>
                </c:pt>
                <c:pt idx="371">
                  <c:v>-252.78370833193782</c:v>
                </c:pt>
                <c:pt idx="372">
                  <c:v>-252.96551685418788</c:v>
                </c:pt>
                <c:pt idx="373">
                  <c:v>-253.14564108426845</c:v>
                </c:pt>
                <c:pt idx="374">
                  <c:v>-253.32411031151582</c:v>
                </c:pt>
                <c:pt idx="375">
                  <c:v>-253.50095315215964</c:v>
                </c:pt>
                <c:pt idx="376">
                  <c:v>-253.676197568291</c:v>
                </c:pt>
                <c:pt idx="377">
                  <c:v>-253.84987088620306</c:v>
                </c:pt>
                <c:pt idx="378">
                  <c:v>-254.02199981412738</c:v>
                </c:pt>
                <c:pt idx="379">
                  <c:v>-254.19261045938924</c:v>
                </c:pt>
                <c:pt idx="380">
                  <c:v>-254.36172834500292</c:v>
                </c:pt>
                <c:pt idx="381">
                  <c:v>-254.52937842572817</c:v>
                </c:pt>
                <c:pt idx="382">
                  <c:v>-254.69558510360784</c:v>
                </c:pt>
                <c:pt idx="383">
                  <c:v>-254.86037224300532</c:v>
                </c:pt>
                <c:pt idx="384">
                  <c:v>-255.02376318516053</c:v>
                </c:pt>
                <c:pt idx="385">
                  <c:v>-255.18578076228221</c:v>
                </c:pt>
                <c:pt idx="386">
                  <c:v>-255.34644731119249</c:v>
                </c:pt>
                <c:pt idx="387">
                  <c:v>-255.50578468654118</c:v>
                </c:pt>
                <c:pt idx="388">
                  <c:v>-255.6638142736042</c:v>
                </c:pt>
                <c:pt idx="389">
                  <c:v>-255.82055700068207</c:v>
                </c:pt>
                <c:pt idx="390">
                  <c:v>-255.97603335111131</c:v>
                </c:pt>
                <c:pt idx="391">
                  <c:v>-256.13026337490464</c:v>
                </c:pt>
                <c:pt idx="392">
                  <c:v>-256.28326670003099</c:v>
                </c:pt>
                <c:pt idx="393">
                  <c:v>-256.43506254334932</c:v>
                </c:pt>
                <c:pt idx="394">
                  <c:v>-256.58566972120832</c:v>
                </c:pt>
                <c:pt idx="395">
                  <c:v>-256.73510665972299</c:v>
                </c:pt>
                <c:pt idx="396">
                  <c:v>-256.88339140474022</c:v>
                </c:pt>
                <c:pt idx="397">
                  <c:v>-257.03054163150341</c:v>
                </c:pt>
                <c:pt idx="398">
                  <c:v>-257.17657465402721</c:v>
                </c:pt>
                <c:pt idx="399">
                  <c:v>-257.32150743419191</c:v>
                </c:pt>
                <c:pt idx="400">
                  <c:v>-257.46535659056696</c:v>
                </c:pt>
                <c:pt idx="401">
                  <c:v>-257.60813840697341</c:v>
                </c:pt>
                <c:pt idx="402">
                  <c:v>-257.74986884079379</c:v>
                </c:pt>
                <c:pt idx="403">
                  <c:v>-257.89056353103769</c:v>
                </c:pt>
                <c:pt idx="404">
                  <c:v>-258.03023780617207</c:v>
                </c:pt>
                <c:pt idx="405">
                  <c:v>-258.16890669172324</c:v>
                </c:pt>
                <c:pt idx="406">
                  <c:v>-258.30658491765928</c:v>
                </c:pt>
                <c:pt idx="407">
                  <c:v>-258.44328692555843</c:v>
                </c:pt>
                <c:pt idx="408">
                  <c:v>-258.57902687557282</c:v>
                </c:pt>
                <c:pt idx="409">
                  <c:v>-258.71381865319256</c:v>
                </c:pt>
                <c:pt idx="410">
                  <c:v>-258.847675875817</c:v>
                </c:pt>
                <c:pt idx="411">
                  <c:v>-258.98061189914057</c:v>
                </c:pt>
                <c:pt idx="412">
                  <c:v>-259.11263982335748</c:v>
                </c:pt>
                <c:pt idx="413">
                  <c:v>-259.24377249919308</c:v>
                </c:pt>
                <c:pt idx="414">
                  <c:v>-259.37402253376581</c:v>
                </c:pt>
                <c:pt idx="415">
                  <c:v>-259.5034022962862</c:v>
                </c:pt>
                <c:pt idx="416">
                  <c:v>-259.63192392359758</c:v>
                </c:pt>
                <c:pt idx="417">
                  <c:v>-259.75959932556435</c:v>
                </c:pt>
                <c:pt idx="418">
                  <c:v>-259.88644019031153</c:v>
                </c:pt>
                <c:pt idx="419">
                  <c:v>-260.01245798932109</c:v>
                </c:pt>
                <c:pt idx="420">
                  <c:v>-260.13766398238948</c:v>
                </c:pt>
                <c:pt idx="421">
                  <c:v>-260.26206922245041</c:v>
                </c:pt>
                <c:pt idx="422">
                  <c:v>-260.38568456026752</c:v>
                </c:pt>
                <c:pt idx="423">
                  <c:v>-260.50852064900039</c:v>
                </c:pt>
                <c:pt idx="424">
                  <c:v>-260.63058794864833</c:v>
                </c:pt>
                <c:pt idx="425">
                  <c:v>-260.75189673037619</c:v>
                </c:pt>
                <c:pt idx="426">
                  <c:v>-260.87245708072373</c:v>
                </c:pt>
                <c:pt idx="427">
                  <c:v>-260.99227890570535</c:v>
                </c:pt>
                <c:pt idx="428">
                  <c:v>-261.11137193480027</c:v>
                </c:pt>
                <c:pt idx="429">
                  <c:v>-261.22974572483906</c:v>
                </c:pt>
                <c:pt idx="430">
                  <c:v>-261.34740966378786</c:v>
                </c:pt>
                <c:pt idx="431">
                  <c:v>-261.46437297443447</c:v>
                </c:pt>
                <c:pt idx="432">
                  <c:v>-261.58064471797888</c:v>
                </c:pt>
                <c:pt idx="433">
                  <c:v>-261.69623379753068</c:v>
                </c:pt>
                <c:pt idx="434">
                  <c:v>-261.81114896151735</c:v>
                </c:pt>
                <c:pt idx="435">
                  <c:v>-261.92539880700411</c:v>
                </c:pt>
                <c:pt idx="436">
                  <c:v>-262.03899178293051</c:v>
                </c:pt>
                <c:pt idx="437">
                  <c:v>-262.1519361932634</c:v>
                </c:pt>
                <c:pt idx="438">
                  <c:v>-262.26424020007119</c:v>
                </c:pt>
                <c:pt idx="439">
                  <c:v>-262.37591182652</c:v>
                </c:pt>
                <c:pt idx="440">
                  <c:v>-262.48695895979506</c:v>
                </c:pt>
                <c:pt idx="441">
                  <c:v>-262.59738935394853</c:v>
                </c:pt>
                <c:pt idx="442">
                  <c:v>-262.70721063267717</c:v>
                </c:pt>
                <c:pt idx="443">
                  <c:v>-262.81643029203042</c:v>
                </c:pt>
                <c:pt idx="444">
                  <c:v>-262.92505570305184</c:v>
                </c:pt>
                <c:pt idx="445">
                  <c:v>-263.03309411435578</c:v>
                </c:pt>
                <c:pt idx="446">
                  <c:v>-263.1405526546406</c:v>
                </c:pt>
                <c:pt idx="447">
                  <c:v>-263.24743833514049</c:v>
                </c:pt>
                <c:pt idx="448">
                  <c:v>-263.35375805201812</c:v>
                </c:pt>
                <c:pt idx="449">
                  <c:v>-263.45951858869876</c:v>
                </c:pt>
                <c:pt idx="450">
                  <c:v>-263.56472661814837</c:v>
                </c:pt>
                <c:pt idx="451">
                  <c:v>-263.66938870509711</c:v>
                </c:pt>
                <c:pt idx="452">
                  <c:v>-263.77351130820904</c:v>
                </c:pt>
                <c:pt idx="453">
                  <c:v>-263.8771007822009</c:v>
                </c:pt>
                <c:pt idx="454">
                  <c:v>-263.98016337990953</c:v>
                </c:pt>
                <c:pt idx="455">
                  <c:v>-264.08270525431141</c:v>
                </c:pt>
                <c:pt idx="456">
                  <c:v>-264.18473246049359</c:v>
                </c:pt>
                <c:pt idx="457">
                  <c:v>-264.28625095757934</c:v>
                </c:pt>
                <c:pt idx="458">
                  <c:v>-264.38726661060747</c:v>
                </c:pt>
                <c:pt idx="459">
                  <c:v>-264.4877851923693</c:v>
                </c:pt>
                <c:pt idx="460">
                  <c:v>-264.58781238520157</c:v>
                </c:pt>
                <c:pt idx="461">
                  <c:v>-264.68735378273891</c:v>
                </c:pt>
                <c:pt idx="462">
                  <c:v>-264.78641489162533</c:v>
                </c:pt>
                <c:pt idx="463">
                  <c:v>-264.88500113318645</c:v>
                </c:pt>
                <c:pt idx="464">
                  <c:v>-264.98311784506387</c:v>
                </c:pt>
                <c:pt idx="465">
                  <c:v>-265.08077028281161</c:v>
                </c:pt>
                <c:pt idx="466">
                  <c:v>-265.17796362145691</c:v>
                </c:pt>
                <c:pt idx="467">
                  <c:v>-265.27470295702528</c:v>
                </c:pt>
                <c:pt idx="468">
                  <c:v>-265.37099330803159</c:v>
                </c:pt>
                <c:pt idx="469">
                  <c:v>-265.46683961693697</c:v>
                </c:pt>
                <c:pt idx="470">
                  <c:v>-265.5622467515737</c:v>
                </c:pt>
                <c:pt idx="471">
                  <c:v>-265.65721950653824</c:v>
                </c:pt>
                <c:pt idx="472">
                  <c:v>-265.75176260455316</c:v>
                </c:pt>
                <c:pt idx="473">
                  <c:v>-265.84588069779863</c:v>
                </c:pt>
                <c:pt idx="474">
                  <c:v>-265.93957836921516</c:v>
                </c:pt>
                <c:pt idx="475">
                  <c:v>-266.03286013377726</c:v>
                </c:pt>
                <c:pt idx="476">
                  <c:v>-266.1257304397393</c:v>
                </c:pt>
                <c:pt idx="477">
                  <c:v>-266.21819366985403</c:v>
                </c:pt>
                <c:pt idx="478">
                  <c:v>-266.31025414256499</c:v>
                </c:pt>
                <c:pt idx="479">
                  <c:v>-266.40191611317249</c:v>
                </c:pt>
                <c:pt idx="480">
                  <c:v>-266.49318377497491</c:v>
                </c:pt>
                <c:pt idx="481">
                  <c:v>-266.58406126038528</c:v>
                </c:pt>
                <c:pt idx="482">
                  <c:v>-266.67455264202374</c:v>
                </c:pt>
                <c:pt idx="483">
                  <c:v>-266.7646619337869</c:v>
                </c:pt>
                <c:pt idx="484">
                  <c:v>-266.85439309189405</c:v>
                </c:pt>
                <c:pt idx="485">
                  <c:v>-266.94375001591169</c:v>
                </c:pt>
                <c:pt idx="486">
                  <c:v>-267.0327365497559</c:v>
                </c:pt>
                <c:pt idx="487">
                  <c:v>-267.12135648267395</c:v>
                </c:pt>
                <c:pt idx="488">
                  <c:v>-267.20961355020472</c:v>
                </c:pt>
                <c:pt idx="489">
                  <c:v>-267.2975114351201</c:v>
                </c:pt>
                <c:pt idx="490">
                  <c:v>-267.3850537683453</c:v>
                </c:pt>
                <c:pt idx="491">
                  <c:v>-267.472244129861</c:v>
                </c:pt>
                <c:pt idx="492">
                  <c:v>-267.55908604958694</c:v>
                </c:pt>
                <c:pt idx="493">
                  <c:v>-267.64558300824638</c:v>
                </c:pt>
                <c:pt idx="494">
                  <c:v>-267.73173843821348</c:v>
                </c:pt>
                <c:pt idx="495">
                  <c:v>-267.81755572434309</c:v>
                </c:pt>
                <c:pt idx="496">
                  <c:v>-267.90303820478346</c:v>
                </c:pt>
                <c:pt idx="497">
                  <c:v>-267.9881891717726</c:v>
                </c:pt>
                <c:pt idx="498">
                  <c:v>-268.07301187241819</c:v>
                </c:pt>
                <c:pt idx="499">
                  <c:v>-268.1575095094621</c:v>
                </c:pt>
                <c:pt idx="500">
                  <c:v>-268.24168524202889</c:v>
                </c:pt>
                <c:pt idx="501">
                  <c:v>-268.32554218635994</c:v>
                </c:pt>
                <c:pt idx="502">
                  <c:v>-268.40908341653233</c:v>
                </c:pt>
                <c:pt idx="503">
                  <c:v>-268.49231196516348</c:v>
                </c:pt>
                <c:pt idx="504">
                  <c:v>-268.57523082410216</c:v>
                </c:pt>
                <c:pt idx="505">
                  <c:v>-268.6578429451049</c:v>
                </c:pt>
                <c:pt idx="506">
                  <c:v>-268.74015124050021</c:v>
                </c:pt>
                <c:pt idx="507">
                  <c:v>-268.82215858383847</c:v>
                </c:pt>
                <c:pt idx="508">
                  <c:v>-268.9038678105299</c:v>
                </c:pt>
                <c:pt idx="509">
                  <c:v>-268.98528171846976</c:v>
                </c:pt>
                <c:pt idx="510">
                  <c:v>-269.06640306865131</c:v>
                </c:pt>
                <c:pt idx="511">
                  <c:v>-269.14723458576668</c:v>
                </c:pt>
                <c:pt idx="512">
                  <c:v>-269.22777895879648</c:v>
                </c:pt>
                <c:pt idx="513">
                  <c:v>-269.30803884158775</c:v>
                </c:pt>
                <c:pt idx="514">
                  <c:v>-269.38801685342042</c:v>
                </c:pt>
                <c:pt idx="515">
                  <c:v>-269.46771557956384</c:v>
                </c:pt>
                <c:pt idx="516">
                  <c:v>-269.54713757182157</c:v>
                </c:pt>
                <c:pt idx="517">
                  <c:v>-269.62628534906639</c:v>
                </c:pt>
                <c:pt idx="518">
                  <c:v>-269.70516139776498</c:v>
                </c:pt>
                <c:pt idx="519">
                  <c:v>-269.78376817249256</c:v>
                </c:pt>
                <c:pt idx="520">
                  <c:v>-269.86210809643796</c:v>
                </c:pt>
                <c:pt idx="521">
                  <c:v>-269.940183561899</c:v>
                </c:pt>
                <c:pt idx="522">
                  <c:v>-270.0179969307685</c:v>
                </c:pt>
                <c:pt idx="523">
                  <c:v>-270.09555053501151</c:v>
                </c:pt>
                <c:pt idx="524">
                  <c:v>-270.17284667713307</c:v>
                </c:pt>
                <c:pt idx="525">
                  <c:v>-270.249887630638</c:v>
                </c:pt>
                <c:pt idx="526">
                  <c:v>-270.32667564048108</c:v>
                </c:pt>
                <c:pt idx="527">
                  <c:v>-270.4032129235103</c:v>
                </c:pt>
                <c:pt idx="528">
                  <c:v>-270.47950166890058</c:v>
                </c:pt>
                <c:pt idx="529">
                  <c:v>-270.55554403858019</c:v>
                </c:pt>
                <c:pt idx="530">
                  <c:v>-270.63134216764939</c:v>
                </c:pt>
                <c:pt idx="531">
                  <c:v>-270.70689816479114</c:v>
                </c:pt>
                <c:pt idx="532">
                  <c:v>-270.7822141126743</c:v>
                </c:pt>
                <c:pt idx="533">
                  <c:v>-270.85729206834992</c:v>
                </c:pt>
                <c:pt idx="534">
                  <c:v>-270.93213406363975</c:v>
                </c:pt>
                <c:pt idx="535">
                  <c:v>-271.00674210551813</c:v>
                </c:pt>
                <c:pt idx="536">
                  <c:v>-271.08111817648683</c:v>
                </c:pt>
                <c:pt idx="537">
                  <c:v>-271.15526423494327</c:v>
                </c:pt>
                <c:pt idx="538">
                  <c:v>-271.2291822155421</c:v>
                </c:pt>
                <c:pt idx="539">
                  <c:v>-271.30287402955014</c:v>
                </c:pt>
                <c:pt idx="540">
                  <c:v>-271.37634156519522</c:v>
                </c:pt>
                <c:pt idx="541">
                  <c:v>-271.44958668800871</c:v>
                </c:pt>
                <c:pt idx="542">
                  <c:v>-271.52261124116228</c:v>
                </c:pt>
                <c:pt idx="543">
                  <c:v>-271.59541704579783</c:v>
                </c:pt>
                <c:pt idx="544">
                  <c:v>-271.66800590135301</c:v>
                </c:pt>
                <c:pt idx="545">
                  <c:v>-271.74037958587968</c:v>
                </c:pt>
                <c:pt idx="546">
                  <c:v>-271.81253985635749</c:v>
                </c:pt>
                <c:pt idx="547">
                  <c:v>-271.88448844900199</c:v>
                </c:pt>
                <c:pt idx="548">
                  <c:v>-271.95622707956704</c:v>
                </c:pt>
                <c:pt idx="549">
                  <c:v>-272.02775744364237</c:v>
                </c:pt>
                <c:pt idx="550">
                  <c:v>-272.09908121694565</c:v>
                </c:pt>
                <c:pt idx="551">
                  <c:v>-272.1702000556096</c:v>
                </c:pt>
                <c:pt idx="552">
                  <c:v>-272.24111559646457</c:v>
                </c:pt>
                <c:pt idx="553">
                  <c:v>-272.3118294573153</c:v>
                </c:pt>
                <c:pt idx="554">
                  <c:v>-272.38234323721412</c:v>
                </c:pt>
                <c:pt idx="555">
                  <c:v>-272.45265851672866</c:v>
                </c:pt>
                <c:pt idx="556">
                  <c:v>-272.52277685820536</c:v>
                </c:pt>
                <c:pt idx="557">
                  <c:v>-272.59269980602829</c:v>
                </c:pt>
                <c:pt idx="558">
                  <c:v>-272.66242888687395</c:v>
                </c:pt>
                <c:pt idx="559">
                  <c:v>-272.73196560996121</c:v>
                </c:pt>
                <c:pt idx="560">
                  <c:v>-272.80131146729764</c:v>
                </c:pt>
                <c:pt idx="561">
                  <c:v>-272.8704679339213</c:v>
                </c:pt>
                <c:pt idx="562">
                  <c:v>-272.93943646813887</c:v>
                </c:pt>
                <c:pt idx="563">
                  <c:v>-273.00821851175914</c:v>
                </c:pt>
                <c:pt idx="564">
                  <c:v>-273.07681549032321</c:v>
                </c:pt>
                <c:pt idx="565">
                  <c:v>-273.1452288133309</c:v>
                </c:pt>
                <c:pt idx="566">
                  <c:v>-273.2134598744629</c:v>
                </c:pt>
                <c:pt idx="567">
                  <c:v>-273.28151005179973</c:v>
                </c:pt>
                <c:pt idx="568">
                  <c:v>-273.34938070803673</c:v>
                </c:pt>
                <c:pt idx="569">
                  <c:v>-273.4170731906961</c:v>
                </c:pt>
                <c:pt idx="570">
                  <c:v>-273.48458883233457</c:v>
                </c:pt>
                <c:pt idx="571">
                  <c:v>-273.55192895074845</c:v>
                </c:pt>
                <c:pt idx="572">
                  <c:v>-273.61909484917527</c:v>
                </c:pt>
                <c:pt idx="573">
                  <c:v>-273.68608781649147</c:v>
                </c:pt>
                <c:pt idx="574">
                  <c:v>-273.7529091274078</c:v>
                </c:pt>
                <c:pt idx="575">
                  <c:v>-273.8195600426609</c:v>
                </c:pt>
                <c:pt idx="576">
                  <c:v>-273.88604180920203</c:v>
                </c:pt>
                <c:pt idx="577">
                  <c:v>-273.95235566038298</c:v>
                </c:pt>
                <c:pt idx="578">
                  <c:v>-274.01850281613844</c:v>
                </c:pt>
                <c:pt idx="579">
                  <c:v>-274.08448448316619</c:v>
                </c:pt>
                <c:pt idx="580">
                  <c:v>-274.15030185510346</c:v>
                </c:pt>
                <c:pt idx="581">
                  <c:v>-274.2159561127018</c:v>
                </c:pt>
                <c:pt idx="582">
                  <c:v>-274.28144842399774</c:v>
                </c:pt>
                <c:pt idx="583">
                  <c:v>-274.3467799444818</c:v>
                </c:pt>
                <c:pt idx="584">
                  <c:v>-274.41195181726442</c:v>
                </c:pt>
                <c:pt idx="585">
                  <c:v>-274.47696517323925</c:v>
                </c:pt>
                <c:pt idx="586">
                  <c:v>-274.54182113124398</c:v>
                </c:pt>
                <c:pt idx="587">
                  <c:v>-274.60652079821875</c:v>
                </c:pt>
                <c:pt idx="588">
                  <c:v>-274.67106526936175</c:v>
                </c:pt>
                <c:pt idx="589">
                  <c:v>-274.73545562828281</c:v>
                </c:pt>
                <c:pt idx="590">
                  <c:v>-274.79969294715431</c:v>
                </c:pt>
                <c:pt idx="591">
                  <c:v>-274.86377828685966</c:v>
                </c:pt>
                <c:pt idx="592">
                  <c:v>-274.92771269714018</c:v>
                </c:pt>
                <c:pt idx="593">
                  <c:v>-274.99149721673871</c:v>
                </c:pt>
                <c:pt idx="594">
                  <c:v>-275.05513287354165</c:v>
                </c:pt>
                <c:pt idx="595">
                  <c:v>-275.11862068471885</c:v>
                </c:pt>
                <c:pt idx="596">
                  <c:v>-275.18196165686106</c:v>
                </c:pt>
                <c:pt idx="597">
                  <c:v>-275.24515678611533</c:v>
                </c:pt>
                <c:pt idx="598">
                  <c:v>-275.3082070583186</c:v>
                </c:pt>
                <c:pt idx="599">
                  <c:v>-275.37111344912893</c:v>
                </c:pt>
                <c:pt idx="600">
                  <c:v>-275.43387692415513</c:v>
                </c:pt>
                <c:pt idx="601">
                  <c:v>-275.49649843908389</c:v>
                </c:pt>
                <c:pt idx="602">
                  <c:v>-275.55897893980568</c:v>
                </c:pt>
                <c:pt idx="603">
                  <c:v>-275.62131936253809</c:v>
                </c:pt>
                <c:pt idx="604">
                  <c:v>-275.68352063394775</c:v>
                </c:pt>
                <c:pt idx="605">
                  <c:v>-275.74558367127037</c:v>
                </c:pt>
                <c:pt idx="606">
                  <c:v>-278.69032948371159</c:v>
                </c:pt>
                <c:pt idx="607">
                  <c:v>-281.37831783356802</c:v>
                </c:pt>
                <c:pt idx="608">
                  <c:v>-283.86713963826014</c:v>
                </c:pt>
                <c:pt idx="609">
                  <c:v>-286.19480156965096</c:v>
                </c:pt>
                <c:pt idx="610">
                  <c:v>-288.38739622774665</c:v>
                </c:pt>
                <c:pt idx="611">
                  <c:v>-290.46347708708089</c:v>
                </c:pt>
                <c:pt idx="612">
                  <c:v>-292.43667272949324</c:v>
                </c:pt>
                <c:pt idx="613">
                  <c:v>-294.31730912678557</c:v>
                </c:pt>
                <c:pt idx="614">
                  <c:v>-296.11344784173912</c:v>
                </c:pt>
                <c:pt idx="615">
                  <c:v>-297.83156731508325</c:v>
                </c:pt>
                <c:pt idx="616">
                  <c:v>-299.47701914540681</c:v>
                </c:pt>
                <c:pt idx="617">
                  <c:v>-301.05433876342317</c:v>
                </c:pt>
                <c:pt idx="618">
                  <c:v>-301.73394613972062</c:v>
                </c:pt>
                <c:pt idx="619">
                  <c:v>-302.40128968076499</c:v>
                </c:pt>
                <c:pt idx="620">
                  <c:v>-303.05671166163552</c:v>
                </c:pt>
                <c:pt idx="621">
                  <c:v>-303.70053572446449</c:v>
                </c:pt>
                <c:pt idx="622">
                  <c:v>-304.33306864802603</c:v>
                </c:pt>
                <c:pt idx="623">
                  <c:v>-304.95460190873655</c:v>
                </c:pt>
                <c:pt idx="624">
                  <c:v>-305.56541305988287</c:v>
                </c:pt>
                <c:pt idx="625">
                  <c:v>-306.16576695217634</c:v>
                </c:pt>
                <c:pt idx="626">
                  <c:v>-306.7559168155791</c:v>
                </c:pt>
                <c:pt idx="627">
                  <c:v>-307.33610521965949</c:v>
                </c:pt>
                <c:pt idx="628">
                  <c:v>-307.90656492743864</c:v>
                </c:pt>
                <c:pt idx="629">
                  <c:v>-308.46751965572594</c:v>
                </c:pt>
                <c:pt idx="630">
                  <c:v>-309.01918475325323</c:v>
                </c:pt>
                <c:pt idx="631">
                  <c:v>-309.56176780646581</c:v>
                </c:pt>
                <c:pt idx="632">
                  <c:v>-310.09546918157628</c:v>
                </c:pt>
                <c:pt idx="633">
                  <c:v>-310.6204825104038</c:v>
                </c:pt>
                <c:pt idx="634">
                  <c:v>-311.13699512658729</c:v>
                </c:pt>
                <c:pt idx="635">
                  <c:v>-311.64518845794265</c:v>
                </c:pt>
                <c:pt idx="636">
                  <c:v>-312.14523838003106</c:v>
                </c:pt>
                <c:pt idx="637">
                  <c:v>-312.63731553538889</c:v>
                </c:pt>
                <c:pt idx="638">
                  <c:v>-313.12158562233088</c:v>
                </c:pt>
                <c:pt idx="639">
                  <c:v>-313.59820965677204</c:v>
                </c:pt>
                <c:pt idx="640">
                  <c:v>-314.06734421010094</c:v>
                </c:pt>
                <c:pt idx="641">
                  <c:v>-314.52914162578003</c:v>
                </c:pt>
                <c:pt idx="642">
                  <c:v>-314.98375021703157</c:v>
                </c:pt>
                <c:pt idx="643">
                  <c:v>-315.43131444769335</c:v>
                </c:pt>
                <c:pt idx="644">
                  <c:v>-315.87197509808334</c:v>
                </c:pt>
                <c:pt idx="645">
                  <c:v>-316.30586941750039</c:v>
                </c:pt>
                <c:pt idx="646">
                  <c:v>-316.73313126479917</c:v>
                </c:pt>
                <c:pt idx="647">
                  <c:v>-317.15389123831108</c:v>
                </c:pt>
                <c:pt idx="648">
                  <c:v>-317.56827679623927</c:v>
                </c:pt>
                <c:pt idx="649">
                  <c:v>-317.976412368524</c:v>
                </c:pt>
                <c:pt idx="650">
                  <c:v>-318.37841946106158</c:v>
                </c:pt>
                <c:pt idx="651">
                  <c:v>-318.77441675306181</c:v>
                </c:pt>
                <c:pt idx="652">
                  <c:v>-319.16452018823668</c:v>
                </c:pt>
                <c:pt idx="653">
                  <c:v>-319.54884306043658</c:v>
                </c:pt>
                <c:pt idx="654">
                  <c:v>-319.92749609428063</c:v>
                </c:pt>
                <c:pt idx="655">
                  <c:v>-320.30058752126536</c:v>
                </c:pt>
                <c:pt idx="656">
                  <c:v>-320.66822315178251</c:v>
                </c:pt>
                <c:pt idx="657">
                  <c:v>-321.03050644342812</c:v>
                </c:pt>
                <c:pt idx="658">
                  <c:v>-321.38753856594241</c:v>
                </c:pt>
                <c:pt idx="659">
                  <c:v>-321.73941846308219</c:v>
                </c:pt>
                <c:pt idx="660">
                  <c:v>-322.08624291169474</c:v>
                </c:pt>
                <c:pt idx="661">
                  <c:v>-322.42810657823105</c:v>
                </c:pt>
                <c:pt idx="662">
                  <c:v>-322.76510207291102</c:v>
                </c:pt>
                <c:pt idx="663">
                  <c:v>-323.09732000173096</c:v>
                </c:pt>
                <c:pt idx="664">
                  <c:v>-323.42484901648021</c:v>
                </c:pt>
                <c:pt idx="665">
                  <c:v>-323.74777586291884</c:v>
                </c:pt>
                <c:pt idx="666">
                  <c:v>-324.06618542724948</c:v>
                </c:pt>
                <c:pt idx="667">
                  <c:v>-324.3801607810035</c:v>
                </c:pt>
              </c:numCache>
            </c:numRef>
          </c:yVal>
          <c:smooth val="0"/>
          <c:extLst>
            <c:ext xmlns:c16="http://schemas.microsoft.com/office/drawing/2014/chart" uri="{C3380CC4-5D6E-409C-BE32-E72D297353CC}">
              <c16:uniqueId val="{00000001-306B-4242-B253-B9A3B2188A5D}"/>
            </c:ext>
          </c:extLst>
        </c:ser>
        <c:dLbls>
          <c:showLegendKey val="0"/>
          <c:showVal val="0"/>
          <c:showCatName val="0"/>
          <c:showSerName val="0"/>
          <c:showPercent val="0"/>
          <c:showBubbleSize val="0"/>
        </c:dLbls>
        <c:axId val="177465600"/>
        <c:axId val="177467392"/>
      </c:scatterChart>
      <c:valAx>
        <c:axId val="177449216"/>
        <c:scaling>
          <c:logBase val="10"/>
          <c:orientation val="minMax"/>
          <c:max val="10000000"/>
          <c:min val="1000"/>
        </c:scaling>
        <c:delete val="0"/>
        <c:axPos val="b"/>
        <c:title>
          <c:tx>
            <c:rich>
              <a:bodyPr/>
              <a:lstStyle/>
              <a:p>
                <a:pPr>
                  <a:defRPr sz="800" b="1" i="0" u="none" strike="noStrike" baseline="0">
                    <a:solidFill>
                      <a:srgbClr val="000000"/>
                    </a:solidFill>
                    <a:latin typeface="Arial"/>
                    <a:ea typeface="Arial"/>
                    <a:cs typeface="Arial"/>
                  </a:defRPr>
                </a:pPr>
                <a:r>
                  <a:rPr lang="en-US"/>
                  <a:t>Frequency (Hz)</a:t>
                </a:r>
              </a:p>
            </c:rich>
          </c:tx>
          <c:layout>
            <c:manualLayout>
              <c:xMode val="edge"/>
              <c:yMode val="edge"/>
              <c:x val="0.43375680580762788"/>
              <c:y val="0.88281468722659673"/>
            </c:manualLayout>
          </c:layout>
          <c:overlay val="0"/>
          <c:spPr>
            <a:noFill/>
            <a:ln w="25400">
              <a:noFill/>
            </a:ln>
          </c:spPr>
        </c:title>
        <c:numFmt formatCode="General" sourceLinked="1"/>
        <c:majorTickMark val="out"/>
        <c:minorTickMark val="in"/>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77463680"/>
        <c:crossesAt val="-80"/>
        <c:crossBetween val="midCat"/>
      </c:valAx>
      <c:valAx>
        <c:axId val="177463680"/>
        <c:scaling>
          <c:orientation val="minMax"/>
          <c:min val="-60"/>
        </c:scaling>
        <c:delete val="0"/>
        <c:axPos val="l"/>
        <c:majorGridlines>
          <c:spPr>
            <a:ln w="3175">
              <a:solidFill>
                <a:srgbClr val="000000"/>
              </a:solidFill>
              <a:prstDash val="solid"/>
            </a:ln>
          </c:spPr>
        </c:majorGridlines>
        <c:title>
          <c:tx>
            <c:rich>
              <a:bodyPr/>
              <a:lstStyle/>
              <a:p>
                <a:pPr>
                  <a:defRPr sz="800" b="1" i="0" u="none" strike="noStrike" baseline="0">
                    <a:solidFill>
                      <a:srgbClr val="000000"/>
                    </a:solidFill>
                    <a:latin typeface="Arial"/>
                    <a:ea typeface="Arial"/>
                    <a:cs typeface="Arial"/>
                  </a:defRPr>
                </a:pPr>
                <a:r>
                  <a:rPr lang="en-US"/>
                  <a:t>Gain (db)</a:t>
                </a:r>
              </a:p>
            </c:rich>
          </c:tx>
          <c:layout>
            <c:manualLayout>
              <c:xMode val="edge"/>
              <c:yMode val="edge"/>
              <c:x val="3.0852994555354056E-2"/>
              <c:y val="0.44270942694663129"/>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77449216"/>
        <c:crosses val="autoZero"/>
        <c:crossBetween val="midCat"/>
      </c:valAx>
      <c:valAx>
        <c:axId val="177465600"/>
        <c:scaling>
          <c:logBase val="10"/>
          <c:orientation val="minMax"/>
        </c:scaling>
        <c:delete val="1"/>
        <c:axPos val="b"/>
        <c:numFmt formatCode="General" sourceLinked="1"/>
        <c:majorTickMark val="out"/>
        <c:minorTickMark val="none"/>
        <c:tickLblPos val="none"/>
        <c:crossAx val="177467392"/>
        <c:crosses val="autoZero"/>
        <c:crossBetween val="midCat"/>
      </c:valAx>
      <c:valAx>
        <c:axId val="177467392"/>
        <c:scaling>
          <c:orientation val="minMax"/>
        </c:scaling>
        <c:delete val="0"/>
        <c:axPos val="r"/>
        <c:title>
          <c:tx>
            <c:rich>
              <a:bodyPr/>
              <a:lstStyle/>
              <a:p>
                <a:pPr>
                  <a:defRPr sz="800" b="1" i="0" u="none" strike="noStrike" baseline="0">
                    <a:solidFill>
                      <a:srgbClr val="000000"/>
                    </a:solidFill>
                    <a:latin typeface="Arial"/>
                    <a:ea typeface="Arial"/>
                    <a:cs typeface="Arial"/>
                  </a:defRPr>
                </a:pPr>
                <a:r>
                  <a:rPr lang="en-US"/>
                  <a:t>Phase Margin (Deg)</a:t>
                </a:r>
              </a:p>
            </c:rich>
          </c:tx>
          <c:layout>
            <c:manualLayout>
              <c:xMode val="edge"/>
              <c:yMode val="edge"/>
              <c:x val="0.95462794918330363"/>
              <c:y val="0.36718832020997905"/>
            </c:manualLayout>
          </c:layout>
          <c:overlay val="0"/>
          <c:spPr>
            <a:noFill/>
            <a:ln w="25400">
              <a:noFill/>
            </a:ln>
          </c:spPr>
        </c:title>
        <c:numFmt formatCode="General" sourceLinked="1"/>
        <c:majorTickMark val="cross"/>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77465600"/>
        <c:crosses val="max"/>
        <c:crossBetween val="midCat"/>
      </c:valAx>
      <c:spPr>
        <a:noFill/>
        <a:ln w="12700">
          <a:solidFill>
            <a:srgbClr val="808080"/>
          </a:solidFill>
          <a:prstDash val="solid"/>
        </a:ln>
      </c:spPr>
    </c:plotArea>
    <c:legend>
      <c:legendPos val="t"/>
      <c:layout>
        <c:manualLayout>
          <c:xMode val="edge"/>
          <c:yMode val="edge"/>
          <c:x val="0.76406533575318358"/>
          <c:y val="1.3020833333333511E-2"/>
          <c:w val="0.21597096188747997"/>
          <c:h val="0.14583360673665788"/>
        </c:manualLayout>
      </c:layout>
      <c:overlay val="0"/>
      <c:spPr>
        <a:solidFill>
          <a:srgbClr val="FFFFFF"/>
        </a:solidFill>
        <a:ln w="3175">
          <a:solidFill>
            <a:srgbClr val="000000"/>
          </a:solidFill>
          <a:prstDash val="solid"/>
        </a:ln>
      </c:spPr>
      <c:txPr>
        <a:bodyPr/>
        <a:lstStyle/>
        <a:p>
          <a:pPr>
            <a:defRPr sz="67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25400">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0000000000006" r="0.750000000000006" t="1" header="0.5" footer="0.5"/>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50" b="1" i="0" u="none" strike="noStrike" baseline="0">
                <a:solidFill>
                  <a:srgbClr val="000000"/>
                </a:solidFill>
                <a:latin typeface="Arial"/>
                <a:ea typeface="Arial"/>
                <a:cs typeface="Arial"/>
              </a:defRPr>
            </a:pPr>
            <a:r>
              <a:rPr lang="en-US"/>
              <a:t>Comp to Vout</a:t>
            </a:r>
          </a:p>
        </c:rich>
      </c:tx>
      <c:layout>
        <c:manualLayout>
          <c:xMode val="edge"/>
          <c:yMode val="edge"/>
          <c:x val="0.42753699265852635"/>
          <c:y val="3.3766233766233771E-2"/>
        </c:manualLayout>
      </c:layout>
      <c:overlay val="0"/>
      <c:spPr>
        <a:noFill/>
        <a:ln w="25400">
          <a:noFill/>
        </a:ln>
      </c:spPr>
    </c:title>
    <c:autoTitleDeleted val="0"/>
    <c:plotArea>
      <c:layout>
        <c:manualLayout>
          <c:layoutTarget val="inner"/>
          <c:xMode val="edge"/>
          <c:yMode val="edge"/>
          <c:x val="0.11594223410296738"/>
          <c:y val="0.20779247132770992"/>
          <c:w val="0.79166806723432415"/>
          <c:h val="0.60519557274195002"/>
        </c:manualLayout>
      </c:layout>
      <c:scatterChart>
        <c:scatterStyle val="smoothMarker"/>
        <c:varyColors val="0"/>
        <c:ser>
          <c:idx val="2"/>
          <c:order val="0"/>
          <c:tx>
            <c:v>Actual gain</c:v>
          </c:tx>
          <c:spPr>
            <a:ln w="38100">
              <a:solidFill>
                <a:srgbClr val="FF0000"/>
              </a:solidFill>
              <a:prstDash val="solid"/>
            </a:ln>
          </c:spPr>
          <c:marker>
            <c:symbol val="none"/>
          </c:marker>
          <c:xVal>
            <c:numRef>
              <c:f>'Bode Plots Calculations'!$A$9:$A$676</c:f>
              <c:numCache>
                <c:formatCode>General</c:formatCode>
                <c:ptCount val="668"/>
                <c:pt idx="0">
                  <c:v>1</c:v>
                </c:pt>
                <c:pt idx="1">
                  <c:v>2</c:v>
                </c:pt>
                <c:pt idx="2">
                  <c:v>3</c:v>
                </c:pt>
                <c:pt idx="3">
                  <c:v>4</c:v>
                </c:pt>
                <c:pt idx="4">
                  <c:v>5</c:v>
                </c:pt>
                <c:pt idx="5">
                  <c:v>6</c:v>
                </c:pt>
                <c:pt idx="6">
                  <c:v>7</c:v>
                </c:pt>
                <c:pt idx="7">
                  <c:v>8</c:v>
                </c:pt>
                <c:pt idx="8">
                  <c:v>9</c:v>
                </c:pt>
                <c:pt idx="9">
                  <c:v>10</c:v>
                </c:pt>
                <c:pt idx="10">
                  <c:v>20</c:v>
                </c:pt>
                <c:pt idx="11">
                  <c:v>30</c:v>
                </c:pt>
                <c:pt idx="12">
                  <c:v>40</c:v>
                </c:pt>
                <c:pt idx="13">
                  <c:v>50</c:v>
                </c:pt>
                <c:pt idx="14">
                  <c:v>60</c:v>
                </c:pt>
                <c:pt idx="15">
                  <c:v>70</c:v>
                </c:pt>
                <c:pt idx="16">
                  <c:v>80</c:v>
                </c:pt>
                <c:pt idx="17">
                  <c:v>90</c:v>
                </c:pt>
                <c:pt idx="18">
                  <c:v>100</c:v>
                </c:pt>
                <c:pt idx="19">
                  <c:v>200</c:v>
                </c:pt>
                <c:pt idx="20">
                  <c:v>300</c:v>
                </c:pt>
                <c:pt idx="21">
                  <c:v>400</c:v>
                </c:pt>
                <c:pt idx="22">
                  <c:v>500</c:v>
                </c:pt>
                <c:pt idx="23">
                  <c:v>600</c:v>
                </c:pt>
                <c:pt idx="24">
                  <c:v>700</c:v>
                </c:pt>
                <c:pt idx="25">
                  <c:v>800</c:v>
                </c:pt>
                <c:pt idx="26">
                  <c:v>900</c:v>
                </c:pt>
                <c:pt idx="27">
                  <c:v>1000</c:v>
                </c:pt>
                <c:pt idx="28">
                  <c:v>1500</c:v>
                </c:pt>
                <c:pt idx="29">
                  <c:v>2000</c:v>
                </c:pt>
                <c:pt idx="30">
                  <c:v>2500</c:v>
                </c:pt>
                <c:pt idx="31">
                  <c:v>3000</c:v>
                </c:pt>
                <c:pt idx="32">
                  <c:v>3500</c:v>
                </c:pt>
                <c:pt idx="33">
                  <c:v>4000</c:v>
                </c:pt>
                <c:pt idx="34">
                  <c:v>4500</c:v>
                </c:pt>
                <c:pt idx="35">
                  <c:v>5000</c:v>
                </c:pt>
                <c:pt idx="36">
                  <c:v>5500</c:v>
                </c:pt>
                <c:pt idx="37">
                  <c:v>6000</c:v>
                </c:pt>
                <c:pt idx="38">
                  <c:v>6500</c:v>
                </c:pt>
                <c:pt idx="39">
                  <c:v>7000</c:v>
                </c:pt>
                <c:pt idx="40">
                  <c:v>7500</c:v>
                </c:pt>
                <c:pt idx="41">
                  <c:v>8000</c:v>
                </c:pt>
                <c:pt idx="42">
                  <c:v>8500</c:v>
                </c:pt>
                <c:pt idx="43">
                  <c:v>9000</c:v>
                </c:pt>
                <c:pt idx="44">
                  <c:v>9500</c:v>
                </c:pt>
                <c:pt idx="45">
                  <c:v>10000</c:v>
                </c:pt>
                <c:pt idx="46">
                  <c:v>10500</c:v>
                </c:pt>
                <c:pt idx="47">
                  <c:v>11000</c:v>
                </c:pt>
                <c:pt idx="48">
                  <c:v>11500</c:v>
                </c:pt>
                <c:pt idx="49">
                  <c:v>12000</c:v>
                </c:pt>
                <c:pt idx="50">
                  <c:v>12500</c:v>
                </c:pt>
                <c:pt idx="51">
                  <c:v>13000</c:v>
                </c:pt>
                <c:pt idx="52">
                  <c:v>13500</c:v>
                </c:pt>
                <c:pt idx="53">
                  <c:v>14000</c:v>
                </c:pt>
                <c:pt idx="54">
                  <c:v>14500</c:v>
                </c:pt>
                <c:pt idx="55">
                  <c:v>15000</c:v>
                </c:pt>
                <c:pt idx="56">
                  <c:v>15500</c:v>
                </c:pt>
                <c:pt idx="57">
                  <c:v>16000</c:v>
                </c:pt>
                <c:pt idx="58">
                  <c:v>16500</c:v>
                </c:pt>
                <c:pt idx="59">
                  <c:v>17000</c:v>
                </c:pt>
                <c:pt idx="60">
                  <c:v>17500</c:v>
                </c:pt>
                <c:pt idx="61">
                  <c:v>18000</c:v>
                </c:pt>
                <c:pt idx="62">
                  <c:v>18500</c:v>
                </c:pt>
                <c:pt idx="63">
                  <c:v>19000</c:v>
                </c:pt>
                <c:pt idx="64">
                  <c:v>19500</c:v>
                </c:pt>
                <c:pt idx="65">
                  <c:v>20000</c:v>
                </c:pt>
                <c:pt idx="66">
                  <c:v>20500</c:v>
                </c:pt>
                <c:pt idx="67">
                  <c:v>21000</c:v>
                </c:pt>
                <c:pt idx="68">
                  <c:v>21500</c:v>
                </c:pt>
                <c:pt idx="69">
                  <c:v>22000</c:v>
                </c:pt>
                <c:pt idx="70">
                  <c:v>22500</c:v>
                </c:pt>
                <c:pt idx="71">
                  <c:v>23000</c:v>
                </c:pt>
                <c:pt idx="72">
                  <c:v>23500</c:v>
                </c:pt>
                <c:pt idx="73">
                  <c:v>24000</c:v>
                </c:pt>
                <c:pt idx="74">
                  <c:v>24500</c:v>
                </c:pt>
                <c:pt idx="75">
                  <c:v>25000</c:v>
                </c:pt>
                <c:pt idx="76">
                  <c:v>25500</c:v>
                </c:pt>
                <c:pt idx="77">
                  <c:v>26000</c:v>
                </c:pt>
                <c:pt idx="78">
                  <c:v>26500</c:v>
                </c:pt>
                <c:pt idx="79">
                  <c:v>27000</c:v>
                </c:pt>
                <c:pt idx="80">
                  <c:v>27500</c:v>
                </c:pt>
                <c:pt idx="81">
                  <c:v>28000</c:v>
                </c:pt>
                <c:pt idx="82">
                  <c:v>28500</c:v>
                </c:pt>
                <c:pt idx="83">
                  <c:v>29000</c:v>
                </c:pt>
                <c:pt idx="84">
                  <c:v>29500</c:v>
                </c:pt>
                <c:pt idx="85">
                  <c:v>30000</c:v>
                </c:pt>
                <c:pt idx="86">
                  <c:v>30500</c:v>
                </c:pt>
                <c:pt idx="87">
                  <c:v>31000</c:v>
                </c:pt>
                <c:pt idx="88">
                  <c:v>31500</c:v>
                </c:pt>
                <c:pt idx="89">
                  <c:v>32000</c:v>
                </c:pt>
                <c:pt idx="90">
                  <c:v>32500</c:v>
                </c:pt>
                <c:pt idx="91">
                  <c:v>33000</c:v>
                </c:pt>
                <c:pt idx="92">
                  <c:v>33500</c:v>
                </c:pt>
                <c:pt idx="93">
                  <c:v>34000</c:v>
                </c:pt>
                <c:pt idx="94">
                  <c:v>34500</c:v>
                </c:pt>
                <c:pt idx="95">
                  <c:v>35000</c:v>
                </c:pt>
                <c:pt idx="96">
                  <c:v>35500</c:v>
                </c:pt>
                <c:pt idx="97">
                  <c:v>36000</c:v>
                </c:pt>
                <c:pt idx="98">
                  <c:v>36500</c:v>
                </c:pt>
                <c:pt idx="99">
                  <c:v>37000</c:v>
                </c:pt>
                <c:pt idx="100">
                  <c:v>37500</c:v>
                </c:pt>
                <c:pt idx="101">
                  <c:v>38000</c:v>
                </c:pt>
                <c:pt idx="102">
                  <c:v>38500</c:v>
                </c:pt>
                <c:pt idx="103">
                  <c:v>39000</c:v>
                </c:pt>
                <c:pt idx="104">
                  <c:v>39500</c:v>
                </c:pt>
                <c:pt idx="105">
                  <c:v>40000</c:v>
                </c:pt>
                <c:pt idx="106">
                  <c:v>40500</c:v>
                </c:pt>
                <c:pt idx="107">
                  <c:v>41000</c:v>
                </c:pt>
                <c:pt idx="108">
                  <c:v>41500</c:v>
                </c:pt>
                <c:pt idx="109">
                  <c:v>42000</c:v>
                </c:pt>
                <c:pt idx="110">
                  <c:v>42500</c:v>
                </c:pt>
                <c:pt idx="111">
                  <c:v>43000</c:v>
                </c:pt>
                <c:pt idx="112">
                  <c:v>43500</c:v>
                </c:pt>
                <c:pt idx="113">
                  <c:v>44000</c:v>
                </c:pt>
                <c:pt idx="114">
                  <c:v>44500</c:v>
                </c:pt>
                <c:pt idx="115">
                  <c:v>45000</c:v>
                </c:pt>
                <c:pt idx="116">
                  <c:v>45500</c:v>
                </c:pt>
                <c:pt idx="117">
                  <c:v>46000</c:v>
                </c:pt>
                <c:pt idx="118">
                  <c:v>46500</c:v>
                </c:pt>
                <c:pt idx="119">
                  <c:v>47000</c:v>
                </c:pt>
                <c:pt idx="120">
                  <c:v>47500</c:v>
                </c:pt>
                <c:pt idx="121">
                  <c:v>48000</c:v>
                </c:pt>
                <c:pt idx="122">
                  <c:v>48500</c:v>
                </c:pt>
                <c:pt idx="123">
                  <c:v>49000</c:v>
                </c:pt>
                <c:pt idx="124">
                  <c:v>49500</c:v>
                </c:pt>
                <c:pt idx="125">
                  <c:v>50000</c:v>
                </c:pt>
                <c:pt idx="126">
                  <c:v>50500</c:v>
                </c:pt>
                <c:pt idx="127">
                  <c:v>51000</c:v>
                </c:pt>
                <c:pt idx="128">
                  <c:v>51500</c:v>
                </c:pt>
                <c:pt idx="129">
                  <c:v>52000</c:v>
                </c:pt>
                <c:pt idx="130">
                  <c:v>52500</c:v>
                </c:pt>
                <c:pt idx="131">
                  <c:v>53000</c:v>
                </c:pt>
                <c:pt idx="132">
                  <c:v>53500</c:v>
                </c:pt>
                <c:pt idx="133">
                  <c:v>54000</c:v>
                </c:pt>
                <c:pt idx="134">
                  <c:v>54500</c:v>
                </c:pt>
                <c:pt idx="135">
                  <c:v>55000</c:v>
                </c:pt>
                <c:pt idx="136">
                  <c:v>55500</c:v>
                </c:pt>
                <c:pt idx="137">
                  <c:v>56000</c:v>
                </c:pt>
                <c:pt idx="138">
                  <c:v>56500</c:v>
                </c:pt>
                <c:pt idx="139">
                  <c:v>57000</c:v>
                </c:pt>
                <c:pt idx="140">
                  <c:v>57500</c:v>
                </c:pt>
                <c:pt idx="141">
                  <c:v>58000</c:v>
                </c:pt>
                <c:pt idx="142">
                  <c:v>58500</c:v>
                </c:pt>
                <c:pt idx="143">
                  <c:v>59000</c:v>
                </c:pt>
                <c:pt idx="144">
                  <c:v>59500</c:v>
                </c:pt>
                <c:pt idx="145">
                  <c:v>60000</c:v>
                </c:pt>
                <c:pt idx="146">
                  <c:v>60500</c:v>
                </c:pt>
                <c:pt idx="147">
                  <c:v>61000</c:v>
                </c:pt>
                <c:pt idx="148">
                  <c:v>61500</c:v>
                </c:pt>
                <c:pt idx="149">
                  <c:v>62000</c:v>
                </c:pt>
                <c:pt idx="150">
                  <c:v>62500</c:v>
                </c:pt>
                <c:pt idx="151">
                  <c:v>63000</c:v>
                </c:pt>
                <c:pt idx="152">
                  <c:v>63500</c:v>
                </c:pt>
                <c:pt idx="153">
                  <c:v>64000</c:v>
                </c:pt>
                <c:pt idx="154">
                  <c:v>64500</c:v>
                </c:pt>
                <c:pt idx="155">
                  <c:v>65000</c:v>
                </c:pt>
                <c:pt idx="156">
                  <c:v>65500</c:v>
                </c:pt>
                <c:pt idx="157">
                  <c:v>66000</c:v>
                </c:pt>
                <c:pt idx="158">
                  <c:v>66500</c:v>
                </c:pt>
                <c:pt idx="159">
                  <c:v>67000</c:v>
                </c:pt>
                <c:pt idx="160">
                  <c:v>67500</c:v>
                </c:pt>
                <c:pt idx="161">
                  <c:v>68000</c:v>
                </c:pt>
                <c:pt idx="162">
                  <c:v>68500</c:v>
                </c:pt>
                <c:pt idx="163">
                  <c:v>69000</c:v>
                </c:pt>
                <c:pt idx="164">
                  <c:v>69500</c:v>
                </c:pt>
                <c:pt idx="165">
                  <c:v>70000</c:v>
                </c:pt>
                <c:pt idx="166">
                  <c:v>70500</c:v>
                </c:pt>
                <c:pt idx="167">
                  <c:v>71000</c:v>
                </c:pt>
                <c:pt idx="168">
                  <c:v>71500</c:v>
                </c:pt>
                <c:pt idx="169">
                  <c:v>72000</c:v>
                </c:pt>
                <c:pt idx="170">
                  <c:v>72500</c:v>
                </c:pt>
                <c:pt idx="171">
                  <c:v>73000</c:v>
                </c:pt>
                <c:pt idx="172">
                  <c:v>73500</c:v>
                </c:pt>
                <c:pt idx="173">
                  <c:v>74000</c:v>
                </c:pt>
                <c:pt idx="174">
                  <c:v>74500</c:v>
                </c:pt>
                <c:pt idx="175">
                  <c:v>75000</c:v>
                </c:pt>
                <c:pt idx="176">
                  <c:v>75500</c:v>
                </c:pt>
                <c:pt idx="177">
                  <c:v>76000</c:v>
                </c:pt>
                <c:pt idx="178">
                  <c:v>76500</c:v>
                </c:pt>
                <c:pt idx="179">
                  <c:v>77000</c:v>
                </c:pt>
                <c:pt idx="180">
                  <c:v>77500</c:v>
                </c:pt>
                <c:pt idx="181">
                  <c:v>78000</c:v>
                </c:pt>
                <c:pt idx="182">
                  <c:v>78500</c:v>
                </c:pt>
                <c:pt idx="183">
                  <c:v>79000</c:v>
                </c:pt>
                <c:pt idx="184">
                  <c:v>79500</c:v>
                </c:pt>
                <c:pt idx="185">
                  <c:v>80000</c:v>
                </c:pt>
                <c:pt idx="186">
                  <c:v>80500</c:v>
                </c:pt>
                <c:pt idx="187">
                  <c:v>81000</c:v>
                </c:pt>
                <c:pt idx="188">
                  <c:v>81500</c:v>
                </c:pt>
                <c:pt idx="189">
                  <c:v>82000</c:v>
                </c:pt>
                <c:pt idx="190">
                  <c:v>82500</c:v>
                </c:pt>
                <c:pt idx="191">
                  <c:v>83000</c:v>
                </c:pt>
                <c:pt idx="192">
                  <c:v>83500</c:v>
                </c:pt>
                <c:pt idx="193">
                  <c:v>84000</c:v>
                </c:pt>
                <c:pt idx="194">
                  <c:v>84500</c:v>
                </c:pt>
                <c:pt idx="195">
                  <c:v>85000</c:v>
                </c:pt>
                <c:pt idx="196">
                  <c:v>85500</c:v>
                </c:pt>
                <c:pt idx="197">
                  <c:v>86000</c:v>
                </c:pt>
                <c:pt idx="198">
                  <c:v>86500</c:v>
                </c:pt>
                <c:pt idx="199">
                  <c:v>87000</c:v>
                </c:pt>
                <c:pt idx="200">
                  <c:v>87500</c:v>
                </c:pt>
                <c:pt idx="201">
                  <c:v>88000</c:v>
                </c:pt>
                <c:pt idx="202">
                  <c:v>88500</c:v>
                </c:pt>
                <c:pt idx="203">
                  <c:v>89000</c:v>
                </c:pt>
                <c:pt idx="204">
                  <c:v>89500</c:v>
                </c:pt>
                <c:pt idx="205">
                  <c:v>90000</c:v>
                </c:pt>
                <c:pt idx="206">
                  <c:v>90500</c:v>
                </c:pt>
                <c:pt idx="207">
                  <c:v>91000</c:v>
                </c:pt>
                <c:pt idx="208">
                  <c:v>91500</c:v>
                </c:pt>
                <c:pt idx="209">
                  <c:v>92000</c:v>
                </c:pt>
                <c:pt idx="210">
                  <c:v>92500</c:v>
                </c:pt>
                <c:pt idx="211">
                  <c:v>93000</c:v>
                </c:pt>
                <c:pt idx="212">
                  <c:v>93500</c:v>
                </c:pt>
                <c:pt idx="213">
                  <c:v>94000</c:v>
                </c:pt>
                <c:pt idx="214">
                  <c:v>94500</c:v>
                </c:pt>
                <c:pt idx="215">
                  <c:v>95000</c:v>
                </c:pt>
                <c:pt idx="216">
                  <c:v>95500</c:v>
                </c:pt>
                <c:pt idx="217">
                  <c:v>96000</c:v>
                </c:pt>
                <c:pt idx="218">
                  <c:v>96500</c:v>
                </c:pt>
                <c:pt idx="219">
                  <c:v>97000</c:v>
                </c:pt>
                <c:pt idx="220">
                  <c:v>97500</c:v>
                </c:pt>
                <c:pt idx="221">
                  <c:v>98000</c:v>
                </c:pt>
                <c:pt idx="222">
                  <c:v>98500</c:v>
                </c:pt>
                <c:pt idx="223">
                  <c:v>99000</c:v>
                </c:pt>
                <c:pt idx="224">
                  <c:v>99500</c:v>
                </c:pt>
                <c:pt idx="225">
                  <c:v>100000</c:v>
                </c:pt>
                <c:pt idx="226">
                  <c:v>105000</c:v>
                </c:pt>
                <c:pt idx="227">
                  <c:v>110000</c:v>
                </c:pt>
                <c:pt idx="228">
                  <c:v>115000</c:v>
                </c:pt>
                <c:pt idx="229">
                  <c:v>120000</c:v>
                </c:pt>
                <c:pt idx="230">
                  <c:v>125000</c:v>
                </c:pt>
                <c:pt idx="231">
                  <c:v>130000</c:v>
                </c:pt>
                <c:pt idx="232">
                  <c:v>135000</c:v>
                </c:pt>
                <c:pt idx="233">
                  <c:v>140000</c:v>
                </c:pt>
                <c:pt idx="234">
                  <c:v>145000</c:v>
                </c:pt>
                <c:pt idx="235">
                  <c:v>150000</c:v>
                </c:pt>
                <c:pt idx="236">
                  <c:v>155000</c:v>
                </c:pt>
                <c:pt idx="237">
                  <c:v>160000</c:v>
                </c:pt>
                <c:pt idx="238">
                  <c:v>165000</c:v>
                </c:pt>
                <c:pt idx="239">
                  <c:v>170000</c:v>
                </c:pt>
                <c:pt idx="240">
                  <c:v>175000</c:v>
                </c:pt>
                <c:pt idx="241">
                  <c:v>180000</c:v>
                </c:pt>
                <c:pt idx="242">
                  <c:v>185000</c:v>
                </c:pt>
                <c:pt idx="243">
                  <c:v>190000</c:v>
                </c:pt>
                <c:pt idx="244">
                  <c:v>195000</c:v>
                </c:pt>
                <c:pt idx="245">
                  <c:v>200000</c:v>
                </c:pt>
                <c:pt idx="246">
                  <c:v>205000</c:v>
                </c:pt>
                <c:pt idx="247">
                  <c:v>210000</c:v>
                </c:pt>
                <c:pt idx="248">
                  <c:v>215000</c:v>
                </c:pt>
                <c:pt idx="249">
                  <c:v>220000</c:v>
                </c:pt>
                <c:pt idx="250">
                  <c:v>225000</c:v>
                </c:pt>
                <c:pt idx="251">
                  <c:v>230000</c:v>
                </c:pt>
                <c:pt idx="252">
                  <c:v>235000</c:v>
                </c:pt>
                <c:pt idx="253">
                  <c:v>240000</c:v>
                </c:pt>
                <c:pt idx="254">
                  <c:v>245000</c:v>
                </c:pt>
                <c:pt idx="255">
                  <c:v>250000</c:v>
                </c:pt>
                <c:pt idx="256">
                  <c:v>255000</c:v>
                </c:pt>
                <c:pt idx="257">
                  <c:v>260000</c:v>
                </c:pt>
                <c:pt idx="258">
                  <c:v>265000</c:v>
                </c:pt>
                <c:pt idx="259">
                  <c:v>270000</c:v>
                </c:pt>
                <c:pt idx="260">
                  <c:v>275000</c:v>
                </c:pt>
                <c:pt idx="261">
                  <c:v>280000</c:v>
                </c:pt>
                <c:pt idx="262">
                  <c:v>285000</c:v>
                </c:pt>
                <c:pt idx="263">
                  <c:v>290000</c:v>
                </c:pt>
                <c:pt idx="264">
                  <c:v>295000</c:v>
                </c:pt>
                <c:pt idx="265">
                  <c:v>300000</c:v>
                </c:pt>
                <c:pt idx="266">
                  <c:v>305000</c:v>
                </c:pt>
                <c:pt idx="267">
                  <c:v>310000</c:v>
                </c:pt>
                <c:pt idx="268">
                  <c:v>315000</c:v>
                </c:pt>
                <c:pt idx="269">
                  <c:v>320000</c:v>
                </c:pt>
                <c:pt idx="270">
                  <c:v>325000</c:v>
                </c:pt>
                <c:pt idx="271">
                  <c:v>330000</c:v>
                </c:pt>
                <c:pt idx="272">
                  <c:v>335000</c:v>
                </c:pt>
                <c:pt idx="273">
                  <c:v>340000</c:v>
                </c:pt>
                <c:pt idx="274">
                  <c:v>345000</c:v>
                </c:pt>
                <c:pt idx="275">
                  <c:v>350000</c:v>
                </c:pt>
                <c:pt idx="276">
                  <c:v>355000</c:v>
                </c:pt>
                <c:pt idx="277">
                  <c:v>360000</c:v>
                </c:pt>
                <c:pt idx="278">
                  <c:v>365000</c:v>
                </c:pt>
                <c:pt idx="279">
                  <c:v>370000</c:v>
                </c:pt>
                <c:pt idx="280">
                  <c:v>375000</c:v>
                </c:pt>
                <c:pt idx="281">
                  <c:v>380000</c:v>
                </c:pt>
                <c:pt idx="282">
                  <c:v>385000</c:v>
                </c:pt>
                <c:pt idx="283">
                  <c:v>390000</c:v>
                </c:pt>
                <c:pt idx="284">
                  <c:v>395000</c:v>
                </c:pt>
                <c:pt idx="285">
                  <c:v>400000</c:v>
                </c:pt>
                <c:pt idx="286">
                  <c:v>405000</c:v>
                </c:pt>
                <c:pt idx="287">
                  <c:v>410000</c:v>
                </c:pt>
                <c:pt idx="288">
                  <c:v>415000</c:v>
                </c:pt>
                <c:pt idx="289">
                  <c:v>420000</c:v>
                </c:pt>
                <c:pt idx="290">
                  <c:v>425000</c:v>
                </c:pt>
                <c:pt idx="291">
                  <c:v>430000</c:v>
                </c:pt>
                <c:pt idx="292">
                  <c:v>435000</c:v>
                </c:pt>
                <c:pt idx="293">
                  <c:v>440000</c:v>
                </c:pt>
                <c:pt idx="294">
                  <c:v>445000</c:v>
                </c:pt>
                <c:pt idx="295">
                  <c:v>450000</c:v>
                </c:pt>
                <c:pt idx="296">
                  <c:v>455000</c:v>
                </c:pt>
                <c:pt idx="297">
                  <c:v>460000</c:v>
                </c:pt>
                <c:pt idx="298">
                  <c:v>465000</c:v>
                </c:pt>
                <c:pt idx="299">
                  <c:v>470000</c:v>
                </c:pt>
                <c:pt idx="300">
                  <c:v>475000</c:v>
                </c:pt>
                <c:pt idx="301">
                  <c:v>480000</c:v>
                </c:pt>
                <c:pt idx="302">
                  <c:v>485000</c:v>
                </c:pt>
                <c:pt idx="303">
                  <c:v>490000</c:v>
                </c:pt>
                <c:pt idx="304">
                  <c:v>495000</c:v>
                </c:pt>
                <c:pt idx="305">
                  <c:v>500000</c:v>
                </c:pt>
                <c:pt idx="306">
                  <c:v>505000</c:v>
                </c:pt>
                <c:pt idx="307">
                  <c:v>510000</c:v>
                </c:pt>
                <c:pt idx="308">
                  <c:v>515000</c:v>
                </c:pt>
                <c:pt idx="309">
                  <c:v>520000</c:v>
                </c:pt>
                <c:pt idx="310">
                  <c:v>525000</c:v>
                </c:pt>
                <c:pt idx="311">
                  <c:v>530000</c:v>
                </c:pt>
                <c:pt idx="312">
                  <c:v>535000</c:v>
                </c:pt>
                <c:pt idx="313">
                  <c:v>540000</c:v>
                </c:pt>
                <c:pt idx="314">
                  <c:v>545000</c:v>
                </c:pt>
                <c:pt idx="315">
                  <c:v>550000</c:v>
                </c:pt>
                <c:pt idx="316">
                  <c:v>555000</c:v>
                </c:pt>
                <c:pt idx="317">
                  <c:v>560000</c:v>
                </c:pt>
                <c:pt idx="318">
                  <c:v>565000</c:v>
                </c:pt>
                <c:pt idx="319">
                  <c:v>570000</c:v>
                </c:pt>
                <c:pt idx="320">
                  <c:v>575000</c:v>
                </c:pt>
                <c:pt idx="321">
                  <c:v>580000</c:v>
                </c:pt>
                <c:pt idx="322">
                  <c:v>585000</c:v>
                </c:pt>
                <c:pt idx="323">
                  <c:v>590000</c:v>
                </c:pt>
                <c:pt idx="324">
                  <c:v>595000</c:v>
                </c:pt>
                <c:pt idx="325">
                  <c:v>600000</c:v>
                </c:pt>
                <c:pt idx="326">
                  <c:v>605000</c:v>
                </c:pt>
                <c:pt idx="327">
                  <c:v>610000</c:v>
                </c:pt>
                <c:pt idx="328">
                  <c:v>615000</c:v>
                </c:pt>
                <c:pt idx="329">
                  <c:v>620000</c:v>
                </c:pt>
                <c:pt idx="330">
                  <c:v>625000</c:v>
                </c:pt>
                <c:pt idx="331">
                  <c:v>630000</c:v>
                </c:pt>
                <c:pt idx="332">
                  <c:v>635000</c:v>
                </c:pt>
                <c:pt idx="333">
                  <c:v>640000</c:v>
                </c:pt>
                <c:pt idx="334">
                  <c:v>645000</c:v>
                </c:pt>
                <c:pt idx="335">
                  <c:v>650000</c:v>
                </c:pt>
                <c:pt idx="336">
                  <c:v>655000</c:v>
                </c:pt>
                <c:pt idx="337">
                  <c:v>660000</c:v>
                </c:pt>
                <c:pt idx="338">
                  <c:v>665000</c:v>
                </c:pt>
                <c:pt idx="339">
                  <c:v>670000</c:v>
                </c:pt>
                <c:pt idx="340">
                  <c:v>675000</c:v>
                </c:pt>
                <c:pt idx="341">
                  <c:v>680000</c:v>
                </c:pt>
                <c:pt idx="342">
                  <c:v>685000</c:v>
                </c:pt>
                <c:pt idx="343">
                  <c:v>690000</c:v>
                </c:pt>
                <c:pt idx="344">
                  <c:v>695000</c:v>
                </c:pt>
                <c:pt idx="345">
                  <c:v>700000</c:v>
                </c:pt>
                <c:pt idx="346">
                  <c:v>705000</c:v>
                </c:pt>
                <c:pt idx="347">
                  <c:v>710000</c:v>
                </c:pt>
                <c:pt idx="348">
                  <c:v>715000</c:v>
                </c:pt>
                <c:pt idx="349">
                  <c:v>720000</c:v>
                </c:pt>
                <c:pt idx="350">
                  <c:v>725000</c:v>
                </c:pt>
                <c:pt idx="351">
                  <c:v>730000</c:v>
                </c:pt>
                <c:pt idx="352">
                  <c:v>735000</c:v>
                </c:pt>
                <c:pt idx="353">
                  <c:v>740000</c:v>
                </c:pt>
                <c:pt idx="354">
                  <c:v>745000</c:v>
                </c:pt>
                <c:pt idx="355">
                  <c:v>750000</c:v>
                </c:pt>
                <c:pt idx="356">
                  <c:v>755000</c:v>
                </c:pt>
                <c:pt idx="357">
                  <c:v>760000</c:v>
                </c:pt>
                <c:pt idx="358">
                  <c:v>765000</c:v>
                </c:pt>
                <c:pt idx="359">
                  <c:v>770000</c:v>
                </c:pt>
                <c:pt idx="360">
                  <c:v>775000</c:v>
                </c:pt>
                <c:pt idx="361">
                  <c:v>780000</c:v>
                </c:pt>
                <c:pt idx="362">
                  <c:v>785000</c:v>
                </c:pt>
                <c:pt idx="363">
                  <c:v>790000</c:v>
                </c:pt>
                <c:pt idx="364">
                  <c:v>795000</c:v>
                </c:pt>
                <c:pt idx="365">
                  <c:v>800000</c:v>
                </c:pt>
                <c:pt idx="366">
                  <c:v>805000</c:v>
                </c:pt>
                <c:pt idx="367">
                  <c:v>810000</c:v>
                </c:pt>
                <c:pt idx="368">
                  <c:v>815000</c:v>
                </c:pt>
                <c:pt idx="369">
                  <c:v>820000</c:v>
                </c:pt>
                <c:pt idx="370">
                  <c:v>825000</c:v>
                </c:pt>
                <c:pt idx="371">
                  <c:v>830000</c:v>
                </c:pt>
                <c:pt idx="372">
                  <c:v>835000</c:v>
                </c:pt>
                <c:pt idx="373">
                  <c:v>840000</c:v>
                </c:pt>
                <c:pt idx="374">
                  <c:v>845000</c:v>
                </c:pt>
                <c:pt idx="375">
                  <c:v>850000</c:v>
                </c:pt>
                <c:pt idx="376">
                  <c:v>855000</c:v>
                </c:pt>
                <c:pt idx="377">
                  <c:v>860000</c:v>
                </c:pt>
                <c:pt idx="378">
                  <c:v>865000</c:v>
                </c:pt>
                <c:pt idx="379">
                  <c:v>870000</c:v>
                </c:pt>
                <c:pt idx="380">
                  <c:v>875000</c:v>
                </c:pt>
                <c:pt idx="381">
                  <c:v>880000</c:v>
                </c:pt>
                <c:pt idx="382">
                  <c:v>885000</c:v>
                </c:pt>
                <c:pt idx="383">
                  <c:v>890000</c:v>
                </c:pt>
                <c:pt idx="384">
                  <c:v>895000</c:v>
                </c:pt>
                <c:pt idx="385">
                  <c:v>900000</c:v>
                </c:pt>
                <c:pt idx="386">
                  <c:v>905000</c:v>
                </c:pt>
                <c:pt idx="387">
                  <c:v>910000</c:v>
                </c:pt>
                <c:pt idx="388">
                  <c:v>915000</c:v>
                </c:pt>
                <c:pt idx="389">
                  <c:v>920000</c:v>
                </c:pt>
                <c:pt idx="390">
                  <c:v>925000</c:v>
                </c:pt>
                <c:pt idx="391">
                  <c:v>930000</c:v>
                </c:pt>
                <c:pt idx="392">
                  <c:v>935000</c:v>
                </c:pt>
                <c:pt idx="393">
                  <c:v>940000</c:v>
                </c:pt>
                <c:pt idx="394">
                  <c:v>945000</c:v>
                </c:pt>
                <c:pt idx="395">
                  <c:v>950000</c:v>
                </c:pt>
                <c:pt idx="396">
                  <c:v>955000</c:v>
                </c:pt>
                <c:pt idx="397">
                  <c:v>960000</c:v>
                </c:pt>
                <c:pt idx="398">
                  <c:v>965000</c:v>
                </c:pt>
                <c:pt idx="399">
                  <c:v>970000</c:v>
                </c:pt>
                <c:pt idx="400">
                  <c:v>975000</c:v>
                </c:pt>
                <c:pt idx="401">
                  <c:v>980000</c:v>
                </c:pt>
                <c:pt idx="402">
                  <c:v>985000</c:v>
                </c:pt>
                <c:pt idx="403">
                  <c:v>990000</c:v>
                </c:pt>
                <c:pt idx="404">
                  <c:v>995000</c:v>
                </c:pt>
                <c:pt idx="405">
                  <c:v>1000000</c:v>
                </c:pt>
                <c:pt idx="406">
                  <c:v>1005000</c:v>
                </c:pt>
                <c:pt idx="407">
                  <c:v>1010000</c:v>
                </c:pt>
                <c:pt idx="408">
                  <c:v>1015000</c:v>
                </c:pt>
                <c:pt idx="409">
                  <c:v>1020000</c:v>
                </c:pt>
                <c:pt idx="410">
                  <c:v>1025000</c:v>
                </c:pt>
                <c:pt idx="411">
                  <c:v>1030000</c:v>
                </c:pt>
                <c:pt idx="412">
                  <c:v>1035000</c:v>
                </c:pt>
                <c:pt idx="413">
                  <c:v>1040000</c:v>
                </c:pt>
                <c:pt idx="414">
                  <c:v>1045000</c:v>
                </c:pt>
                <c:pt idx="415">
                  <c:v>1050000</c:v>
                </c:pt>
                <c:pt idx="416">
                  <c:v>1055000</c:v>
                </c:pt>
                <c:pt idx="417">
                  <c:v>1060000</c:v>
                </c:pt>
                <c:pt idx="418">
                  <c:v>1065000</c:v>
                </c:pt>
                <c:pt idx="419">
                  <c:v>1070000</c:v>
                </c:pt>
                <c:pt idx="420">
                  <c:v>1075000</c:v>
                </c:pt>
                <c:pt idx="421">
                  <c:v>1080000</c:v>
                </c:pt>
                <c:pt idx="422">
                  <c:v>1085000</c:v>
                </c:pt>
                <c:pt idx="423">
                  <c:v>1090000</c:v>
                </c:pt>
                <c:pt idx="424">
                  <c:v>1095000</c:v>
                </c:pt>
                <c:pt idx="425">
                  <c:v>1100000</c:v>
                </c:pt>
                <c:pt idx="426">
                  <c:v>1105000</c:v>
                </c:pt>
                <c:pt idx="427">
                  <c:v>1110000</c:v>
                </c:pt>
                <c:pt idx="428">
                  <c:v>1115000</c:v>
                </c:pt>
                <c:pt idx="429">
                  <c:v>1120000</c:v>
                </c:pt>
                <c:pt idx="430">
                  <c:v>1125000</c:v>
                </c:pt>
                <c:pt idx="431">
                  <c:v>1130000</c:v>
                </c:pt>
                <c:pt idx="432">
                  <c:v>1135000</c:v>
                </c:pt>
                <c:pt idx="433">
                  <c:v>1140000</c:v>
                </c:pt>
                <c:pt idx="434">
                  <c:v>1145000</c:v>
                </c:pt>
                <c:pt idx="435">
                  <c:v>1150000</c:v>
                </c:pt>
                <c:pt idx="436">
                  <c:v>1155000</c:v>
                </c:pt>
                <c:pt idx="437">
                  <c:v>1160000</c:v>
                </c:pt>
                <c:pt idx="438">
                  <c:v>1165000</c:v>
                </c:pt>
                <c:pt idx="439">
                  <c:v>1170000</c:v>
                </c:pt>
                <c:pt idx="440">
                  <c:v>1175000</c:v>
                </c:pt>
                <c:pt idx="441">
                  <c:v>1180000</c:v>
                </c:pt>
                <c:pt idx="442">
                  <c:v>1185000</c:v>
                </c:pt>
                <c:pt idx="443">
                  <c:v>1190000</c:v>
                </c:pt>
                <c:pt idx="444">
                  <c:v>1195000</c:v>
                </c:pt>
                <c:pt idx="445">
                  <c:v>1200000</c:v>
                </c:pt>
                <c:pt idx="446">
                  <c:v>1205000</c:v>
                </c:pt>
                <c:pt idx="447">
                  <c:v>1210000</c:v>
                </c:pt>
                <c:pt idx="448">
                  <c:v>1215000</c:v>
                </c:pt>
                <c:pt idx="449">
                  <c:v>1220000</c:v>
                </c:pt>
                <c:pt idx="450">
                  <c:v>1225000</c:v>
                </c:pt>
                <c:pt idx="451">
                  <c:v>1230000</c:v>
                </c:pt>
                <c:pt idx="452">
                  <c:v>1235000</c:v>
                </c:pt>
                <c:pt idx="453">
                  <c:v>1240000</c:v>
                </c:pt>
                <c:pt idx="454">
                  <c:v>1245000</c:v>
                </c:pt>
                <c:pt idx="455">
                  <c:v>1250000</c:v>
                </c:pt>
                <c:pt idx="456">
                  <c:v>1255000</c:v>
                </c:pt>
                <c:pt idx="457">
                  <c:v>1260000</c:v>
                </c:pt>
                <c:pt idx="458">
                  <c:v>1265000</c:v>
                </c:pt>
                <c:pt idx="459">
                  <c:v>1270000</c:v>
                </c:pt>
                <c:pt idx="460">
                  <c:v>1275000</c:v>
                </c:pt>
                <c:pt idx="461">
                  <c:v>1280000</c:v>
                </c:pt>
                <c:pt idx="462">
                  <c:v>1285000</c:v>
                </c:pt>
                <c:pt idx="463">
                  <c:v>1290000</c:v>
                </c:pt>
                <c:pt idx="464">
                  <c:v>1295000</c:v>
                </c:pt>
                <c:pt idx="465">
                  <c:v>1300000</c:v>
                </c:pt>
                <c:pt idx="466">
                  <c:v>1305000</c:v>
                </c:pt>
                <c:pt idx="467">
                  <c:v>1310000</c:v>
                </c:pt>
                <c:pt idx="468">
                  <c:v>1315000</c:v>
                </c:pt>
                <c:pt idx="469">
                  <c:v>1320000</c:v>
                </c:pt>
                <c:pt idx="470">
                  <c:v>1325000</c:v>
                </c:pt>
                <c:pt idx="471">
                  <c:v>1330000</c:v>
                </c:pt>
                <c:pt idx="472">
                  <c:v>1335000</c:v>
                </c:pt>
                <c:pt idx="473">
                  <c:v>1340000</c:v>
                </c:pt>
                <c:pt idx="474">
                  <c:v>1345000</c:v>
                </c:pt>
                <c:pt idx="475">
                  <c:v>1350000</c:v>
                </c:pt>
                <c:pt idx="476">
                  <c:v>1355000</c:v>
                </c:pt>
                <c:pt idx="477">
                  <c:v>1360000</c:v>
                </c:pt>
                <c:pt idx="478">
                  <c:v>1365000</c:v>
                </c:pt>
                <c:pt idx="479">
                  <c:v>1370000</c:v>
                </c:pt>
                <c:pt idx="480">
                  <c:v>1375000</c:v>
                </c:pt>
                <c:pt idx="481">
                  <c:v>1380000</c:v>
                </c:pt>
                <c:pt idx="482">
                  <c:v>1385000</c:v>
                </c:pt>
                <c:pt idx="483">
                  <c:v>1390000</c:v>
                </c:pt>
                <c:pt idx="484">
                  <c:v>1395000</c:v>
                </c:pt>
                <c:pt idx="485">
                  <c:v>1400000</c:v>
                </c:pt>
                <c:pt idx="486">
                  <c:v>1405000</c:v>
                </c:pt>
                <c:pt idx="487">
                  <c:v>1410000</c:v>
                </c:pt>
                <c:pt idx="488">
                  <c:v>1415000</c:v>
                </c:pt>
                <c:pt idx="489">
                  <c:v>1420000</c:v>
                </c:pt>
                <c:pt idx="490">
                  <c:v>1425000</c:v>
                </c:pt>
                <c:pt idx="491">
                  <c:v>1430000</c:v>
                </c:pt>
                <c:pt idx="492">
                  <c:v>1435000</c:v>
                </c:pt>
                <c:pt idx="493">
                  <c:v>1440000</c:v>
                </c:pt>
                <c:pt idx="494">
                  <c:v>1445000</c:v>
                </c:pt>
                <c:pt idx="495">
                  <c:v>1450000</c:v>
                </c:pt>
                <c:pt idx="496">
                  <c:v>1455000</c:v>
                </c:pt>
                <c:pt idx="497">
                  <c:v>1460000</c:v>
                </c:pt>
                <c:pt idx="498">
                  <c:v>1465000</c:v>
                </c:pt>
                <c:pt idx="499">
                  <c:v>1470000</c:v>
                </c:pt>
                <c:pt idx="500">
                  <c:v>1475000</c:v>
                </c:pt>
                <c:pt idx="501">
                  <c:v>1480000</c:v>
                </c:pt>
                <c:pt idx="502">
                  <c:v>1485000</c:v>
                </c:pt>
                <c:pt idx="503">
                  <c:v>1490000</c:v>
                </c:pt>
                <c:pt idx="504">
                  <c:v>1495000</c:v>
                </c:pt>
                <c:pt idx="505">
                  <c:v>1500000</c:v>
                </c:pt>
                <c:pt idx="506">
                  <c:v>1505000</c:v>
                </c:pt>
                <c:pt idx="507">
                  <c:v>1510000</c:v>
                </c:pt>
                <c:pt idx="508">
                  <c:v>1515000</c:v>
                </c:pt>
                <c:pt idx="509">
                  <c:v>1520000</c:v>
                </c:pt>
                <c:pt idx="510">
                  <c:v>1525000</c:v>
                </c:pt>
                <c:pt idx="511">
                  <c:v>1530000</c:v>
                </c:pt>
                <c:pt idx="512">
                  <c:v>1535000</c:v>
                </c:pt>
                <c:pt idx="513">
                  <c:v>1540000</c:v>
                </c:pt>
                <c:pt idx="514">
                  <c:v>1545000</c:v>
                </c:pt>
                <c:pt idx="515">
                  <c:v>1550000</c:v>
                </c:pt>
                <c:pt idx="516">
                  <c:v>1555000</c:v>
                </c:pt>
                <c:pt idx="517">
                  <c:v>1560000</c:v>
                </c:pt>
                <c:pt idx="518">
                  <c:v>1565000</c:v>
                </c:pt>
                <c:pt idx="519">
                  <c:v>1570000</c:v>
                </c:pt>
                <c:pt idx="520">
                  <c:v>1575000</c:v>
                </c:pt>
                <c:pt idx="521">
                  <c:v>1580000</c:v>
                </c:pt>
                <c:pt idx="522">
                  <c:v>1585000</c:v>
                </c:pt>
                <c:pt idx="523">
                  <c:v>1590000</c:v>
                </c:pt>
                <c:pt idx="524">
                  <c:v>1595000</c:v>
                </c:pt>
                <c:pt idx="525">
                  <c:v>1600000</c:v>
                </c:pt>
                <c:pt idx="526">
                  <c:v>1605000</c:v>
                </c:pt>
                <c:pt idx="527">
                  <c:v>1610000</c:v>
                </c:pt>
                <c:pt idx="528">
                  <c:v>1615000</c:v>
                </c:pt>
                <c:pt idx="529">
                  <c:v>1620000</c:v>
                </c:pt>
                <c:pt idx="530">
                  <c:v>1625000</c:v>
                </c:pt>
                <c:pt idx="531">
                  <c:v>1630000</c:v>
                </c:pt>
                <c:pt idx="532">
                  <c:v>1635000</c:v>
                </c:pt>
                <c:pt idx="533">
                  <c:v>1640000</c:v>
                </c:pt>
                <c:pt idx="534">
                  <c:v>1645000</c:v>
                </c:pt>
                <c:pt idx="535">
                  <c:v>1650000</c:v>
                </c:pt>
                <c:pt idx="536">
                  <c:v>1655000</c:v>
                </c:pt>
                <c:pt idx="537">
                  <c:v>1660000</c:v>
                </c:pt>
                <c:pt idx="538">
                  <c:v>1665000</c:v>
                </c:pt>
                <c:pt idx="539">
                  <c:v>1670000</c:v>
                </c:pt>
                <c:pt idx="540">
                  <c:v>1675000</c:v>
                </c:pt>
                <c:pt idx="541">
                  <c:v>1680000</c:v>
                </c:pt>
                <c:pt idx="542">
                  <c:v>1685000</c:v>
                </c:pt>
                <c:pt idx="543">
                  <c:v>1690000</c:v>
                </c:pt>
                <c:pt idx="544">
                  <c:v>1695000</c:v>
                </c:pt>
                <c:pt idx="545">
                  <c:v>1700000</c:v>
                </c:pt>
                <c:pt idx="546">
                  <c:v>1705000</c:v>
                </c:pt>
                <c:pt idx="547">
                  <c:v>1710000</c:v>
                </c:pt>
                <c:pt idx="548">
                  <c:v>1715000</c:v>
                </c:pt>
                <c:pt idx="549">
                  <c:v>1720000</c:v>
                </c:pt>
                <c:pt idx="550">
                  <c:v>1725000</c:v>
                </c:pt>
                <c:pt idx="551">
                  <c:v>1730000</c:v>
                </c:pt>
                <c:pt idx="552">
                  <c:v>1735000</c:v>
                </c:pt>
                <c:pt idx="553">
                  <c:v>1740000</c:v>
                </c:pt>
                <c:pt idx="554">
                  <c:v>1745000</c:v>
                </c:pt>
                <c:pt idx="555">
                  <c:v>1750000</c:v>
                </c:pt>
                <c:pt idx="556">
                  <c:v>1755000</c:v>
                </c:pt>
                <c:pt idx="557">
                  <c:v>1760000</c:v>
                </c:pt>
                <c:pt idx="558">
                  <c:v>1765000</c:v>
                </c:pt>
                <c:pt idx="559">
                  <c:v>1770000</c:v>
                </c:pt>
                <c:pt idx="560">
                  <c:v>1775000</c:v>
                </c:pt>
                <c:pt idx="561">
                  <c:v>1780000</c:v>
                </c:pt>
                <c:pt idx="562">
                  <c:v>1785000</c:v>
                </c:pt>
                <c:pt idx="563">
                  <c:v>1790000</c:v>
                </c:pt>
                <c:pt idx="564">
                  <c:v>1795000</c:v>
                </c:pt>
                <c:pt idx="565">
                  <c:v>1800000</c:v>
                </c:pt>
                <c:pt idx="566">
                  <c:v>1805000</c:v>
                </c:pt>
                <c:pt idx="567">
                  <c:v>1810000</c:v>
                </c:pt>
                <c:pt idx="568">
                  <c:v>1815000</c:v>
                </c:pt>
                <c:pt idx="569">
                  <c:v>1820000</c:v>
                </c:pt>
                <c:pt idx="570">
                  <c:v>1825000</c:v>
                </c:pt>
                <c:pt idx="571">
                  <c:v>1830000</c:v>
                </c:pt>
                <c:pt idx="572">
                  <c:v>1835000</c:v>
                </c:pt>
                <c:pt idx="573">
                  <c:v>1840000</c:v>
                </c:pt>
                <c:pt idx="574">
                  <c:v>1845000</c:v>
                </c:pt>
                <c:pt idx="575">
                  <c:v>1850000</c:v>
                </c:pt>
                <c:pt idx="576">
                  <c:v>1855000</c:v>
                </c:pt>
                <c:pt idx="577">
                  <c:v>1860000</c:v>
                </c:pt>
                <c:pt idx="578">
                  <c:v>1865000</c:v>
                </c:pt>
                <c:pt idx="579">
                  <c:v>1870000</c:v>
                </c:pt>
                <c:pt idx="580">
                  <c:v>1875000</c:v>
                </c:pt>
                <c:pt idx="581">
                  <c:v>1880000</c:v>
                </c:pt>
                <c:pt idx="582">
                  <c:v>1885000</c:v>
                </c:pt>
                <c:pt idx="583">
                  <c:v>1890000</c:v>
                </c:pt>
                <c:pt idx="584">
                  <c:v>1895000</c:v>
                </c:pt>
                <c:pt idx="585">
                  <c:v>1900000</c:v>
                </c:pt>
                <c:pt idx="586">
                  <c:v>1905000</c:v>
                </c:pt>
                <c:pt idx="587">
                  <c:v>1910000</c:v>
                </c:pt>
                <c:pt idx="588">
                  <c:v>1915000</c:v>
                </c:pt>
                <c:pt idx="589">
                  <c:v>1920000</c:v>
                </c:pt>
                <c:pt idx="590">
                  <c:v>1925000</c:v>
                </c:pt>
                <c:pt idx="591">
                  <c:v>1930000</c:v>
                </c:pt>
                <c:pt idx="592">
                  <c:v>1935000</c:v>
                </c:pt>
                <c:pt idx="593">
                  <c:v>1940000</c:v>
                </c:pt>
                <c:pt idx="594">
                  <c:v>1945000</c:v>
                </c:pt>
                <c:pt idx="595">
                  <c:v>1950000</c:v>
                </c:pt>
                <c:pt idx="596">
                  <c:v>1955000</c:v>
                </c:pt>
                <c:pt idx="597">
                  <c:v>1960000</c:v>
                </c:pt>
                <c:pt idx="598">
                  <c:v>1965000</c:v>
                </c:pt>
                <c:pt idx="599">
                  <c:v>1970000</c:v>
                </c:pt>
                <c:pt idx="600">
                  <c:v>1975000</c:v>
                </c:pt>
                <c:pt idx="601">
                  <c:v>1980000</c:v>
                </c:pt>
                <c:pt idx="602">
                  <c:v>1985000</c:v>
                </c:pt>
                <c:pt idx="603">
                  <c:v>1990000</c:v>
                </c:pt>
                <c:pt idx="604">
                  <c:v>1995000</c:v>
                </c:pt>
                <c:pt idx="605">
                  <c:v>2000000</c:v>
                </c:pt>
                <c:pt idx="606">
                  <c:v>2250000</c:v>
                </c:pt>
                <c:pt idx="607">
                  <c:v>2500000</c:v>
                </c:pt>
                <c:pt idx="608">
                  <c:v>2750000</c:v>
                </c:pt>
                <c:pt idx="609">
                  <c:v>3000000</c:v>
                </c:pt>
                <c:pt idx="610">
                  <c:v>3250000</c:v>
                </c:pt>
                <c:pt idx="611">
                  <c:v>3500000</c:v>
                </c:pt>
                <c:pt idx="612">
                  <c:v>3750000</c:v>
                </c:pt>
                <c:pt idx="613">
                  <c:v>4000000</c:v>
                </c:pt>
                <c:pt idx="614">
                  <c:v>4250000</c:v>
                </c:pt>
                <c:pt idx="615">
                  <c:v>4500000</c:v>
                </c:pt>
                <c:pt idx="616">
                  <c:v>4750000</c:v>
                </c:pt>
                <c:pt idx="617">
                  <c:v>5000000</c:v>
                </c:pt>
                <c:pt idx="618">
                  <c:v>5100000</c:v>
                </c:pt>
                <c:pt idx="619">
                  <c:v>5200000</c:v>
                </c:pt>
                <c:pt idx="620">
                  <c:v>5300000</c:v>
                </c:pt>
                <c:pt idx="621">
                  <c:v>5400000</c:v>
                </c:pt>
                <c:pt idx="622">
                  <c:v>5500000</c:v>
                </c:pt>
                <c:pt idx="623">
                  <c:v>5600000</c:v>
                </c:pt>
                <c:pt idx="624">
                  <c:v>5700000</c:v>
                </c:pt>
                <c:pt idx="625">
                  <c:v>5800000</c:v>
                </c:pt>
                <c:pt idx="626">
                  <c:v>5900000</c:v>
                </c:pt>
                <c:pt idx="627">
                  <c:v>6000000</c:v>
                </c:pt>
                <c:pt idx="628">
                  <c:v>6100000</c:v>
                </c:pt>
                <c:pt idx="629">
                  <c:v>6200000</c:v>
                </c:pt>
                <c:pt idx="630">
                  <c:v>6300000</c:v>
                </c:pt>
                <c:pt idx="631">
                  <c:v>6400000</c:v>
                </c:pt>
                <c:pt idx="632">
                  <c:v>6500000</c:v>
                </c:pt>
                <c:pt idx="633">
                  <c:v>6600000</c:v>
                </c:pt>
                <c:pt idx="634">
                  <c:v>6700000</c:v>
                </c:pt>
                <c:pt idx="635">
                  <c:v>6800000</c:v>
                </c:pt>
                <c:pt idx="636">
                  <c:v>6900000</c:v>
                </c:pt>
                <c:pt idx="637">
                  <c:v>7000000</c:v>
                </c:pt>
                <c:pt idx="638">
                  <c:v>7100000</c:v>
                </c:pt>
                <c:pt idx="639">
                  <c:v>7200000</c:v>
                </c:pt>
                <c:pt idx="640">
                  <c:v>7300000</c:v>
                </c:pt>
                <c:pt idx="641">
                  <c:v>7400000</c:v>
                </c:pt>
                <c:pt idx="642">
                  <c:v>7500000</c:v>
                </c:pt>
                <c:pt idx="643">
                  <c:v>7600000</c:v>
                </c:pt>
                <c:pt idx="644">
                  <c:v>7700000</c:v>
                </c:pt>
                <c:pt idx="645">
                  <c:v>7800000</c:v>
                </c:pt>
                <c:pt idx="646">
                  <c:v>7900000</c:v>
                </c:pt>
                <c:pt idx="647">
                  <c:v>8000000</c:v>
                </c:pt>
                <c:pt idx="648">
                  <c:v>8100000</c:v>
                </c:pt>
                <c:pt idx="649">
                  <c:v>8200000</c:v>
                </c:pt>
                <c:pt idx="650">
                  <c:v>8300000</c:v>
                </c:pt>
                <c:pt idx="651">
                  <c:v>8400000</c:v>
                </c:pt>
                <c:pt idx="652">
                  <c:v>8500000</c:v>
                </c:pt>
                <c:pt idx="653">
                  <c:v>8600000</c:v>
                </c:pt>
                <c:pt idx="654">
                  <c:v>8700000</c:v>
                </c:pt>
                <c:pt idx="655">
                  <c:v>8800000</c:v>
                </c:pt>
                <c:pt idx="656">
                  <c:v>8900000</c:v>
                </c:pt>
                <c:pt idx="657">
                  <c:v>9000000</c:v>
                </c:pt>
                <c:pt idx="658">
                  <c:v>9100000</c:v>
                </c:pt>
                <c:pt idx="659">
                  <c:v>9200000</c:v>
                </c:pt>
                <c:pt idx="660">
                  <c:v>9300000</c:v>
                </c:pt>
                <c:pt idx="661">
                  <c:v>9400000</c:v>
                </c:pt>
                <c:pt idx="662">
                  <c:v>9500000</c:v>
                </c:pt>
                <c:pt idx="663">
                  <c:v>9600000</c:v>
                </c:pt>
                <c:pt idx="664">
                  <c:v>9700000</c:v>
                </c:pt>
                <c:pt idx="665">
                  <c:v>9800000</c:v>
                </c:pt>
                <c:pt idx="666">
                  <c:v>9900000</c:v>
                </c:pt>
                <c:pt idx="667">
                  <c:v>10000000</c:v>
                </c:pt>
              </c:numCache>
            </c:numRef>
          </c:xVal>
          <c:yVal>
            <c:numRef>
              <c:f>'Bode Plots Calculations'!$BM$9:$BM$676</c:f>
              <c:numCache>
                <c:formatCode>General</c:formatCode>
                <c:ptCount val="668"/>
                <c:pt idx="0">
                  <c:v>23.438086267599054</c:v>
                </c:pt>
                <c:pt idx="1">
                  <c:v>23.438086540617128</c:v>
                </c:pt>
                <c:pt idx="2">
                  <c:v>23.438086995647271</c:v>
                </c:pt>
                <c:pt idx="3">
                  <c:v>23.438087632689502</c:v>
                </c:pt>
                <c:pt idx="4">
                  <c:v>23.438088451743859</c:v>
                </c:pt>
                <c:pt idx="5">
                  <c:v>23.438089452810384</c:v>
                </c:pt>
                <c:pt idx="6">
                  <c:v>23.438090635889125</c:v>
                </c:pt>
                <c:pt idx="7">
                  <c:v>23.438092000980156</c:v>
                </c:pt>
                <c:pt idx="8">
                  <c:v>23.43809354808354</c:v>
                </c:pt>
                <c:pt idx="9">
                  <c:v>23.438095277199359</c:v>
                </c:pt>
                <c:pt idx="10">
                  <c:v>23.43812257906659</c:v>
                </c:pt>
                <c:pt idx="11">
                  <c:v>23.438168082339409</c:v>
                </c:pt>
                <c:pt idx="12">
                  <c:v>23.438231787258999</c:v>
                </c:pt>
                <c:pt idx="13">
                  <c:v>23.438313694162993</c:v>
                </c:pt>
                <c:pt idx="14">
                  <c:v>23.438413803485506</c:v>
                </c:pt>
                <c:pt idx="15">
                  <c:v>23.438532115757145</c:v>
                </c:pt>
                <c:pt idx="16">
                  <c:v>23.438668631604994</c:v>
                </c:pt>
                <c:pt idx="17">
                  <c:v>23.438823351752646</c:v>
                </c:pt>
                <c:pt idx="18">
                  <c:v>23.438996277020188</c:v>
                </c:pt>
                <c:pt idx="19">
                  <c:v>23.441727060738124</c:v>
                </c:pt>
                <c:pt idx="20">
                  <c:v>23.446279975690839</c:v>
                </c:pt>
                <c:pt idx="21">
                  <c:v>23.452657437234038</c:v>
                </c:pt>
                <c:pt idx="22">
                  <c:v>23.460862831310262</c:v>
                </c:pt>
                <c:pt idx="23">
                  <c:v>23.470900518896926</c:v>
                </c:pt>
                <c:pt idx="24">
                  <c:v>23.48277584173012</c:v>
                </c:pt>
                <c:pt idx="25">
                  <c:v>23.49649512930748</c:v>
                </c:pt>
                <c:pt idx="26">
                  <c:v>23.512065707173893</c:v>
                </c:pt>
                <c:pt idx="27">
                  <c:v>23.529495906493896</c:v>
                </c:pt>
                <c:pt idx="28">
                  <c:v>23.64490468652459</c:v>
                </c:pt>
                <c:pt idx="29">
                  <c:v>23.808654590274372</c:v>
                </c:pt>
                <c:pt idx="30">
                  <c:v>24.023007238421322</c:v>
                </c:pt>
                <c:pt idx="31">
                  <c:v>24.290989885450077</c:v>
                </c:pt>
                <c:pt idx="32">
                  <c:v>24.616480659051607</c:v>
                </c:pt>
                <c:pt idx="33">
                  <c:v>25.004298783080809</c:v>
                </c:pt>
                <c:pt idx="34">
                  <c:v>25.460271751015888</c:v>
                </c:pt>
                <c:pt idx="35">
                  <c:v>25.991211865831936</c:v>
                </c:pt>
                <c:pt idx="36">
                  <c:v>26.604644372082952</c:v>
                </c:pt>
                <c:pt idx="37">
                  <c:v>27.307924005458382</c:v>
                </c:pt>
                <c:pt idx="38">
                  <c:v>28.105913123565877</c:v>
                </c:pt>
                <c:pt idx="39">
                  <c:v>28.995390055222678</c:v>
                </c:pt>
                <c:pt idx="40">
                  <c:v>29.952467167011147</c:v>
                </c:pt>
                <c:pt idx="41">
                  <c:v>30.907368294802026</c:v>
                </c:pt>
                <c:pt idx="42">
                  <c:v>31.707062450258071</c:v>
                </c:pt>
                <c:pt idx="43">
                  <c:v>32.105303765609243</c:v>
                </c:pt>
                <c:pt idx="44">
                  <c:v>31.876670445459961</c:v>
                </c:pt>
                <c:pt idx="45">
                  <c:v>31.019217461094982</c:v>
                </c:pt>
                <c:pt idx="46">
                  <c:v>29.756204571880794</c:v>
                </c:pt>
                <c:pt idx="47">
                  <c:v>28.333959683485244</c:v>
                </c:pt>
                <c:pt idx="48">
                  <c:v>26.906004492970883</c:v>
                </c:pt>
                <c:pt idx="49">
                  <c:v>25.542167498995447</c:v>
                </c:pt>
                <c:pt idx="50">
                  <c:v>24.265978455302083</c:v>
                </c:pt>
                <c:pt idx="51">
                  <c:v>23.080059770478233</c:v>
                </c:pt>
                <c:pt idx="52">
                  <c:v>21.978814184848932</c:v>
                </c:pt>
                <c:pt idx="53">
                  <c:v>20.954063752751011</c:v>
                </c:pt>
                <c:pt idx="54">
                  <c:v>19.997387441295654</c:v>
                </c:pt>
                <c:pt idx="55">
                  <c:v>19.101004906108184</c:v>
                </c:pt>
                <c:pt idx="56">
                  <c:v>18.258040861283963</c:v>
                </c:pt>
                <c:pt idx="57">
                  <c:v>17.462536382529805</c:v>
                </c:pt>
                <c:pt idx="58">
                  <c:v>16.709366025782188</c:v>
                </c:pt>
                <c:pt idx="59">
                  <c:v>15.994128481255697</c:v>
                </c:pt>
                <c:pt idx="60">
                  <c:v>15.313038421113507</c:v>
                </c:pt>
                <c:pt idx="61">
                  <c:v>14.662829661707825</c:v>
                </c:pt>
                <c:pt idx="62">
                  <c:v>14.040672227072834</c:v>
                </c:pt>
                <c:pt idx="63">
                  <c:v>13.444102826456811</c:v>
                </c:pt>
                <c:pt idx="64">
                  <c:v>12.870967162146492</c:v>
                </c:pt>
                <c:pt idx="65">
                  <c:v>12.319372242347324</c:v>
                </c:pt>
                <c:pt idx="66">
                  <c:v>11.787646979244562</c:v>
                </c:pt>
                <c:pt idx="67">
                  <c:v>11.274309576891145</c:v>
                </c:pt>
                <c:pt idx="68">
                  <c:v>10.778040458510858</c:v>
                </c:pt>
                <c:pt idx="69">
                  <c:v>10.297659708580696</c:v>
                </c:pt>
                <c:pt idx="70">
                  <c:v>9.8321081987746854</c:v>
                </c:pt>
                <c:pt idx="71">
                  <c:v>9.3804317271837512</c:v>
                </c:pt>
                <c:pt idx="72">
                  <c:v>8.9417676303966207</c:v>
                </c:pt>
                <c:pt idx="73">
                  <c:v>8.5153334326320298</c:v>
                </c:pt>
                <c:pt idx="74">
                  <c:v>8.1004171797564801</c:v>
                </c:pt>
                <c:pt idx="75">
                  <c:v>7.6963691727881658</c:v>
                </c:pt>
                <c:pt idx="76">
                  <c:v>7.302594868799348</c:v>
                </c:pt>
                <c:pt idx="77">
                  <c:v>6.9185487597688446</c:v>
                </c:pt>
                <c:pt idx="78">
                  <c:v>6.5437290741270395</c:v>
                </c:pt>
                <c:pt idx="79">
                  <c:v>6.1776731732374737</c:v>
                </c:pt>
                <c:pt idx="80">
                  <c:v>5.8199535372583835</c:v>
                </c:pt>
                <c:pt idx="81">
                  <c:v>5.4701742528132167</c:v>
                </c:pt>
                <c:pt idx="82">
                  <c:v>5.1279679295275802</c:v>
                </c:pt>
                <c:pt idx="83">
                  <c:v>4.7929929844347576</c:v>
                </c:pt>
                <c:pt idx="84">
                  <c:v>4.4649312430432015</c:v>
                </c:pt>
                <c:pt idx="85">
                  <c:v>4.1434858139173496</c:v>
                </c:pt>
                <c:pt idx="86">
                  <c:v>3.828379200279846</c:v>
                </c:pt>
                <c:pt idx="87">
                  <c:v>3.519351617663395</c:v>
                </c:pt>
                <c:pt idx="88">
                  <c:v>3.2161594912352465</c:v>
                </c:pt>
                <c:pt idx="89">
                  <c:v>2.9185741102553004</c:v>
                </c:pt>
                <c:pt idx="90">
                  <c:v>2.6263804203464631</c:v>
                </c:pt>
                <c:pt idx="91">
                  <c:v>2.3393759369623739</c:v>
                </c:pt>
                <c:pt idx="92">
                  <c:v>2.0573697657219774</c:v>
                </c:pt>
                <c:pt idx="93">
                  <c:v>1.780181717214494</c:v>
                </c:pt>
                <c:pt idx="94">
                  <c:v>1.5076415055212786</c:v>
                </c:pt>
                <c:pt idx="95">
                  <c:v>1.2395880211008061</c:v>
                </c:pt>
                <c:pt idx="96">
                  <c:v>0.97586866987892706</c:v>
                </c:pt>
                <c:pt idx="97">
                  <c:v>0.71633877141163549</c:v>
                </c:pt>
                <c:pt idx="98">
                  <c:v>0.46086100986836021</c:v>
                </c:pt>
                <c:pt idx="99">
                  <c:v>0.20930493234261366</c:v>
                </c:pt>
                <c:pt idx="100">
                  <c:v>-3.8453510347328239E-2</c:v>
                </c:pt>
                <c:pt idx="101">
                  <c:v>-0.28253238463735236</c:v>
                </c:pt>
                <c:pt idx="102">
                  <c:v>-0.52304416075255955</c:v>
                </c:pt>
                <c:pt idx="103">
                  <c:v>-0.76009606814586061</c:v>
                </c:pt>
                <c:pt idx="104">
                  <c:v>-0.99379042281330887</c:v>
                </c:pt>
                <c:pt idx="105">
                  <c:v>-1.2242249291320753</c:v>
                </c:pt>
                <c:pt idx="106">
                  <c:v>-1.4514929585802898</c:v>
                </c:pt>
                <c:pt idx="107">
                  <c:v>-1.6756838074461824</c:v>
                </c:pt>
                <c:pt idx="108">
                  <c:v>-1.8968829354125343</c:v>
                </c:pt>
                <c:pt idx="109">
                  <c:v>-2.1151721867071411</c:v>
                </c:pt>
                <c:pt idx="110">
                  <c:v>-2.3306299953374956</c:v>
                </c:pt>
                <c:pt idx="111">
                  <c:v>-2.5433315757753543</c:v>
                </c:pt>
                <c:pt idx="112">
                  <c:v>-2.7533491003214152</c:v>
                </c:pt>
                <c:pt idx="113">
                  <c:v>-2.9607518642602173</c:v>
                </c:pt>
                <c:pt idx="114">
                  <c:v>-3.1656064398084571</c:v>
                </c:pt>
                <c:pt idx="115">
                  <c:v>-3.3679768197645297</c:v>
                </c:pt>
                <c:pt idx="116">
                  <c:v>-3.5679245516821401</c:v>
                </c:pt>
                <c:pt idx="117">
                  <c:v>-3.7655088633147433</c:v>
                </c:pt>
                <c:pt idx="118">
                  <c:v>-3.960786780009351</c:v>
                </c:pt>
                <c:pt idx="119">
                  <c:v>-4.1538132346673811</c:v>
                </c:pt>
                <c:pt idx="120">
                  <c:v>-4.3446411708351542</c:v>
                </c:pt>
                <c:pt idx="121">
                  <c:v>-4.5333216394373927</c:v>
                </c:pt>
                <c:pt idx="122">
                  <c:v>-4.7199038896226568</c:v>
                </c:pt>
                <c:pt idx="123">
                  <c:v>-4.9044354541494668</c:v>
                </c:pt>
                <c:pt idx="124">
                  <c:v>-5.0869622297057688</c:v>
                </c:pt>
                <c:pt idx="125">
                  <c:v>-5.2675285525215676</c:v>
                </c:pt>
                <c:pt idx="126">
                  <c:v>-5.4461772696049628</c:v>
                </c:pt>
                <c:pt idx="127">
                  <c:v>-5.6229498059048879</c:v>
                </c:pt>
                <c:pt idx="128">
                  <c:v>-5.7978862276795162</c:v>
                </c:pt>
                <c:pt idx="129">
                  <c:v>-5.9710253023271154</c:v>
                </c:pt>
                <c:pt idx="130">
                  <c:v>-6.1424045549158812</c:v>
                </c:pt>
                <c:pt idx="131">
                  <c:v>-6.3120603216310345</c:v>
                </c:pt>
                <c:pt idx="132">
                  <c:v>-6.4800278003405776</c:v>
                </c:pt>
                <c:pt idx="133">
                  <c:v>-6.6463410984659665</c:v>
                </c:pt>
                <c:pt idx="134">
                  <c:v>-6.8110332783297887</c:v>
                </c:pt>
                <c:pt idx="135">
                  <c:v>-6.9741364001399315</c:v>
                </c:pt>
                <c:pt idx="136">
                  <c:v>-7.1356815627579264</c:v>
                </c:pt>
                <c:pt idx="137">
                  <c:v>-7.2956989423884089</c:v>
                </c:pt>
                <c:pt idx="138">
                  <c:v>-7.4542178293168639</c:v>
                </c:pt>
                <c:pt idx="139">
                  <c:v>-7.6112666628137102</c:v>
                </c:pt>
                <c:pt idx="140">
                  <c:v>-7.7668730643145523</c:v>
                </c:pt>
                <c:pt idx="141">
                  <c:v>-7.9210638689786546</c:v>
                </c:pt>
                <c:pt idx="142">
                  <c:v>-8.0738651557208332</c:v>
                </c:pt>
                <c:pt idx="143">
                  <c:v>-8.2253022758052872</c:v>
                </c:pt>
                <c:pt idx="144">
                  <c:v>-8.3753998800840197</c:v>
                </c:pt>
                <c:pt idx="145">
                  <c:v>-8.5241819449570002</c:v>
                </c:pt>
                <c:pt idx="146">
                  <c:v>-8.6716717971259776</c:v>
                </c:pt>
                <c:pt idx="147">
                  <c:v>-8.8178921372092649</c:v>
                </c:pt>
                <c:pt idx="148">
                  <c:v>-8.9628650622804358</c:v>
                </c:pt>
                <c:pt idx="149">
                  <c:v>-9.1066120873896974</c:v>
                </c:pt>
                <c:pt idx="150">
                  <c:v>-9.2491541661231746</c:v>
                </c:pt>
                <c:pt idx="151">
                  <c:v>-9.3905117102516567</c:v>
                </c:pt>
                <c:pt idx="152">
                  <c:v>-9.5307046085172367</c:v>
                </c:pt>
                <c:pt idx="153">
                  <c:v>-9.6697522446032931</c:v>
                </c:pt>
                <c:pt idx="154">
                  <c:v>-9.8076735143303662</c:v>
                </c:pt>
                <c:pt idx="155">
                  <c:v>-9.9444868421180601</c:v>
                </c:pt>
                <c:pt idx="156">
                  <c:v>-10.080210196750484</c:v>
                </c:pt>
                <c:pt idx="157">
                  <c:v>-10.214861106480722</c:v>
                </c:pt>
                <c:pt idx="158">
                  <c:v>-10.348456673507505</c:v>
                </c:pt>
                <c:pt idx="159">
                  <c:v>-10.481013587855511</c:v>
                </c:pt>
                <c:pt idx="160">
                  <c:v>-10.612548140688716</c:v>
                </c:pt>
                <c:pt idx="161">
                  <c:v>-10.743076237084679</c:v>
                </c:pt>
                <c:pt idx="162">
                  <c:v>-10.87261340829594</c:v>
                </c:pt>
                <c:pt idx="163">
                  <c:v>-11.001174823523224</c:v>
                </c:pt>
                <c:pt idx="164">
                  <c:v>-11.128775301223879</c:v>
                </c:pt>
                <c:pt idx="165">
                  <c:v>-11.255429319977534</c:v>
                </c:pt>
                <c:pt idx="166">
                  <c:v>-11.381151028929795</c:v>
                </c:pt>
                <c:pt idx="167">
                  <c:v>-11.505954257833672</c:v>
                </c:pt>
                <c:pt idx="168">
                  <c:v>-11.629852526707376</c:v>
                </c:pt>
                <c:pt idx="169">
                  <c:v>-11.752859055126031</c:v>
                </c:pt>
                <c:pt idx="170">
                  <c:v>-11.874986771164002</c:v>
                </c:pt>
                <c:pt idx="171">
                  <c:v>-11.996248320003687</c:v>
                </c:pt>
                <c:pt idx="172">
                  <c:v>-12.116656072225535</c:v>
                </c:pt>
                <c:pt idx="173">
                  <c:v>-12.236222131793674</c:v>
                </c:pt>
                <c:pt idx="174">
                  <c:v>-12.354958343750468</c:v>
                </c:pt>
                <c:pt idx="175">
                  <c:v>-12.472876301632708</c:v>
                </c:pt>
                <c:pt idx="176">
                  <c:v>-12.589987354621643</c:v>
                </c:pt>
                <c:pt idx="177">
                  <c:v>-12.706302614438272</c:v>
                </c:pt>
                <c:pt idx="178">
                  <c:v>-12.821832961994753</c:v>
                </c:pt>
                <c:pt idx="179">
                  <c:v>-12.936589053812376</c:v>
                </c:pt>
                <c:pt idx="180">
                  <c:v>-13.050581328215877</c:v>
                </c:pt>
                <c:pt idx="181">
                  <c:v>-13.163820011313497</c:v>
                </c:pt>
                <c:pt idx="182">
                  <c:v>-13.276315122771656</c:v>
                </c:pt>
                <c:pt idx="183">
                  <c:v>-13.388076481392734</c:v>
                </c:pt>
                <c:pt idx="184">
                  <c:v>-13.499113710504041</c:v>
                </c:pt>
                <c:pt idx="185">
                  <c:v>-13.609436243165584</c:v>
                </c:pt>
                <c:pt idx="186">
                  <c:v>-13.719053327204055</c:v>
                </c:pt>
                <c:pt idx="187">
                  <c:v>-13.827974030079906</c:v>
                </c:pt>
                <c:pt idx="188">
                  <c:v>-13.936207243594222</c:v>
                </c:pt>
                <c:pt idx="189">
                  <c:v>-14.043761688441707</c:v>
                </c:pt>
                <c:pt idx="190">
                  <c:v>-14.150645918615826</c:v>
                </c:pt>
                <c:pt idx="191">
                  <c:v>-14.256868325671846</c:v>
                </c:pt>
                <c:pt idx="192">
                  <c:v>-14.362437142853349</c:v>
                </c:pt>
                <c:pt idx="193">
                  <c:v>-14.467360449087394</c:v>
                </c:pt>
                <c:pt idx="194">
                  <c:v>-14.571646172853399</c:v>
                </c:pt>
                <c:pt idx="195">
                  <c:v>-14.675302095930505</c:v>
                </c:pt>
                <c:pt idx="196">
                  <c:v>-14.778335857028038</c:v>
                </c:pt>
                <c:pt idx="197">
                  <c:v>-14.880754955303438</c:v>
                </c:pt>
                <c:pt idx="198">
                  <c:v>-14.98256675377182</c:v>
                </c:pt>
                <c:pt idx="199">
                  <c:v>-15.083778482611221</c:v>
                </c:pt>
                <c:pt idx="200">
                  <c:v>-15.184397242367327</c:v>
                </c:pt>
                <c:pt idx="201">
                  <c:v>-15.284430007061388</c:v>
                </c:pt>
                <c:pt idx="202">
                  <c:v>-15.38388362720479</c:v>
                </c:pt>
                <c:pt idx="203">
                  <c:v>-15.482764832723689</c:v>
                </c:pt>
                <c:pt idx="204">
                  <c:v>-15.581080235796922</c:v>
                </c:pt>
                <c:pt idx="205">
                  <c:v>-15.678836333610269</c:v>
                </c:pt>
                <c:pt idx="206">
                  <c:v>-15.776039511030042</c:v>
                </c:pt>
                <c:pt idx="207">
                  <c:v>-15.87269604319882</c:v>
                </c:pt>
                <c:pt idx="208">
                  <c:v>-15.968812098056093</c:v>
                </c:pt>
                <c:pt idx="209">
                  <c:v>-16.064393738786386</c:v>
                </c:pt>
                <c:pt idx="210">
                  <c:v>-16.159446926197351</c:v>
                </c:pt>
                <c:pt idx="211">
                  <c:v>-16.253977521030315</c:v>
                </c:pt>
                <c:pt idx="212">
                  <c:v>-16.347991286205509</c:v>
                </c:pt>
                <c:pt idx="213">
                  <c:v>-16.441493889004207</c:v>
                </c:pt>
                <c:pt idx="214">
                  <c:v>-16.534490903189955</c:v>
                </c:pt>
                <c:pt idx="215">
                  <c:v>-16.626987811070851</c:v>
                </c:pt>
                <c:pt idx="216">
                  <c:v>-16.718990005504956</c:v>
                </c:pt>
                <c:pt idx="217">
                  <c:v>-16.810502791850578</c:v>
                </c:pt>
                <c:pt idx="218">
                  <c:v>-16.901531389863365</c:v>
                </c:pt>
                <c:pt idx="219">
                  <c:v>-16.992080935541914</c:v>
                </c:pt>
                <c:pt idx="220">
                  <c:v>-17.08215648292353</c:v>
                </c:pt>
                <c:pt idx="221">
                  <c:v>-17.171763005831828</c:v>
                </c:pt>
                <c:pt idx="222">
                  <c:v>-17.260905399577673</c:v>
                </c:pt>
                <c:pt idx="223">
                  <c:v>-17.349588482614969</c:v>
                </c:pt>
                <c:pt idx="224">
                  <c:v>-17.437816998152734</c:v>
                </c:pt>
                <c:pt idx="225">
                  <c:v>-17.525595615724864</c:v>
                </c:pt>
                <c:pt idx="226">
                  <c:v>-18.37961496856407</c:v>
                </c:pt>
                <c:pt idx="227">
                  <c:v>-19.193288115827599</c:v>
                </c:pt>
                <c:pt idx="228">
                  <c:v>-19.97027561255867</c:v>
                </c:pt>
                <c:pt idx="229">
                  <c:v>-20.713758573796746</c:v>
                </c:pt>
                <c:pt idx="230">
                  <c:v>-21.42651930301685</c:v>
                </c:pt>
                <c:pt idx="231">
                  <c:v>-22.111005583476793</c:v>
                </c:pt>
                <c:pt idx="232">
                  <c:v>-22.769382464683744</c:v>
                </c:pt>
                <c:pt idx="233">
                  <c:v>-23.403574363553936</c:v>
                </c:pt>
                <c:pt idx="234">
                  <c:v>-24.015299582732446</c:v>
                </c:pt>
                <c:pt idx="235">
                  <c:v>-24.60609883311762</c:v>
                </c:pt>
                <c:pt idx="236">
                  <c:v>-25.17735897210207</c:v>
                </c:pt>
                <c:pt idx="237">
                  <c:v>-25.730332891992415</c:v>
                </c:pt>
                <c:pt idx="238">
                  <c:v>-26.26615628630703</c:v>
                </c:pt>
                <c:pt idx="239">
                  <c:v>-26.785861865688663</c:v>
                </c:pt>
                <c:pt idx="240">
                  <c:v>-27.290391476356174</c:v>
                </c:pt>
                <c:pt idx="241">
                  <c:v>-27.780606482669388</c:v>
                </c:pt>
                <c:pt idx="242">
                  <c:v>-28.25729670454006</c:v>
                </c:pt>
                <c:pt idx="243">
                  <c:v>-28.721188145041307</c:v>
                </c:pt>
                <c:pt idx="244">
                  <c:v>-29.172949699946532</c:v>
                </c:pt>
                <c:pt idx="245">
                  <c:v>-29.613199006325427</c:v>
                </c:pt>
                <c:pt idx="246">
                  <c:v>-30.04250755969143</c:v>
                </c:pt>
                <c:pt idx="247">
                  <c:v>-30.461405206988374</c:v>
                </c:pt>
                <c:pt idx="248">
                  <c:v>-30.87038410475289</c:v>
                </c:pt>
                <c:pt idx="249">
                  <c:v>-31.269902217195167</c:v>
                </c:pt>
                <c:pt idx="250">
                  <c:v>-31.660386417013441</c:v>
                </c:pt>
                <c:pt idx="251">
                  <c:v>-32.042235241960093</c:v>
                </c:pt>
                <c:pt idx="252">
                  <c:v>-32.415821352090482</c:v>
                </c:pt>
                <c:pt idx="253">
                  <c:v>-32.781493725920242</c:v>
                </c:pt>
                <c:pt idx="254">
                  <c:v>-33.139579628132822</c:v>
                </c:pt>
                <c:pt idx="255">
                  <c:v>-33.490386376809134</c:v>
                </c:pt>
                <c:pt idx="256">
                  <c:v>-33.834202934230518</c:v>
                </c:pt>
                <c:pt idx="257">
                  <c:v>-34.17130134200211</c:v>
                </c:pt>
                <c:pt idx="258">
                  <c:v>-34.501938018448726</c:v>
                </c:pt>
                <c:pt idx="259">
                  <c:v>-34.826354933863122</c:v>
                </c:pt>
                <c:pt idx="260">
                  <c:v>-35.144780677166366</c:v>
                </c:pt>
                <c:pt idx="261">
                  <c:v>-35.457431425813894</c:v>
                </c:pt>
                <c:pt idx="262">
                  <c:v>-35.764511829301696</c:v>
                </c:pt>
                <c:pt idx="263">
                  <c:v>-36.066215815355847</c:v>
                </c:pt>
                <c:pt idx="264">
                  <c:v>-36.362727326792381</c:v>
                </c:pt>
                <c:pt idx="265">
                  <c:v>-36.654220996087773</c:v>
                </c:pt>
                <c:pt idx="266">
                  <c:v>-36.940862763878947</c:v>
                </c:pt>
                <c:pt idx="267">
                  <c:v>-37.22281044689899</c:v>
                </c:pt>
                <c:pt idx="268">
                  <c:v>-37.50021426023325</c:v>
                </c:pt>
                <c:pt idx="269">
                  <c:v>-37.773217298238471</c:v>
                </c:pt>
                <c:pt idx="270">
                  <c:v>-38.041955977993076</c:v>
                </c:pt>
                <c:pt idx="271">
                  <c:v>-38.306560448730437</c:v>
                </c:pt>
                <c:pt idx="272">
                  <c:v>-38.567154970341598</c:v>
                </c:pt>
                <c:pt idx="273">
                  <c:v>-38.823858263711521</c:v>
                </c:pt>
                <c:pt idx="274">
                  <c:v>-39.076783835369028</c:v>
                </c:pt>
                <c:pt idx="275">
                  <c:v>-39.326040278679216</c:v>
                </c:pt>
                <c:pt idx="276">
                  <c:v>-39.571731553584598</c:v>
                </c:pt>
                <c:pt idx="277">
                  <c:v>-39.813957246703723</c:v>
                </c:pt>
                <c:pt idx="278">
                  <c:v>-40.052812813420474</c:v>
                </c:pt>
                <c:pt idx="279">
                  <c:v>-40.28838980344085</c:v>
                </c:pt>
                <c:pt idx="280">
                  <c:v>-40.520776071154643</c:v>
                </c:pt>
                <c:pt idx="281">
                  <c:v>-40.750055972014678</c:v>
                </c:pt>
                <c:pt idx="282">
                  <c:v>-40.976310546034959</c:v>
                </c:pt>
                <c:pt idx="283">
                  <c:v>-41.19961768940896</c:v>
                </c:pt>
                <c:pt idx="284">
                  <c:v>-41.420052315159793</c:v>
                </c:pt>
                <c:pt idx="285">
                  <c:v>-41.6376865036531</c:v>
                </c:pt>
                <c:pt idx="286">
                  <c:v>-41.852589643731193</c:v>
                </c:pt>
                <c:pt idx="287">
                  <c:v>-42.064828565161456</c:v>
                </c:pt>
                <c:pt idx="288">
                  <c:v>-42.274467663032866</c:v>
                </c:pt>
                <c:pt idx="289">
                  <c:v>-42.481569014681391</c:v>
                </c:pt>
                <c:pt idx="290">
                  <c:v>-42.686192489676458</c:v>
                </c:pt>
                <c:pt idx="291">
                  <c:v>-42.888395853357039</c:v>
                </c:pt>
                <c:pt idx="292">
                  <c:v>-43.088234864366434</c:v>
                </c:pt>
                <c:pt idx="293">
                  <c:v>-43.285763366598289</c:v>
                </c:pt>
                <c:pt idx="294">
                  <c:v>-43.481033375934246</c:v>
                </c:pt>
                <c:pt idx="295">
                  <c:v>-43.67409516212313</c:v>
                </c:pt>
                <c:pt idx="296">
                  <c:v>-43.864997326125078</c:v>
                </c:pt>
                <c:pt idx="297">
                  <c:v>-44.053786873218513</c:v>
                </c:pt>
                <c:pt idx="298">
                  <c:v>-44.240509282145915</c:v>
                </c:pt>
                <c:pt idx="299">
                  <c:v>-44.425208570553004</c:v>
                </c:pt>
                <c:pt idx="300">
                  <c:v>-44.607927356957553</c:v>
                </c:pt>
                <c:pt idx="301">
                  <c:v>-44.788706919466279</c:v>
                </c:pt>
                <c:pt idx="302">
                  <c:v>-44.967587251442616</c:v>
                </c:pt>
                <c:pt idx="303">
                  <c:v>-45.144607114313516</c:v>
                </c:pt>
                <c:pt idx="304">
                  <c:v>-45.319804087689846</c:v>
                </c:pt>
                <c:pt idx="305">
                  <c:v>-45.493214616962945</c:v>
                </c:pt>
                <c:pt idx="306">
                  <c:v>-45.664874058528291</c:v>
                </c:pt>
                <c:pt idx="307">
                  <c:v>-45.834816722776878</c:v>
                </c:pt>
                <c:pt idx="308">
                  <c:v>-46.003075914985274</c:v>
                </c:pt>
                <c:pt idx="309">
                  <c:v>-46.169683974226544</c:v>
                </c:pt>
                <c:pt idx="310">
                  <c:v>-46.334672310415755</c:v>
                </c:pt>
                <c:pt idx="311">
                  <c:v>-46.498071439596522</c:v>
                </c:pt>
                <c:pt idx="312">
                  <c:v>-46.659911017567907</c:v>
                </c:pt>
                <c:pt idx="313">
                  <c:v>-46.820219871944332</c:v>
                </c:pt>
                <c:pt idx="314">
                  <c:v>-46.979026032735618</c:v>
                </c:pt>
                <c:pt idx="315">
                  <c:v>-47.136356761528091</c:v>
                </c:pt>
                <c:pt idx="316">
                  <c:v>-47.292238579343106</c:v>
                </c:pt>
                <c:pt idx="317">
                  <c:v>-47.446697293244199</c:v>
                </c:pt>
                <c:pt idx="318">
                  <c:v>-47.599758021759719</c:v>
                </c:pt>
                <c:pt idx="319">
                  <c:v>-47.751445219183722</c:v>
                </c:pt>
                <c:pt idx="320">
                  <c:v>-47.901782698814024</c:v>
                </c:pt>
                <c:pt idx="321">
                  <c:v>-48.05079365518263</c:v>
                </c:pt>
                <c:pt idx="322">
                  <c:v>-48.198500685330615</c:v>
                </c:pt>
                <c:pt idx="323">
                  <c:v>-48.344925809176431</c:v>
                </c:pt>
                <c:pt idx="324">
                  <c:v>-48.490090489023309</c:v>
                </c:pt>
                <c:pt idx="325">
                  <c:v>-48.634015648249417</c:v>
                </c:pt>
                <c:pt idx="326">
                  <c:v>-48.776721689221311</c:v>
                </c:pt>
                <c:pt idx="327">
                  <c:v>-48.91822851046912</c:v>
                </c:pt>
                <c:pt idx="328">
                  <c:v>-49.058555523159839</c:v>
                </c:pt>
                <c:pt idx="329">
                  <c:v>-49.197721666902567</c:v>
                </c:pt>
                <c:pt idx="330">
                  <c:v>-49.335745424918365</c:v>
                </c:pt>
                <c:pt idx="331">
                  <c:v>-49.472644838604779</c:v>
                </c:pt>
                <c:pt idx="332">
                  <c:v>-49.608437521523939</c:v>
                </c:pt>
                <c:pt idx="333">
                  <c:v>-49.743140672841491</c:v>
                </c:pt>
                <c:pt idx="334">
                  <c:v>-49.876771090241789</c:v>
                </c:pt>
                <c:pt idx="335">
                  <c:v>-50.009345182343949</c:v>
                </c:pt>
                <c:pt idx="336">
                  <c:v>-50.140878980641517</c:v>
                </c:pt>
                <c:pt idx="337">
                  <c:v>-50.271388150987626</c:v>
                </c:pt>
                <c:pt idx="338">
                  <c:v>-50.400888004646198</c:v>
                </c:pt>
                <c:pt idx="339">
                  <c:v>-50.529393508928791</c:v>
                </c:pt>
                <c:pt idx="340">
                  <c:v>-50.656919297435536</c:v>
                </c:pt>
                <c:pt idx="341">
                  <c:v>-50.783479679917733</c:v>
                </c:pt>
                <c:pt idx="342">
                  <c:v>-50.909088651778738</c:v>
                </c:pt>
                <c:pt idx="343">
                  <c:v>-51.03375990322909</c:v>
                </c:pt>
                <c:pt idx="344">
                  <c:v>-51.157506828110577</c:v>
                </c:pt>
                <c:pt idx="345">
                  <c:v>-51.280342532403836</c:v>
                </c:pt>
                <c:pt idx="346">
                  <c:v>-51.402279842432748</c:v>
                </c:pt>
                <c:pt idx="347">
                  <c:v>-51.523331312778701</c:v>
                </c:pt>
                <c:pt idx="348">
                  <c:v>-51.643509233916795</c:v>
                </c:pt>
                <c:pt idx="349">
                  <c:v>-51.762825639585735</c:v>
                </c:pt>
                <c:pt idx="350">
                  <c:v>-51.881292313902406</c:v>
                </c:pt>
                <c:pt idx="351">
                  <c:v>-51.998920798231779</c:v>
                </c:pt>
                <c:pt idx="352">
                  <c:v>-52.115722397822012</c:v>
                </c:pt>
                <c:pt idx="353">
                  <c:v>-52.231708188214505</c:v>
                </c:pt>
                <c:pt idx="354">
                  <c:v>-52.346889021437811</c:v>
                </c:pt>
                <c:pt idx="355">
                  <c:v>-52.461275531994282</c:v>
                </c:pt>
                <c:pt idx="356">
                  <c:v>-52.57487814264757</c:v>
                </c:pt>
                <c:pt idx="357">
                  <c:v>-52.687707070018959</c:v>
                </c:pt>
                <c:pt idx="358">
                  <c:v>-52.799772330000025</c:v>
                </c:pt>
                <c:pt idx="359">
                  <c:v>-52.911083742988779</c:v>
                </c:pt>
                <c:pt idx="360">
                  <c:v>-53.02165093895632</c:v>
                </c:pt>
                <c:pt idx="361">
                  <c:v>-53.131483362350274</c:v>
                </c:pt>
                <c:pt idx="362">
                  <c:v>-53.240590276841516</c:v>
                </c:pt>
                <c:pt idx="363">
                  <c:v>-53.348980769920047</c:v>
                </c:pt>
                <c:pt idx="364">
                  <c:v>-53.456663757345709</c:v>
                </c:pt>
                <c:pt idx="365">
                  <c:v>-53.563647987459355</c:v>
                </c:pt>
                <c:pt idx="366">
                  <c:v>-53.669942045359477</c:v>
                </c:pt>
                <c:pt idx="367">
                  <c:v>-53.775554356949513</c:v>
                </c:pt>
                <c:pt idx="368">
                  <c:v>-53.880493192860435</c:v>
                </c:pt>
                <c:pt idx="369">
                  <c:v>-53.984766672253322</c:v>
                </c:pt>
                <c:pt idx="370">
                  <c:v>-54.088382766506228</c:v>
                </c:pt>
                <c:pt idx="371">
                  <c:v>-54.191349302789547</c:v>
                </c:pt>
                <c:pt idx="372">
                  <c:v>-54.293673967534005</c:v>
                </c:pt>
                <c:pt idx="373">
                  <c:v>-54.395364309794928</c:v>
                </c:pt>
                <c:pt idx="374">
                  <c:v>-54.496427744516652</c:v>
                </c:pt>
                <c:pt idx="375">
                  <c:v>-54.596871555700581</c:v>
                </c:pt>
                <c:pt idx="376">
                  <c:v>-54.696702899480172</c:v>
                </c:pt>
                <c:pt idx="377">
                  <c:v>-54.795928807106343</c:v>
                </c:pt>
                <c:pt idx="378">
                  <c:v>-54.894556187846078</c:v>
                </c:pt>
                <c:pt idx="379">
                  <c:v>-54.992591831797633</c:v>
                </c:pt>
                <c:pt idx="380">
                  <c:v>-55.090042412624825</c:v>
                </c:pt>
                <c:pt idx="381">
                  <c:v>-55.186914490213525</c:v>
                </c:pt>
                <c:pt idx="382">
                  <c:v>-55.283214513252688</c:v>
                </c:pt>
                <c:pt idx="383">
                  <c:v>-55.378948821742718</c:v>
                </c:pt>
                <c:pt idx="384">
                  <c:v>-55.47412364943348</c:v>
                </c:pt>
                <c:pt idx="385">
                  <c:v>-55.568745126194308</c:v>
                </c:pt>
                <c:pt idx="386">
                  <c:v>-55.662819280318374</c:v>
                </c:pt>
                <c:pt idx="387">
                  <c:v>-55.756352040763488</c:v>
                </c:pt>
                <c:pt idx="388">
                  <c:v>-55.849349239331467</c:v>
                </c:pt>
                <c:pt idx="389">
                  <c:v>-55.941816612788031</c:v>
                </c:pt>
                <c:pt idx="390">
                  <c:v>-56.033759804925282</c:v>
                </c:pt>
                <c:pt idx="391">
                  <c:v>-56.125184368568455</c:v>
                </c:pt>
                <c:pt idx="392">
                  <c:v>-56.216095767528941</c:v>
                </c:pt>
                <c:pt idx="393">
                  <c:v>-56.306499378505009</c:v>
                </c:pt>
                <c:pt idx="394">
                  <c:v>-56.396400492932315</c:v>
                </c:pt>
                <c:pt idx="395">
                  <c:v>-56.485804318785256</c:v>
                </c:pt>
                <c:pt idx="396">
                  <c:v>-56.574715982331298</c:v>
                </c:pt>
                <c:pt idx="397">
                  <c:v>-56.663140529839211</c:v>
                </c:pt>
                <c:pt idx="398">
                  <c:v>-56.751082929243083</c:v>
                </c:pt>
                <c:pt idx="399">
                  <c:v>-56.838548071763185</c:v>
                </c:pt>
                <c:pt idx="400">
                  <c:v>-56.92554077348521</c:v>
                </c:pt>
                <c:pt idx="401">
                  <c:v>-57.012065776898993</c:v>
                </c:pt>
                <c:pt idx="402">
                  <c:v>-57.098127752398199</c:v>
                </c:pt>
                <c:pt idx="403">
                  <c:v>-57.183731299741851</c:v>
                </c:pt>
                <c:pt idx="404">
                  <c:v>-57.268880949479083</c:v>
                </c:pt>
                <c:pt idx="405">
                  <c:v>-57.353581164338209</c:v>
                </c:pt>
                <c:pt idx="406">
                  <c:v>-57.437836340581029</c:v>
                </c:pt>
                <c:pt idx="407">
                  <c:v>-57.521650809323546</c:v>
                </c:pt>
                <c:pt idx="408">
                  <c:v>-57.605028837824079</c:v>
                </c:pt>
                <c:pt idx="409">
                  <c:v>-57.687974630739589</c:v>
                </c:pt>
                <c:pt idx="410">
                  <c:v>-57.770492331351413</c:v>
                </c:pt>
                <c:pt idx="411">
                  <c:v>-57.852586022761024</c:v>
                </c:pt>
                <c:pt idx="412">
                  <c:v>-57.934259729056905</c:v>
                </c:pt>
                <c:pt idx="413">
                  <c:v>-58.015517416453164</c:v>
                </c:pt>
                <c:pt idx="414">
                  <c:v>-58.096362994401012</c:v>
                </c:pt>
                <c:pt idx="415">
                  <c:v>-58.176800316673443</c:v>
                </c:pt>
                <c:pt idx="416">
                  <c:v>-58.256833182424366</c:v>
                </c:pt>
                <c:pt idx="417">
                  <c:v>-58.336465337222492</c:v>
                </c:pt>
                <c:pt idx="418">
                  <c:v>-58.415700474061026</c:v>
                </c:pt>
                <c:pt idx="419">
                  <c:v>-58.494542234343534</c:v>
                </c:pt>
                <c:pt idx="420">
                  <c:v>-58.572994208846943</c:v>
                </c:pt>
                <c:pt idx="421">
                  <c:v>-58.651059938662122</c:v>
                </c:pt>
                <c:pt idx="422">
                  <c:v>-58.728742916112694</c:v>
                </c:pt>
                <c:pt idx="423">
                  <c:v>-58.806046585652794</c:v>
                </c:pt>
                <c:pt idx="424">
                  <c:v>-58.882974344744127</c:v>
                </c:pt>
                <c:pt idx="425">
                  <c:v>-58.959529544713178</c:v>
                </c:pt>
                <c:pt idx="426">
                  <c:v>-59.03571549158886</c:v>
                </c:pt>
                <c:pt idx="427">
                  <c:v>-59.111535446921309</c:v>
                </c:pt>
                <c:pt idx="428">
                  <c:v>-59.186992628582182</c:v>
                </c:pt>
                <c:pt idx="429">
                  <c:v>-59.26209021154709</c:v>
                </c:pt>
                <c:pt idx="430">
                  <c:v>-59.336831328660615</c:v>
                </c:pt>
                <c:pt idx="431">
                  <c:v>-59.411219071384252</c:v>
                </c:pt>
                <c:pt idx="432">
                  <c:v>-59.485256490527931</c:v>
                </c:pt>
                <c:pt idx="433">
                  <c:v>-59.558946596965335</c:v>
                </c:pt>
                <c:pt idx="434">
                  <c:v>-59.6322923623337</c:v>
                </c:pt>
                <c:pt idx="435">
                  <c:v>-59.705296719718177</c:v>
                </c:pt>
                <c:pt idx="436">
                  <c:v>-59.777962564321456</c:v>
                </c:pt>
                <c:pt idx="437">
                  <c:v>-59.850292754118904</c:v>
                </c:pt>
                <c:pt idx="438">
                  <c:v>-59.922290110499517</c:v>
                </c:pt>
                <c:pt idx="439">
                  <c:v>-59.993957418893245</c:v>
                </c:pt>
                <c:pt idx="440">
                  <c:v>-60.065297429384856</c:v>
                </c:pt>
                <c:pt idx="441">
                  <c:v>-60.136312857314714</c:v>
                </c:pt>
                <c:pt idx="442">
                  <c:v>-60.207006383866968</c:v>
                </c:pt>
                <c:pt idx="443">
                  <c:v>-60.277380656645263</c:v>
                </c:pt>
                <c:pt idx="444">
                  <c:v>-60.34743829023634</c:v>
                </c:pt>
                <c:pt idx="445">
                  <c:v>-60.417181866761908</c:v>
                </c:pt>
                <c:pt idx="446">
                  <c:v>-60.48661393641904</c:v>
                </c:pt>
                <c:pt idx="447">
                  <c:v>-60.555737018009339</c:v>
                </c:pt>
                <c:pt idx="448">
                  <c:v>-60.624553599457151</c:v>
                </c:pt>
                <c:pt idx="449">
                  <c:v>-60.693066138317214</c:v>
                </c:pt>
                <c:pt idx="450">
                  <c:v>-60.76127706227183</c:v>
                </c:pt>
                <c:pt idx="451">
                  <c:v>-60.829188769617922</c:v>
                </c:pt>
                <c:pt idx="452">
                  <c:v>-60.896803629744241</c:v>
                </c:pt>
                <c:pt idx="453">
                  <c:v>-60.964123983598867</c:v>
                </c:pt>
                <c:pt idx="454">
                  <c:v>-61.031152144147278</c:v>
                </c:pt>
                <c:pt idx="455">
                  <c:v>-61.097890396821349</c:v>
                </c:pt>
                <c:pt idx="456">
                  <c:v>-61.164340999959222</c:v>
                </c:pt>
                <c:pt idx="457">
                  <c:v>-61.230506185236521</c:v>
                </c:pt>
                <c:pt idx="458">
                  <c:v>-61.296388158088952</c:v>
                </c:pt>
                <c:pt idx="459">
                  <c:v>-61.361989098126635</c:v>
                </c:pt>
                <c:pt idx="460">
                  <c:v>-61.427311159540238</c:v>
                </c:pt>
                <c:pt idx="461">
                  <c:v>-61.492356471499107</c:v>
                </c:pt>
                <c:pt idx="462">
                  <c:v>-61.557127138541752</c:v>
                </c:pt>
                <c:pt idx="463">
                  <c:v>-61.621625240958586</c:v>
                </c:pt>
                <c:pt idx="464">
                  <c:v>-61.685852835167402</c:v>
                </c:pt>
                <c:pt idx="465">
                  <c:v>-61.749811954081466</c:v>
                </c:pt>
                <c:pt idx="466">
                  <c:v>-61.813504607470648</c:v>
                </c:pt>
                <c:pt idx="467">
                  <c:v>-61.876932782315571</c:v>
                </c:pt>
                <c:pt idx="468">
                  <c:v>-61.940098443155037</c:v>
                </c:pt>
                <c:pt idx="469">
                  <c:v>-62.003003532426831</c:v>
                </c:pt>
                <c:pt idx="470">
                  <c:v>-62.065649970802099</c:v>
                </c:pt>
                <c:pt idx="471">
                  <c:v>-62.128039657513355</c:v>
                </c:pt>
                <c:pt idx="472">
                  <c:v>-62.190174470676439</c:v>
                </c:pt>
                <c:pt idx="473">
                  <c:v>-62.252056267606363</c:v>
                </c:pt>
                <c:pt idx="474">
                  <c:v>-62.31368688512724</c:v>
                </c:pt>
                <c:pt idx="475">
                  <c:v>-62.375068139876547</c:v>
                </c:pt>
                <c:pt idx="476">
                  <c:v>-62.436201828603728</c:v>
                </c:pt>
                <c:pt idx="477">
                  <c:v>-62.497089728463209</c:v>
                </c:pt>
                <c:pt idx="478">
                  <c:v>-62.557733597302125</c:v>
                </c:pt>
                <c:pt idx="479">
                  <c:v>-62.618135173942747</c:v>
                </c:pt>
                <c:pt idx="480">
                  <c:v>-62.678296178459746</c:v>
                </c:pt>
                <c:pt idx="481">
                  <c:v>-62.738218312452418</c:v>
                </c:pt>
                <c:pt idx="482">
                  <c:v>-62.79790325931198</c:v>
                </c:pt>
                <c:pt idx="483">
                  <c:v>-62.85735268448407</c:v>
                </c:pt>
                <c:pt idx="484">
                  <c:v>-62.916568235726487</c:v>
                </c:pt>
                <c:pt idx="485">
                  <c:v>-62.975551543362307</c:v>
                </c:pt>
                <c:pt idx="486">
                  <c:v>-63.03430422052854</c:v>
                </c:pt>
                <c:pt idx="487">
                  <c:v>-63.092827863420297</c:v>
                </c:pt>
                <c:pt idx="488">
                  <c:v>-63.151124051530658</c:v>
                </c:pt>
                <c:pt idx="489">
                  <c:v>-63.209194347886317</c:v>
                </c:pt>
                <c:pt idx="490">
                  <c:v>-63.267040299279032</c:v>
                </c:pt>
                <c:pt idx="491">
                  <c:v>-63.324663436493069</c:v>
                </c:pt>
                <c:pt idx="492">
                  <c:v>-63.382065274528586</c:v>
                </c:pt>
                <c:pt idx="493">
                  <c:v>-63.439247312821287</c:v>
                </c:pt>
                <c:pt idx="494">
                  <c:v>-63.49621103545806</c:v>
                </c:pt>
                <c:pt idx="495">
                  <c:v>-63.552957911389008</c:v>
                </c:pt>
                <c:pt idx="496">
                  <c:v>-63.609489394635837</c:v>
                </c:pt>
                <c:pt idx="497">
                  <c:v>-63.665806924496565</c:v>
                </c:pt>
                <c:pt idx="498">
                  <c:v>-63.721911925746817</c:v>
                </c:pt>
                <c:pt idx="499">
                  <c:v>-63.77780580883762</c:v>
                </c:pt>
                <c:pt idx="500">
                  <c:v>-63.833489970089914</c:v>
                </c:pt>
                <c:pt idx="501">
                  <c:v>-63.888965791885681</c:v>
                </c:pt>
                <c:pt idx="502">
                  <c:v>-63.944234642855868</c:v>
                </c:pt>
                <c:pt idx="503">
                  <c:v>-63.99929787806515</c:v>
                </c:pt>
                <c:pt idx="504">
                  <c:v>-64.054156839193666</c:v>
                </c:pt>
                <c:pt idx="505">
                  <c:v>-64.108812854715566</c:v>
                </c:pt>
                <c:pt idx="506">
                  <c:v>-64.163267240074688</c:v>
                </c:pt>
                <c:pt idx="507">
                  <c:v>-64.217521297857303</c:v>
                </c:pt>
                <c:pt idx="508">
                  <c:v>-64.271576317961973</c:v>
                </c:pt>
                <c:pt idx="509">
                  <c:v>-64.325433577766617</c:v>
                </c:pt>
                <c:pt idx="510">
                  <c:v>-64.379094342292817</c:v>
                </c:pt>
                <c:pt idx="511">
                  <c:v>-64.432559864367491</c:v>
                </c:pt>
                <c:pt idx="512">
                  <c:v>-64.485831384781761</c:v>
                </c:pt>
                <c:pt idx="513">
                  <c:v>-64.538910132447512</c:v>
                </c:pt>
                <c:pt idx="514">
                  <c:v>-64.591797324551024</c:v>
                </c:pt>
                <c:pt idx="515">
                  <c:v>-64.644494166704533</c:v>
                </c:pt>
                <c:pt idx="516">
                  <c:v>-64.697001853095031</c:v>
                </c:pt>
                <c:pt idx="517">
                  <c:v>-64.749321566630812</c:v>
                </c:pt>
                <c:pt idx="518">
                  <c:v>-64.801454479085635</c:v>
                </c:pt>
                <c:pt idx="519">
                  <c:v>-64.853401751240611</c:v>
                </c:pt>
                <c:pt idx="520">
                  <c:v>-64.905164533023765</c:v>
                </c:pt>
                <c:pt idx="521">
                  <c:v>-64.956743963647483</c:v>
                </c:pt>
                <c:pt idx="522">
                  <c:v>-65.008141171743674</c:v>
                </c:pt>
                <c:pt idx="523">
                  <c:v>-65.059357275496836</c:v>
                </c:pt>
                <c:pt idx="524">
                  <c:v>-65.110393382775101</c:v>
                </c:pt>
                <c:pt idx="525">
                  <c:v>-65.161250591259119</c:v>
                </c:pt>
                <c:pt idx="526">
                  <c:v>-65.211929988568968</c:v>
                </c:pt>
                <c:pt idx="527">
                  <c:v>-65.262432652389094</c:v>
                </c:pt>
                <c:pt idx="528">
                  <c:v>-65.312759650591303</c:v>
                </c:pt>
                <c:pt idx="529">
                  <c:v>-65.362912041355855</c:v>
                </c:pt>
                <c:pt idx="530">
                  <c:v>-65.412890873290678</c:v>
                </c:pt>
                <c:pt idx="531">
                  <c:v>-65.462697185548734</c:v>
                </c:pt>
                <c:pt idx="532">
                  <c:v>-65.512332007943598</c:v>
                </c:pt>
                <c:pt idx="533">
                  <c:v>-65.561796361063287</c:v>
                </c:pt>
                <c:pt idx="534">
                  <c:v>-65.611091256382309</c:v>
                </c:pt>
                <c:pt idx="535">
                  <c:v>-65.66021769637203</c:v>
                </c:pt>
                <c:pt idx="536">
                  <c:v>-65.709176674609395</c:v>
                </c:pt>
                <c:pt idx="537">
                  <c:v>-65.757969175883943</c:v>
                </c:pt>
                <c:pt idx="538">
                  <c:v>-65.806596176303259</c:v>
                </c:pt>
                <c:pt idx="539">
                  <c:v>-65.855058643396831</c:v>
                </c:pt>
                <c:pt idx="540">
                  <c:v>-65.903357536218309</c:v>
                </c:pt>
                <c:pt idx="541">
                  <c:v>-65.951493805446333</c:v>
                </c:pt>
                <c:pt idx="542">
                  <c:v>-65.99946839348371</c:v>
                </c:pt>
                <c:pt idx="543">
                  <c:v>-66.047282234555311</c:v>
                </c:pt>
                <c:pt idx="544">
                  <c:v>-66.094936254804296</c:v>
                </c:pt>
                <c:pt idx="545">
                  <c:v>-66.142431372387136</c:v>
                </c:pt>
                <c:pt idx="546">
                  <c:v>-66.189768497567044</c:v>
                </c:pt>
                <c:pt idx="547">
                  <c:v>-66.236948532806196</c:v>
                </c:pt>
                <c:pt idx="548">
                  <c:v>-66.283972372856496</c:v>
                </c:pt>
                <c:pt idx="549">
                  <c:v>-66.330840904849026</c:v>
                </c:pt>
                <c:pt idx="550">
                  <c:v>-66.377555008382274</c:v>
                </c:pt>
                <c:pt idx="551">
                  <c:v>-66.424115555608992</c:v>
                </c:pt>
                <c:pt idx="552">
                  <c:v>-66.470523411321793</c:v>
                </c:pt>
                <c:pt idx="553">
                  <c:v>-66.516779433037613</c:v>
                </c:pt>
                <c:pt idx="554">
                  <c:v>-66.562884471080892</c:v>
                </c:pt>
                <c:pt idx="555">
                  <c:v>-66.6088393686655</c:v>
                </c:pt>
                <c:pt idx="556">
                  <c:v>-66.65464496197562</c:v>
                </c:pt>
                <c:pt idx="557">
                  <c:v>-66.700302080245393</c:v>
                </c:pt>
                <c:pt idx="558">
                  <c:v>-66.745811545837398</c:v>
                </c:pt>
                <c:pt idx="559">
                  <c:v>-66.791174174320176</c:v>
                </c:pt>
                <c:pt idx="560">
                  <c:v>-66.836390774544455</c:v>
                </c:pt>
                <c:pt idx="561">
                  <c:v>-66.881462148718441</c:v>
                </c:pt>
                <c:pt idx="562">
                  <c:v>-66.926389092481998</c:v>
                </c:pt>
                <c:pt idx="563">
                  <c:v>-66.97117239497976</c:v>
                </c:pt>
                <c:pt idx="564">
                  <c:v>-67.015812838933343</c:v>
                </c:pt>
                <c:pt idx="565">
                  <c:v>-67.06031120071232</c:v>
                </c:pt>
                <c:pt idx="566">
                  <c:v>-67.104668250404529</c:v>
                </c:pt>
                <c:pt idx="567">
                  <c:v>-67.148884751885035</c:v>
                </c:pt>
                <c:pt idx="568">
                  <c:v>-67.192961462884483</c:v>
                </c:pt>
                <c:pt idx="569">
                  <c:v>-67.236899135056277</c:v>
                </c:pt>
                <c:pt idx="570">
                  <c:v>-67.280698514042925</c:v>
                </c:pt>
                <c:pt idx="571">
                  <c:v>-67.324360339541457</c:v>
                </c:pt>
                <c:pt idx="572">
                  <c:v>-67.367885345367952</c:v>
                </c:pt>
                <c:pt idx="573">
                  <c:v>-67.411274259521207</c:v>
                </c:pt>
                <c:pt idx="574">
                  <c:v>-67.454527804245501</c:v>
                </c:pt>
                <c:pt idx="575">
                  <c:v>-67.497646696092474</c:v>
                </c:pt>
                <c:pt idx="576">
                  <c:v>-67.540631645982316</c:v>
                </c:pt>
                <c:pt idx="577">
                  <c:v>-67.583483359263923</c:v>
                </c:pt>
                <c:pt idx="578">
                  <c:v>-67.626202535774439</c:v>
                </c:pt>
                <c:pt idx="579">
                  <c:v>-67.668789869897822</c:v>
                </c:pt>
                <c:pt idx="580">
                  <c:v>-67.711246050622819</c:v>
                </c:pt>
                <c:pt idx="581">
                  <c:v>-67.753571761599972</c:v>
                </c:pt>
                <c:pt idx="582">
                  <c:v>-67.795767681197958</c:v>
                </c:pt>
                <c:pt idx="583">
                  <c:v>-67.837834482559245</c:v>
                </c:pt>
                <c:pt idx="584">
                  <c:v>-67.879772833654897</c:v>
                </c:pt>
                <c:pt idx="585">
                  <c:v>-67.921583397338651</c:v>
                </c:pt>
                <c:pt idx="586">
                  <c:v>-67.963266831400404</c:v>
                </c:pt>
                <c:pt idx="587">
                  <c:v>-68.004823788618921</c:v>
                </c:pt>
                <c:pt idx="588">
                  <c:v>-68.046254916813794</c:v>
                </c:pt>
                <c:pt idx="589">
                  <c:v>-68.087560858896808</c:v>
                </c:pt>
                <c:pt idx="590">
                  <c:v>-68.128742252922592</c:v>
                </c:pt>
                <c:pt idx="591">
                  <c:v>-68.169799732138713</c:v>
                </c:pt>
                <c:pt idx="592">
                  <c:v>-68.210733925034901</c:v>
                </c:pt>
                <c:pt idx="593">
                  <c:v>-68.251545455391891</c:v>
                </c:pt>
                <c:pt idx="594">
                  <c:v>-68.292234942329387</c:v>
                </c:pt>
                <c:pt idx="595">
                  <c:v>-68.332803000353692</c:v>
                </c:pt>
                <c:pt idx="596">
                  <c:v>-68.373250239404427</c:v>
                </c:pt>
                <c:pt idx="597">
                  <c:v>-68.41357726490088</c:v>
                </c:pt>
                <c:pt idx="598">
                  <c:v>-68.453784677787638</c:v>
                </c:pt>
                <c:pt idx="599">
                  <c:v>-68.493873074579668</c:v>
                </c:pt>
                <c:pt idx="600">
                  <c:v>-68.53384304740689</c:v>
                </c:pt>
                <c:pt idx="601">
                  <c:v>-68.573695184058053</c:v>
                </c:pt>
                <c:pt idx="602">
                  <c:v>-68.613430068024172</c:v>
                </c:pt>
                <c:pt idx="603">
                  <c:v>-68.653048278541391</c:v>
                </c:pt>
                <c:pt idx="604">
                  <c:v>-68.692550390633215</c:v>
                </c:pt>
                <c:pt idx="605">
                  <c:v>-68.731936975152408</c:v>
                </c:pt>
                <c:pt idx="606">
                  <c:v>-70.565481466503101</c:v>
                </c:pt>
                <c:pt idx="607">
                  <c:v>-72.169903337744316</c:v>
                </c:pt>
                <c:pt idx="608">
                  <c:v>-73.588900101511783</c:v>
                </c:pt>
                <c:pt idx="609">
                  <c:v>-74.855179750547734</c:v>
                </c:pt>
                <c:pt idx="610">
                  <c:v>-75.993899494772322</c:v>
                </c:pt>
                <c:pt idx="611">
                  <c:v>-77.024833400086607</c:v>
                </c:pt>
                <c:pt idx="612">
                  <c:v>-77.963799354337624</c:v>
                </c:pt>
                <c:pt idx="613">
                  <c:v>-78.823633876809907</c:v>
                </c:pt>
                <c:pt idx="614">
                  <c:v>-79.614879532160771</c:v>
                </c:pt>
                <c:pt idx="615">
                  <c:v>-80.346283061464362</c:v>
                </c:pt>
                <c:pt idx="616">
                  <c:v>-81.025164854293365</c:v>
                </c:pt>
                <c:pt idx="617">
                  <c:v>-81.657698487120754</c:v>
                </c:pt>
                <c:pt idx="618">
                  <c:v>-81.898935865302377</c:v>
                </c:pt>
                <c:pt idx="619">
                  <c:v>-82.133904073046864</c:v>
                </c:pt>
                <c:pt idx="620">
                  <c:v>-82.362884453749786</c:v>
                </c:pt>
                <c:pt idx="621">
                  <c:v>-82.586141675782756</c:v>
                </c:pt>
                <c:pt idx="622">
                  <c:v>-82.803924932861634</c:v>
                </c:pt>
                <c:pt idx="623">
                  <c:v>-83.016469042522303</c:v>
                </c:pt>
                <c:pt idx="624">
                  <c:v>-83.223995452824241</c:v>
                </c:pt>
                <c:pt idx="625">
                  <c:v>-83.426713166227472</c:v>
                </c:pt>
                <c:pt idx="626">
                  <c:v>-83.624819588574155</c:v>
                </c:pt>
                <c:pt idx="627">
                  <c:v>-83.818501310223013</c:v>
                </c:pt>
                <c:pt idx="628">
                  <c:v>-84.007934825615834</c:v>
                </c:pt>
                <c:pt idx="629">
                  <c:v>-84.193287196884143</c:v>
                </c:pt>
                <c:pt idx="630">
                  <c:v>-84.374716666513834</c:v>
                </c:pt>
                <c:pt idx="631">
                  <c:v>-84.552373223568793</c:v>
                </c:pt>
                <c:pt idx="632">
                  <c:v>-84.726399127517624</c:v>
                </c:pt>
                <c:pt idx="633">
                  <c:v>-84.896929393304362</c:v>
                </c:pt>
                <c:pt idx="634">
                  <c:v>-85.064092240946948</c:v>
                </c:pt>
                <c:pt idx="635">
                  <c:v>-85.228009512629967</c:v>
                </c:pt>
                <c:pt idx="636">
                  <c:v>-85.388797059976241</c:v>
                </c:pt>
                <c:pt idx="637">
                  <c:v>-85.546565103929368</c:v>
                </c:pt>
                <c:pt idx="638">
                  <c:v>-85.701418569455669</c:v>
                </c:pt>
                <c:pt idx="639">
                  <c:v>-85.853457397071764</c:v>
                </c:pt>
                <c:pt idx="640">
                  <c:v>-86.002776833023503</c:v>
                </c:pt>
                <c:pt idx="641">
                  <c:v>-86.149467699780402</c:v>
                </c:pt>
                <c:pt idx="642">
                  <c:v>-86.293616648363013</c:v>
                </c:pt>
                <c:pt idx="643">
                  <c:v>-86.435306393889533</c:v>
                </c:pt>
                <c:pt idx="644">
                  <c:v>-86.574615935608932</c:v>
                </c:pt>
                <c:pt idx="645">
                  <c:v>-86.711620762580779</c:v>
                </c:pt>
                <c:pt idx="646">
                  <c:v>-86.846393046064321</c:v>
                </c:pt>
                <c:pt idx="647">
                  <c:v>-86.979001819591574</c:v>
                </c:pt>
                <c:pt idx="648">
                  <c:v>-87.109513147619154</c:v>
                </c:pt>
                <c:pt idx="649">
                  <c:v>-87.237990283580842</c:v>
                </c:pt>
                <c:pt idx="650">
                  <c:v>-87.364493818096719</c:v>
                </c:pt>
                <c:pt idx="651">
                  <c:v>-87.489081818034833</c:v>
                </c:pt>
                <c:pt idx="652">
                  <c:v>-87.611809957065688</c:v>
                </c:pt>
                <c:pt idx="653">
                  <c:v>-87.73273163830109</c:v>
                </c:pt>
                <c:pt idx="654">
                  <c:v>-87.851898109561404</c:v>
                </c:pt>
                <c:pt idx="655">
                  <c:v>-87.969358571775174</c:v>
                </c:pt>
                <c:pt idx="656">
                  <c:v>-88.08516028097543</c:v>
                </c:pt>
                <c:pt idx="657">
                  <c:v>-88.199348644322569</c:v>
                </c:pt>
                <c:pt idx="658">
                  <c:v>-88.311967310551708</c:v>
                </c:pt>
                <c:pt idx="659">
                  <c:v>-88.423058255212197</c:v>
                </c:pt>
                <c:pt idx="660">
                  <c:v>-88.532661861040623</c:v>
                </c:pt>
                <c:pt idx="661">
                  <c:v>-88.640816993783488</c:v>
                </c:pt>
                <c:pt idx="662">
                  <c:v>-88.747561073762597</c:v>
                </c:pt>
                <c:pt idx="663">
                  <c:v>-88.852930143455467</c:v>
                </c:pt>
                <c:pt idx="664">
                  <c:v>-88.956958931343593</c:v>
                </c:pt>
                <c:pt idx="665">
                  <c:v>-89.059680912263488</c:v>
                </c:pt>
                <c:pt idx="666">
                  <c:v>-89.161128364478799</c:v>
                </c:pt>
                <c:pt idx="667">
                  <c:v>-89.261332423676834</c:v>
                </c:pt>
              </c:numCache>
            </c:numRef>
          </c:yVal>
          <c:smooth val="1"/>
          <c:extLst>
            <c:ext xmlns:c16="http://schemas.microsoft.com/office/drawing/2014/chart" uri="{C3380CC4-5D6E-409C-BE32-E72D297353CC}">
              <c16:uniqueId val="{00000000-2DBB-4F72-B5DF-A436F54D08AE}"/>
            </c:ext>
          </c:extLst>
        </c:ser>
        <c:dLbls>
          <c:showLegendKey val="0"/>
          <c:showVal val="0"/>
          <c:showCatName val="0"/>
          <c:showSerName val="0"/>
          <c:showPercent val="0"/>
          <c:showBubbleSize val="0"/>
        </c:dLbls>
        <c:axId val="176896640"/>
        <c:axId val="176898816"/>
      </c:scatterChart>
      <c:scatterChart>
        <c:scatterStyle val="lineMarker"/>
        <c:varyColors val="0"/>
        <c:ser>
          <c:idx val="3"/>
          <c:order val="1"/>
          <c:tx>
            <c:v>Actual Phase</c:v>
          </c:tx>
          <c:spPr>
            <a:ln w="38100">
              <a:solidFill>
                <a:srgbClr val="660066"/>
              </a:solidFill>
              <a:prstDash val="solid"/>
            </a:ln>
          </c:spPr>
          <c:marker>
            <c:symbol val="none"/>
          </c:marker>
          <c:xVal>
            <c:numRef>
              <c:f>'Bode Plots Calculations'!$A$9:$A$676</c:f>
              <c:numCache>
                <c:formatCode>General</c:formatCode>
                <c:ptCount val="668"/>
                <c:pt idx="0">
                  <c:v>1</c:v>
                </c:pt>
                <c:pt idx="1">
                  <c:v>2</c:v>
                </c:pt>
                <c:pt idx="2">
                  <c:v>3</c:v>
                </c:pt>
                <c:pt idx="3">
                  <c:v>4</c:v>
                </c:pt>
                <c:pt idx="4">
                  <c:v>5</c:v>
                </c:pt>
                <c:pt idx="5">
                  <c:v>6</c:v>
                </c:pt>
                <c:pt idx="6">
                  <c:v>7</c:v>
                </c:pt>
                <c:pt idx="7">
                  <c:v>8</c:v>
                </c:pt>
                <c:pt idx="8">
                  <c:v>9</c:v>
                </c:pt>
                <c:pt idx="9">
                  <c:v>10</c:v>
                </c:pt>
                <c:pt idx="10">
                  <c:v>20</c:v>
                </c:pt>
                <c:pt idx="11">
                  <c:v>30</c:v>
                </c:pt>
                <c:pt idx="12">
                  <c:v>40</c:v>
                </c:pt>
                <c:pt idx="13">
                  <c:v>50</c:v>
                </c:pt>
                <c:pt idx="14">
                  <c:v>60</c:v>
                </c:pt>
                <c:pt idx="15">
                  <c:v>70</c:v>
                </c:pt>
                <c:pt idx="16">
                  <c:v>80</c:v>
                </c:pt>
                <c:pt idx="17">
                  <c:v>90</c:v>
                </c:pt>
                <c:pt idx="18">
                  <c:v>100</c:v>
                </c:pt>
                <c:pt idx="19">
                  <c:v>200</c:v>
                </c:pt>
                <c:pt idx="20">
                  <c:v>300</c:v>
                </c:pt>
                <c:pt idx="21">
                  <c:v>400</c:v>
                </c:pt>
                <c:pt idx="22">
                  <c:v>500</c:v>
                </c:pt>
                <c:pt idx="23">
                  <c:v>600</c:v>
                </c:pt>
                <c:pt idx="24">
                  <c:v>700</c:v>
                </c:pt>
                <c:pt idx="25">
                  <c:v>800</c:v>
                </c:pt>
                <c:pt idx="26">
                  <c:v>900</c:v>
                </c:pt>
                <c:pt idx="27">
                  <c:v>1000</c:v>
                </c:pt>
                <c:pt idx="28">
                  <c:v>1500</c:v>
                </c:pt>
                <c:pt idx="29">
                  <c:v>2000</c:v>
                </c:pt>
                <c:pt idx="30">
                  <c:v>2500</c:v>
                </c:pt>
                <c:pt idx="31">
                  <c:v>3000</c:v>
                </c:pt>
                <c:pt idx="32">
                  <c:v>3500</c:v>
                </c:pt>
                <c:pt idx="33">
                  <c:v>4000</c:v>
                </c:pt>
                <c:pt idx="34">
                  <c:v>4500</c:v>
                </c:pt>
                <c:pt idx="35">
                  <c:v>5000</c:v>
                </c:pt>
                <c:pt idx="36">
                  <c:v>5500</c:v>
                </c:pt>
                <c:pt idx="37">
                  <c:v>6000</c:v>
                </c:pt>
                <c:pt idx="38">
                  <c:v>6500</c:v>
                </c:pt>
                <c:pt idx="39">
                  <c:v>7000</c:v>
                </c:pt>
                <c:pt idx="40">
                  <c:v>7500</c:v>
                </c:pt>
                <c:pt idx="41">
                  <c:v>8000</c:v>
                </c:pt>
                <c:pt idx="42">
                  <c:v>8500</c:v>
                </c:pt>
                <c:pt idx="43">
                  <c:v>9000</c:v>
                </c:pt>
                <c:pt idx="44">
                  <c:v>9500</c:v>
                </c:pt>
                <c:pt idx="45">
                  <c:v>10000</c:v>
                </c:pt>
                <c:pt idx="46">
                  <c:v>10500</c:v>
                </c:pt>
                <c:pt idx="47">
                  <c:v>11000</c:v>
                </c:pt>
                <c:pt idx="48">
                  <c:v>11500</c:v>
                </c:pt>
                <c:pt idx="49">
                  <c:v>12000</c:v>
                </c:pt>
                <c:pt idx="50">
                  <c:v>12500</c:v>
                </c:pt>
                <c:pt idx="51">
                  <c:v>13000</c:v>
                </c:pt>
                <c:pt idx="52">
                  <c:v>13500</c:v>
                </c:pt>
                <c:pt idx="53">
                  <c:v>14000</c:v>
                </c:pt>
                <c:pt idx="54">
                  <c:v>14500</c:v>
                </c:pt>
                <c:pt idx="55">
                  <c:v>15000</c:v>
                </c:pt>
                <c:pt idx="56">
                  <c:v>15500</c:v>
                </c:pt>
                <c:pt idx="57">
                  <c:v>16000</c:v>
                </c:pt>
                <c:pt idx="58">
                  <c:v>16500</c:v>
                </c:pt>
                <c:pt idx="59">
                  <c:v>17000</c:v>
                </c:pt>
                <c:pt idx="60">
                  <c:v>17500</c:v>
                </c:pt>
                <c:pt idx="61">
                  <c:v>18000</c:v>
                </c:pt>
                <c:pt idx="62">
                  <c:v>18500</c:v>
                </c:pt>
                <c:pt idx="63">
                  <c:v>19000</c:v>
                </c:pt>
                <c:pt idx="64">
                  <c:v>19500</c:v>
                </c:pt>
                <c:pt idx="65">
                  <c:v>20000</c:v>
                </c:pt>
                <c:pt idx="66">
                  <c:v>20500</c:v>
                </c:pt>
                <c:pt idx="67">
                  <c:v>21000</c:v>
                </c:pt>
                <c:pt idx="68">
                  <c:v>21500</c:v>
                </c:pt>
                <c:pt idx="69">
                  <c:v>22000</c:v>
                </c:pt>
                <c:pt idx="70">
                  <c:v>22500</c:v>
                </c:pt>
                <c:pt idx="71">
                  <c:v>23000</c:v>
                </c:pt>
                <c:pt idx="72">
                  <c:v>23500</c:v>
                </c:pt>
                <c:pt idx="73">
                  <c:v>24000</c:v>
                </c:pt>
                <c:pt idx="74">
                  <c:v>24500</c:v>
                </c:pt>
                <c:pt idx="75">
                  <c:v>25000</c:v>
                </c:pt>
                <c:pt idx="76">
                  <c:v>25500</c:v>
                </c:pt>
                <c:pt idx="77">
                  <c:v>26000</c:v>
                </c:pt>
                <c:pt idx="78">
                  <c:v>26500</c:v>
                </c:pt>
                <c:pt idx="79">
                  <c:v>27000</c:v>
                </c:pt>
                <c:pt idx="80">
                  <c:v>27500</c:v>
                </c:pt>
                <c:pt idx="81">
                  <c:v>28000</c:v>
                </c:pt>
                <c:pt idx="82">
                  <c:v>28500</c:v>
                </c:pt>
                <c:pt idx="83">
                  <c:v>29000</c:v>
                </c:pt>
                <c:pt idx="84">
                  <c:v>29500</c:v>
                </c:pt>
                <c:pt idx="85">
                  <c:v>30000</c:v>
                </c:pt>
                <c:pt idx="86">
                  <c:v>30500</c:v>
                </c:pt>
                <c:pt idx="87">
                  <c:v>31000</c:v>
                </c:pt>
                <c:pt idx="88">
                  <c:v>31500</c:v>
                </c:pt>
                <c:pt idx="89">
                  <c:v>32000</c:v>
                </c:pt>
                <c:pt idx="90">
                  <c:v>32500</c:v>
                </c:pt>
                <c:pt idx="91">
                  <c:v>33000</c:v>
                </c:pt>
                <c:pt idx="92">
                  <c:v>33500</c:v>
                </c:pt>
                <c:pt idx="93">
                  <c:v>34000</c:v>
                </c:pt>
                <c:pt idx="94">
                  <c:v>34500</c:v>
                </c:pt>
                <c:pt idx="95">
                  <c:v>35000</c:v>
                </c:pt>
                <c:pt idx="96">
                  <c:v>35500</c:v>
                </c:pt>
                <c:pt idx="97">
                  <c:v>36000</c:v>
                </c:pt>
                <c:pt idx="98">
                  <c:v>36500</c:v>
                </c:pt>
                <c:pt idx="99">
                  <c:v>37000</c:v>
                </c:pt>
                <c:pt idx="100">
                  <c:v>37500</c:v>
                </c:pt>
                <c:pt idx="101">
                  <c:v>38000</c:v>
                </c:pt>
                <c:pt idx="102">
                  <c:v>38500</c:v>
                </c:pt>
                <c:pt idx="103">
                  <c:v>39000</c:v>
                </c:pt>
                <c:pt idx="104">
                  <c:v>39500</c:v>
                </c:pt>
                <c:pt idx="105">
                  <c:v>40000</c:v>
                </c:pt>
                <c:pt idx="106">
                  <c:v>40500</c:v>
                </c:pt>
                <c:pt idx="107">
                  <c:v>41000</c:v>
                </c:pt>
                <c:pt idx="108">
                  <c:v>41500</c:v>
                </c:pt>
                <c:pt idx="109">
                  <c:v>42000</c:v>
                </c:pt>
                <c:pt idx="110">
                  <c:v>42500</c:v>
                </c:pt>
                <c:pt idx="111">
                  <c:v>43000</c:v>
                </c:pt>
                <c:pt idx="112">
                  <c:v>43500</c:v>
                </c:pt>
                <c:pt idx="113">
                  <c:v>44000</c:v>
                </c:pt>
                <c:pt idx="114">
                  <c:v>44500</c:v>
                </c:pt>
                <c:pt idx="115">
                  <c:v>45000</c:v>
                </c:pt>
                <c:pt idx="116">
                  <c:v>45500</c:v>
                </c:pt>
                <c:pt idx="117">
                  <c:v>46000</c:v>
                </c:pt>
                <c:pt idx="118">
                  <c:v>46500</c:v>
                </c:pt>
                <c:pt idx="119">
                  <c:v>47000</c:v>
                </c:pt>
                <c:pt idx="120">
                  <c:v>47500</c:v>
                </c:pt>
                <c:pt idx="121">
                  <c:v>48000</c:v>
                </c:pt>
                <c:pt idx="122">
                  <c:v>48500</c:v>
                </c:pt>
                <c:pt idx="123">
                  <c:v>49000</c:v>
                </c:pt>
                <c:pt idx="124">
                  <c:v>49500</c:v>
                </c:pt>
                <c:pt idx="125">
                  <c:v>50000</c:v>
                </c:pt>
                <c:pt idx="126">
                  <c:v>50500</c:v>
                </c:pt>
                <c:pt idx="127">
                  <c:v>51000</c:v>
                </c:pt>
                <c:pt idx="128">
                  <c:v>51500</c:v>
                </c:pt>
                <c:pt idx="129">
                  <c:v>52000</c:v>
                </c:pt>
                <c:pt idx="130">
                  <c:v>52500</c:v>
                </c:pt>
                <c:pt idx="131">
                  <c:v>53000</c:v>
                </c:pt>
                <c:pt idx="132">
                  <c:v>53500</c:v>
                </c:pt>
                <c:pt idx="133">
                  <c:v>54000</c:v>
                </c:pt>
                <c:pt idx="134">
                  <c:v>54500</c:v>
                </c:pt>
                <c:pt idx="135">
                  <c:v>55000</c:v>
                </c:pt>
                <c:pt idx="136">
                  <c:v>55500</c:v>
                </c:pt>
                <c:pt idx="137">
                  <c:v>56000</c:v>
                </c:pt>
                <c:pt idx="138">
                  <c:v>56500</c:v>
                </c:pt>
                <c:pt idx="139">
                  <c:v>57000</c:v>
                </c:pt>
                <c:pt idx="140">
                  <c:v>57500</c:v>
                </c:pt>
                <c:pt idx="141">
                  <c:v>58000</c:v>
                </c:pt>
                <c:pt idx="142">
                  <c:v>58500</c:v>
                </c:pt>
                <c:pt idx="143">
                  <c:v>59000</c:v>
                </c:pt>
                <c:pt idx="144">
                  <c:v>59500</c:v>
                </c:pt>
                <c:pt idx="145">
                  <c:v>60000</c:v>
                </c:pt>
                <c:pt idx="146">
                  <c:v>60500</c:v>
                </c:pt>
                <c:pt idx="147">
                  <c:v>61000</c:v>
                </c:pt>
                <c:pt idx="148">
                  <c:v>61500</c:v>
                </c:pt>
                <c:pt idx="149">
                  <c:v>62000</c:v>
                </c:pt>
                <c:pt idx="150">
                  <c:v>62500</c:v>
                </c:pt>
                <c:pt idx="151">
                  <c:v>63000</c:v>
                </c:pt>
                <c:pt idx="152">
                  <c:v>63500</c:v>
                </c:pt>
                <c:pt idx="153">
                  <c:v>64000</c:v>
                </c:pt>
                <c:pt idx="154">
                  <c:v>64500</c:v>
                </c:pt>
                <c:pt idx="155">
                  <c:v>65000</c:v>
                </c:pt>
                <c:pt idx="156">
                  <c:v>65500</c:v>
                </c:pt>
                <c:pt idx="157">
                  <c:v>66000</c:v>
                </c:pt>
                <c:pt idx="158">
                  <c:v>66500</c:v>
                </c:pt>
                <c:pt idx="159">
                  <c:v>67000</c:v>
                </c:pt>
                <c:pt idx="160">
                  <c:v>67500</c:v>
                </c:pt>
                <c:pt idx="161">
                  <c:v>68000</c:v>
                </c:pt>
                <c:pt idx="162">
                  <c:v>68500</c:v>
                </c:pt>
                <c:pt idx="163">
                  <c:v>69000</c:v>
                </c:pt>
                <c:pt idx="164">
                  <c:v>69500</c:v>
                </c:pt>
                <c:pt idx="165">
                  <c:v>70000</c:v>
                </c:pt>
                <c:pt idx="166">
                  <c:v>70500</c:v>
                </c:pt>
                <c:pt idx="167">
                  <c:v>71000</c:v>
                </c:pt>
                <c:pt idx="168">
                  <c:v>71500</c:v>
                </c:pt>
                <c:pt idx="169">
                  <c:v>72000</c:v>
                </c:pt>
                <c:pt idx="170">
                  <c:v>72500</c:v>
                </c:pt>
                <c:pt idx="171">
                  <c:v>73000</c:v>
                </c:pt>
                <c:pt idx="172">
                  <c:v>73500</c:v>
                </c:pt>
                <c:pt idx="173">
                  <c:v>74000</c:v>
                </c:pt>
                <c:pt idx="174">
                  <c:v>74500</c:v>
                </c:pt>
                <c:pt idx="175">
                  <c:v>75000</c:v>
                </c:pt>
                <c:pt idx="176">
                  <c:v>75500</c:v>
                </c:pt>
                <c:pt idx="177">
                  <c:v>76000</c:v>
                </c:pt>
                <c:pt idx="178">
                  <c:v>76500</c:v>
                </c:pt>
                <c:pt idx="179">
                  <c:v>77000</c:v>
                </c:pt>
                <c:pt idx="180">
                  <c:v>77500</c:v>
                </c:pt>
                <c:pt idx="181">
                  <c:v>78000</c:v>
                </c:pt>
                <c:pt idx="182">
                  <c:v>78500</c:v>
                </c:pt>
                <c:pt idx="183">
                  <c:v>79000</c:v>
                </c:pt>
                <c:pt idx="184">
                  <c:v>79500</c:v>
                </c:pt>
                <c:pt idx="185">
                  <c:v>80000</c:v>
                </c:pt>
                <c:pt idx="186">
                  <c:v>80500</c:v>
                </c:pt>
                <c:pt idx="187">
                  <c:v>81000</c:v>
                </c:pt>
                <c:pt idx="188">
                  <c:v>81500</c:v>
                </c:pt>
                <c:pt idx="189">
                  <c:v>82000</c:v>
                </c:pt>
                <c:pt idx="190">
                  <c:v>82500</c:v>
                </c:pt>
                <c:pt idx="191">
                  <c:v>83000</c:v>
                </c:pt>
                <c:pt idx="192">
                  <c:v>83500</c:v>
                </c:pt>
                <c:pt idx="193">
                  <c:v>84000</c:v>
                </c:pt>
                <c:pt idx="194">
                  <c:v>84500</c:v>
                </c:pt>
                <c:pt idx="195">
                  <c:v>85000</c:v>
                </c:pt>
                <c:pt idx="196">
                  <c:v>85500</c:v>
                </c:pt>
                <c:pt idx="197">
                  <c:v>86000</c:v>
                </c:pt>
                <c:pt idx="198">
                  <c:v>86500</c:v>
                </c:pt>
                <c:pt idx="199">
                  <c:v>87000</c:v>
                </c:pt>
                <c:pt idx="200">
                  <c:v>87500</c:v>
                </c:pt>
                <c:pt idx="201">
                  <c:v>88000</c:v>
                </c:pt>
                <c:pt idx="202">
                  <c:v>88500</c:v>
                </c:pt>
                <c:pt idx="203">
                  <c:v>89000</c:v>
                </c:pt>
                <c:pt idx="204">
                  <c:v>89500</c:v>
                </c:pt>
                <c:pt idx="205">
                  <c:v>90000</c:v>
                </c:pt>
                <c:pt idx="206">
                  <c:v>90500</c:v>
                </c:pt>
                <c:pt idx="207">
                  <c:v>91000</c:v>
                </c:pt>
                <c:pt idx="208">
                  <c:v>91500</c:v>
                </c:pt>
                <c:pt idx="209">
                  <c:v>92000</c:v>
                </c:pt>
                <c:pt idx="210">
                  <c:v>92500</c:v>
                </c:pt>
                <c:pt idx="211">
                  <c:v>93000</c:v>
                </c:pt>
                <c:pt idx="212">
                  <c:v>93500</c:v>
                </c:pt>
                <c:pt idx="213">
                  <c:v>94000</c:v>
                </c:pt>
                <c:pt idx="214">
                  <c:v>94500</c:v>
                </c:pt>
                <c:pt idx="215">
                  <c:v>95000</c:v>
                </c:pt>
                <c:pt idx="216">
                  <c:v>95500</c:v>
                </c:pt>
                <c:pt idx="217">
                  <c:v>96000</c:v>
                </c:pt>
                <c:pt idx="218">
                  <c:v>96500</c:v>
                </c:pt>
                <c:pt idx="219">
                  <c:v>97000</c:v>
                </c:pt>
                <c:pt idx="220">
                  <c:v>97500</c:v>
                </c:pt>
                <c:pt idx="221">
                  <c:v>98000</c:v>
                </c:pt>
                <c:pt idx="222">
                  <c:v>98500</c:v>
                </c:pt>
                <c:pt idx="223">
                  <c:v>99000</c:v>
                </c:pt>
                <c:pt idx="224">
                  <c:v>99500</c:v>
                </c:pt>
                <c:pt idx="225">
                  <c:v>100000</c:v>
                </c:pt>
                <c:pt idx="226">
                  <c:v>105000</c:v>
                </c:pt>
                <c:pt idx="227">
                  <c:v>110000</c:v>
                </c:pt>
                <c:pt idx="228">
                  <c:v>115000</c:v>
                </c:pt>
                <c:pt idx="229">
                  <c:v>120000</c:v>
                </c:pt>
                <c:pt idx="230">
                  <c:v>125000</c:v>
                </c:pt>
                <c:pt idx="231">
                  <c:v>130000</c:v>
                </c:pt>
                <c:pt idx="232">
                  <c:v>135000</c:v>
                </c:pt>
                <c:pt idx="233">
                  <c:v>140000</c:v>
                </c:pt>
                <c:pt idx="234">
                  <c:v>145000</c:v>
                </c:pt>
                <c:pt idx="235">
                  <c:v>150000</c:v>
                </c:pt>
                <c:pt idx="236">
                  <c:v>155000</c:v>
                </c:pt>
                <c:pt idx="237">
                  <c:v>160000</c:v>
                </c:pt>
                <c:pt idx="238">
                  <c:v>165000</c:v>
                </c:pt>
                <c:pt idx="239">
                  <c:v>170000</c:v>
                </c:pt>
                <c:pt idx="240">
                  <c:v>175000</c:v>
                </c:pt>
                <c:pt idx="241">
                  <c:v>180000</c:v>
                </c:pt>
                <c:pt idx="242">
                  <c:v>185000</c:v>
                </c:pt>
                <c:pt idx="243">
                  <c:v>190000</c:v>
                </c:pt>
                <c:pt idx="244">
                  <c:v>195000</c:v>
                </c:pt>
                <c:pt idx="245">
                  <c:v>200000</c:v>
                </c:pt>
                <c:pt idx="246">
                  <c:v>205000</c:v>
                </c:pt>
                <c:pt idx="247">
                  <c:v>210000</c:v>
                </c:pt>
                <c:pt idx="248">
                  <c:v>215000</c:v>
                </c:pt>
                <c:pt idx="249">
                  <c:v>220000</c:v>
                </c:pt>
                <c:pt idx="250">
                  <c:v>225000</c:v>
                </c:pt>
                <c:pt idx="251">
                  <c:v>230000</c:v>
                </c:pt>
                <c:pt idx="252">
                  <c:v>235000</c:v>
                </c:pt>
                <c:pt idx="253">
                  <c:v>240000</c:v>
                </c:pt>
                <c:pt idx="254">
                  <c:v>245000</c:v>
                </c:pt>
                <c:pt idx="255">
                  <c:v>250000</c:v>
                </c:pt>
                <c:pt idx="256">
                  <c:v>255000</c:v>
                </c:pt>
                <c:pt idx="257">
                  <c:v>260000</c:v>
                </c:pt>
                <c:pt idx="258">
                  <c:v>265000</c:v>
                </c:pt>
                <c:pt idx="259">
                  <c:v>270000</c:v>
                </c:pt>
                <c:pt idx="260">
                  <c:v>275000</c:v>
                </c:pt>
                <c:pt idx="261">
                  <c:v>280000</c:v>
                </c:pt>
                <c:pt idx="262">
                  <c:v>285000</c:v>
                </c:pt>
                <c:pt idx="263">
                  <c:v>290000</c:v>
                </c:pt>
                <c:pt idx="264">
                  <c:v>295000</c:v>
                </c:pt>
                <c:pt idx="265">
                  <c:v>300000</c:v>
                </c:pt>
                <c:pt idx="266">
                  <c:v>305000</c:v>
                </c:pt>
                <c:pt idx="267">
                  <c:v>310000</c:v>
                </c:pt>
                <c:pt idx="268">
                  <c:v>315000</c:v>
                </c:pt>
                <c:pt idx="269">
                  <c:v>320000</c:v>
                </c:pt>
                <c:pt idx="270">
                  <c:v>325000</c:v>
                </c:pt>
                <c:pt idx="271">
                  <c:v>330000</c:v>
                </c:pt>
                <c:pt idx="272">
                  <c:v>335000</c:v>
                </c:pt>
                <c:pt idx="273">
                  <c:v>340000</c:v>
                </c:pt>
                <c:pt idx="274">
                  <c:v>345000</c:v>
                </c:pt>
                <c:pt idx="275">
                  <c:v>350000</c:v>
                </c:pt>
                <c:pt idx="276">
                  <c:v>355000</c:v>
                </c:pt>
                <c:pt idx="277">
                  <c:v>360000</c:v>
                </c:pt>
                <c:pt idx="278">
                  <c:v>365000</c:v>
                </c:pt>
                <c:pt idx="279">
                  <c:v>370000</c:v>
                </c:pt>
                <c:pt idx="280">
                  <c:v>375000</c:v>
                </c:pt>
                <c:pt idx="281">
                  <c:v>380000</c:v>
                </c:pt>
                <c:pt idx="282">
                  <c:v>385000</c:v>
                </c:pt>
                <c:pt idx="283">
                  <c:v>390000</c:v>
                </c:pt>
                <c:pt idx="284">
                  <c:v>395000</c:v>
                </c:pt>
                <c:pt idx="285">
                  <c:v>400000</c:v>
                </c:pt>
                <c:pt idx="286">
                  <c:v>405000</c:v>
                </c:pt>
                <c:pt idx="287">
                  <c:v>410000</c:v>
                </c:pt>
                <c:pt idx="288">
                  <c:v>415000</c:v>
                </c:pt>
                <c:pt idx="289">
                  <c:v>420000</c:v>
                </c:pt>
                <c:pt idx="290">
                  <c:v>425000</c:v>
                </c:pt>
                <c:pt idx="291">
                  <c:v>430000</c:v>
                </c:pt>
                <c:pt idx="292">
                  <c:v>435000</c:v>
                </c:pt>
                <c:pt idx="293">
                  <c:v>440000</c:v>
                </c:pt>
                <c:pt idx="294">
                  <c:v>445000</c:v>
                </c:pt>
                <c:pt idx="295">
                  <c:v>450000</c:v>
                </c:pt>
                <c:pt idx="296">
                  <c:v>455000</c:v>
                </c:pt>
                <c:pt idx="297">
                  <c:v>460000</c:v>
                </c:pt>
                <c:pt idx="298">
                  <c:v>465000</c:v>
                </c:pt>
                <c:pt idx="299">
                  <c:v>470000</c:v>
                </c:pt>
                <c:pt idx="300">
                  <c:v>475000</c:v>
                </c:pt>
                <c:pt idx="301">
                  <c:v>480000</c:v>
                </c:pt>
                <c:pt idx="302">
                  <c:v>485000</c:v>
                </c:pt>
                <c:pt idx="303">
                  <c:v>490000</c:v>
                </c:pt>
                <c:pt idx="304">
                  <c:v>495000</c:v>
                </c:pt>
                <c:pt idx="305">
                  <c:v>500000</c:v>
                </c:pt>
                <c:pt idx="306">
                  <c:v>505000</c:v>
                </c:pt>
                <c:pt idx="307">
                  <c:v>510000</c:v>
                </c:pt>
                <c:pt idx="308">
                  <c:v>515000</c:v>
                </c:pt>
                <c:pt idx="309">
                  <c:v>520000</c:v>
                </c:pt>
                <c:pt idx="310">
                  <c:v>525000</c:v>
                </c:pt>
                <c:pt idx="311">
                  <c:v>530000</c:v>
                </c:pt>
                <c:pt idx="312">
                  <c:v>535000</c:v>
                </c:pt>
                <c:pt idx="313">
                  <c:v>540000</c:v>
                </c:pt>
                <c:pt idx="314">
                  <c:v>545000</c:v>
                </c:pt>
                <c:pt idx="315">
                  <c:v>550000</c:v>
                </c:pt>
                <c:pt idx="316">
                  <c:v>555000</c:v>
                </c:pt>
                <c:pt idx="317">
                  <c:v>560000</c:v>
                </c:pt>
                <c:pt idx="318">
                  <c:v>565000</c:v>
                </c:pt>
                <c:pt idx="319">
                  <c:v>570000</c:v>
                </c:pt>
                <c:pt idx="320">
                  <c:v>575000</c:v>
                </c:pt>
                <c:pt idx="321">
                  <c:v>580000</c:v>
                </c:pt>
                <c:pt idx="322">
                  <c:v>585000</c:v>
                </c:pt>
                <c:pt idx="323">
                  <c:v>590000</c:v>
                </c:pt>
                <c:pt idx="324">
                  <c:v>595000</c:v>
                </c:pt>
                <c:pt idx="325">
                  <c:v>600000</c:v>
                </c:pt>
                <c:pt idx="326">
                  <c:v>605000</c:v>
                </c:pt>
                <c:pt idx="327">
                  <c:v>610000</c:v>
                </c:pt>
                <c:pt idx="328">
                  <c:v>615000</c:v>
                </c:pt>
                <c:pt idx="329">
                  <c:v>620000</c:v>
                </c:pt>
                <c:pt idx="330">
                  <c:v>625000</c:v>
                </c:pt>
                <c:pt idx="331">
                  <c:v>630000</c:v>
                </c:pt>
                <c:pt idx="332">
                  <c:v>635000</c:v>
                </c:pt>
                <c:pt idx="333">
                  <c:v>640000</c:v>
                </c:pt>
                <c:pt idx="334">
                  <c:v>645000</c:v>
                </c:pt>
                <c:pt idx="335">
                  <c:v>650000</c:v>
                </c:pt>
                <c:pt idx="336">
                  <c:v>655000</c:v>
                </c:pt>
                <c:pt idx="337">
                  <c:v>660000</c:v>
                </c:pt>
                <c:pt idx="338">
                  <c:v>665000</c:v>
                </c:pt>
                <c:pt idx="339">
                  <c:v>670000</c:v>
                </c:pt>
                <c:pt idx="340">
                  <c:v>675000</c:v>
                </c:pt>
                <c:pt idx="341">
                  <c:v>680000</c:v>
                </c:pt>
                <c:pt idx="342">
                  <c:v>685000</c:v>
                </c:pt>
                <c:pt idx="343">
                  <c:v>690000</c:v>
                </c:pt>
                <c:pt idx="344">
                  <c:v>695000</c:v>
                </c:pt>
                <c:pt idx="345">
                  <c:v>700000</c:v>
                </c:pt>
                <c:pt idx="346">
                  <c:v>705000</c:v>
                </c:pt>
                <c:pt idx="347">
                  <c:v>710000</c:v>
                </c:pt>
                <c:pt idx="348">
                  <c:v>715000</c:v>
                </c:pt>
                <c:pt idx="349">
                  <c:v>720000</c:v>
                </c:pt>
                <c:pt idx="350">
                  <c:v>725000</c:v>
                </c:pt>
                <c:pt idx="351">
                  <c:v>730000</c:v>
                </c:pt>
                <c:pt idx="352">
                  <c:v>735000</c:v>
                </c:pt>
                <c:pt idx="353">
                  <c:v>740000</c:v>
                </c:pt>
                <c:pt idx="354">
                  <c:v>745000</c:v>
                </c:pt>
                <c:pt idx="355">
                  <c:v>750000</c:v>
                </c:pt>
                <c:pt idx="356">
                  <c:v>755000</c:v>
                </c:pt>
                <c:pt idx="357">
                  <c:v>760000</c:v>
                </c:pt>
                <c:pt idx="358">
                  <c:v>765000</c:v>
                </c:pt>
                <c:pt idx="359">
                  <c:v>770000</c:v>
                </c:pt>
                <c:pt idx="360">
                  <c:v>775000</c:v>
                </c:pt>
                <c:pt idx="361">
                  <c:v>780000</c:v>
                </c:pt>
                <c:pt idx="362">
                  <c:v>785000</c:v>
                </c:pt>
                <c:pt idx="363">
                  <c:v>790000</c:v>
                </c:pt>
                <c:pt idx="364">
                  <c:v>795000</c:v>
                </c:pt>
                <c:pt idx="365">
                  <c:v>800000</c:v>
                </c:pt>
                <c:pt idx="366">
                  <c:v>805000</c:v>
                </c:pt>
                <c:pt idx="367">
                  <c:v>810000</c:v>
                </c:pt>
                <c:pt idx="368">
                  <c:v>815000</c:v>
                </c:pt>
                <c:pt idx="369">
                  <c:v>820000</c:v>
                </c:pt>
                <c:pt idx="370">
                  <c:v>825000</c:v>
                </c:pt>
                <c:pt idx="371">
                  <c:v>830000</c:v>
                </c:pt>
                <c:pt idx="372">
                  <c:v>835000</c:v>
                </c:pt>
                <c:pt idx="373">
                  <c:v>840000</c:v>
                </c:pt>
                <c:pt idx="374">
                  <c:v>845000</c:v>
                </c:pt>
                <c:pt idx="375">
                  <c:v>850000</c:v>
                </c:pt>
                <c:pt idx="376">
                  <c:v>855000</c:v>
                </c:pt>
                <c:pt idx="377">
                  <c:v>860000</c:v>
                </c:pt>
                <c:pt idx="378">
                  <c:v>865000</c:v>
                </c:pt>
                <c:pt idx="379">
                  <c:v>870000</c:v>
                </c:pt>
                <c:pt idx="380">
                  <c:v>875000</c:v>
                </c:pt>
                <c:pt idx="381">
                  <c:v>880000</c:v>
                </c:pt>
                <c:pt idx="382">
                  <c:v>885000</c:v>
                </c:pt>
                <c:pt idx="383">
                  <c:v>890000</c:v>
                </c:pt>
                <c:pt idx="384">
                  <c:v>895000</c:v>
                </c:pt>
                <c:pt idx="385">
                  <c:v>900000</c:v>
                </c:pt>
                <c:pt idx="386">
                  <c:v>905000</c:v>
                </c:pt>
                <c:pt idx="387">
                  <c:v>910000</c:v>
                </c:pt>
                <c:pt idx="388">
                  <c:v>915000</c:v>
                </c:pt>
                <c:pt idx="389">
                  <c:v>920000</c:v>
                </c:pt>
                <c:pt idx="390">
                  <c:v>925000</c:v>
                </c:pt>
                <c:pt idx="391">
                  <c:v>930000</c:v>
                </c:pt>
                <c:pt idx="392">
                  <c:v>935000</c:v>
                </c:pt>
                <c:pt idx="393">
                  <c:v>940000</c:v>
                </c:pt>
                <c:pt idx="394">
                  <c:v>945000</c:v>
                </c:pt>
                <c:pt idx="395">
                  <c:v>950000</c:v>
                </c:pt>
                <c:pt idx="396">
                  <c:v>955000</c:v>
                </c:pt>
                <c:pt idx="397">
                  <c:v>960000</c:v>
                </c:pt>
                <c:pt idx="398">
                  <c:v>965000</c:v>
                </c:pt>
                <c:pt idx="399">
                  <c:v>970000</c:v>
                </c:pt>
                <c:pt idx="400">
                  <c:v>975000</c:v>
                </c:pt>
                <c:pt idx="401">
                  <c:v>980000</c:v>
                </c:pt>
                <c:pt idx="402">
                  <c:v>985000</c:v>
                </c:pt>
                <c:pt idx="403">
                  <c:v>990000</c:v>
                </c:pt>
                <c:pt idx="404">
                  <c:v>995000</c:v>
                </c:pt>
                <c:pt idx="405">
                  <c:v>1000000</c:v>
                </c:pt>
                <c:pt idx="406">
                  <c:v>1005000</c:v>
                </c:pt>
                <c:pt idx="407">
                  <c:v>1010000</c:v>
                </c:pt>
                <c:pt idx="408">
                  <c:v>1015000</c:v>
                </c:pt>
                <c:pt idx="409">
                  <c:v>1020000</c:v>
                </c:pt>
                <c:pt idx="410">
                  <c:v>1025000</c:v>
                </c:pt>
                <c:pt idx="411">
                  <c:v>1030000</c:v>
                </c:pt>
                <c:pt idx="412">
                  <c:v>1035000</c:v>
                </c:pt>
                <c:pt idx="413">
                  <c:v>1040000</c:v>
                </c:pt>
                <c:pt idx="414">
                  <c:v>1045000</c:v>
                </c:pt>
                <c:pt idx="415">
                  <c:v>1050000</c:v>
                </c:pt>
                <c:pt idx="416">
                  <c:v>1055000</c:v>
                </c:pt>
                <c:pt idx="417">
                  <c:v>1060000</c:v>
                </c:pt>
                <c:pt idx="418">
                  <c:v>1065000</c:v>
                </c:pt>
                <c:pt idx="419">
                  <c:v>1070000</c:v>
                </c:pt>
                <c:pt idx="420">
                  <c:v>1075000</c:v>
                </c:pt>
                <c:pt idx="421">
                  <c:v>1080000</c:v>
                </c:pt>
                <c:pt idx="422">
                  <c:v>1085000</c:v>
                </c:pt>
                <c:pt idx="423">
                  <c:v>1090000</c:v>
                </c:pt>
                <c:pt idx="424">
                  <c:v>1095000</c:v>
                </c:pt>
                <c:pt idx="425">
                  <c:v>1100000</c:v>
                </c:pt>
                <c:pt idx="426">
                  <c:v>1105000</c:v>
                </c:pt>
                <c:pt idx="427">
                  <c:v>1110000</c:v>
                </c:pt>
                <c:pt idx="428">
                  <c:v>1115000</c:v>
                </c:pt>
                <c:pt idx="429">
                  <c:v>1120000</c:v>
                </c:pt>
                <c:pt idx="430">
                  <c:v>1125000</c:v>
                </c:pt>
                <c:pt idx="431">
                  <c:v>1130000</c:v>
                </c:pt>
                <c:pt idx="432">
                  <c:v>1135000</c:v>
                </c:pt>
                <c:pt idx="433">
                  <c:v>1140000</c:v>
                </c:pt>
                <c:pt idx="434">
                  <c:v>1145000</c:v>
                </c:pt>
                <c:pt idx="435">
                  <c:v>1150000</c:v>
                </c:pt>
                <c:pt idx="436">
                  <c:v>1155000</c:v>
                </c:pt>
                <c:pt idx="437">
                  <c:v>1160000</c:v>
                </c:pt>
                <c:pt idx="438">
                  <c:v>1165000</c:v>
                </c:pt>
                <c:pt idx="439">
                  <c:v>1170000</c:v>
                </c:pt>
                <c:pt idx="440">
                  <c:v>1175000</c:v>
                </c:pt>
                <c:pt idx="441">
                  <c:v>1180000</c:v>
                </c:pt>
                <c:pt idx="442">
                  <c:v>1185000</c:v>
                </c:pt>
                <c:pt idx="443">
                  <c:v>1190000</c:v>
                </c:pt>
                <c:pt idx="444">
                  <c:v>1195000</c:v>
                </c:pt>
                <c:pt idx="445">
                  <c:v>1200000</c:v>
                </c:pt>
                <c:pt idx="446">
                  <c:v>1205000</c:v>
                </c:pt>
                <c:pt idx="447">
                  <c:v>1210000</c:v>
                </c:pt>
                <c:pt idx="448">
                  <c:v>1215000</c:v>
                </c:pt>
                <c:pt idx="449">
                  <c:v>1220000</c:v>
                </c:pt>
                <c:pt idx="450">
                  <c:v>1225000</c:v>
                </c:pt>
                <c:pt idx="451">
                  <c:v>1230000</c:v>
                </c:pt>
                <c:pt idx="452">
                  <c:v>1235000</c:v>
                </c:pt>
                <c:pt idx="453">
                  <c:v>1240000</c:v>
                </c:pt>
                <c:pt idx="454">
                  <c:v>1245000</c:v>
                </c:pt>
                <c:pt idx="455">
                  <c:v>1250000</c:v>
                </c:pt>
                <c:pt idx="456">
                  <c:v>1255000</c:v>
                </c:pt>
                <c:pt idx="457">
                  <c:v>1260000</c:v>
                </c:pt>
                <c:pt idx="458">
                  <c:v>1265000</c:v>
                </c:pt>
                <c:pt idx="459">
                  <c:v>1270000</c:v>
                </c:pt>
                <c:pt idx="460">
                  <c:v>1275000</c:v>
                </c:pt>
                <c:pt idx="461">
                  <c:v>1280000</c:v>
                </c:pt>
                <c:pt idx="462">
                  <c:v>1285000</c:v>
                </c:pt>
                <c:pt idx="463">
                  <c:v>1290000</c:v>
                </c:pt>
                <c:pt idx="464">
                  <c:v>1295000</c:v>
                </c:pt>
                <c:pt idx="465">
                  <c:v>1300000</c:v>
                </c:pt>
                <c:pt idx="466">
                  <c:v>1305000</c:v>
                </c:pt>
                <c:pt idx="467">
                  <c:v>1310000</c:v>
                </c:pt>
                <c:pt idx="468">
                  <c:v>1315000</c:v>
                </c:pt>
                <c:pt idx="469">
                  <c:v>1320000</c:v>
                </c:pt>
                <c:pt idx="470">
                  <c:v>1325000</c:v>
                </c:pt>
                <c:pt idx="471">
                  <c:v>1330000</c:v>
                </c:pt>
                <c:pt idx="472">
                  <c:v>1335000</c:v>
                </c:pt>
                <c:pt idx="473">
                  <c:v>1340000</c:v>
                </c:pt>
                <c:pt idx="474">
                  <c:v>1345000</c:v>
                </c:pt>
                <c:pt idx="475">
                  <c:v>1350000</c:v>
                </c:pt>
                <c:pt idx="476">
                  <c:v>1355000</c:v>
                </c:pt>
                <c:pt idx="477">
                  <c:v>1360000</c:v>
                </c:pt>
                <c:pt idx="478">
                  <c:v>1365000</c:v>
                </c:pt>
                <c:pt idx="479">
                  <c:v>1370000</c:v>
                </c:pt>
                <c:pt idx="480">
                  <c:v>1375000</c:v>
                </c:pt>
                <c:pt idx="481">
                  <c:v>1380000</c:v>
                </c:pt>
                <c:pt idx="482">
                  <c:v>1385000</c:v>
                </c:pt>
                <c:pt idx="483">
                  <c:v>1390000</c:v>
                </c:pt>
                <c:pt idx="484">
                  <c:v>1395000</c:v>
                </c:pt>
                <c:pt idx="485">
                  <c:v>1400000</c:v>
                </c:pt>
                <c:pt idx="486">
                  <c:v>1405000</c:v>
                </c:pt>
                <c:pt idx="487">
                  <c:v>1410000</c:v>
                </c:pt>
                <c:pt idx="488">
                  <c:v>1415000</c:v>
                </c:pt>
                <c:pt idx="489">
                  <c:v>1420000</c:v>
                </c:pt>
                <c:pt idx="490">
                  <c:v>1425000</c:v>
                </c:pt>
                <c:pt idx="491">
                  <c:v>1430000</c:v>
                </c:pt>
                <c:pt idx="492">
                  <c:v>1435000</c:v>
                </c:pt>
                <c:pt idx="493">
                  <c:v>1440000</c:v>
                </c:pt>
                <c:pt idx="494">
                  <c:v>1445000</c:v>
                </c:pt>
                <c:pt idx="495">
                  <c:v>1450000</c:v>
                </c:pt>
                <c:pt idx="496">
                  <c:v>1455000</c:v>
                </c:pt>
                <c:pt idx="497">
                  <c:v>1460000</c:v>
                </c:pt>
                <c:pt idx="498">
                  <c:v>1465000</c:v>
                </c:pt>
                <c:pt idx="499">
                  <c:v>1470000</c:v>
                </c:pt>
                <c:pt idx="500">
                  <c:v>1475000</c:v>
                </c:pt>
                <c:pt idx="501">
                  <c:v>1480000</c:v>
                </c:pt>
                <c:pt idx="502">
                  <c:v>1485000</c:v>
                </c:pt>
                <c:pt idx="503">
                  <c:v>1490000</c:v>
                </c:pt>
                <c:pt idx="504">
                  <c:v>1495000</c:v>
                </c:pt>
                <c:pt idx="505">
                  <c:v>1500000</c:v>
                </c:pt>
                <c:pt idx="506">
                  <c:v>1505000</c:v>
                </c:pt>
                <c:pt idx="507">
                  <c:v>1510000</c:v>
                </c:pt>
                <c:pt idx="508">
                  <c:v>1515000</c:v>
                </c:pt>
                <c:pt idx="509">
                  <c:v>1520000</c:v>
                </c:pt>
                <c:pt idx="510">
                  <c:v>1525000</c:v>
                </c:pt>
                <c:pt idx="511">
                  <c:v>1530000</c:v>
                </c:pt>
                <c:pt idx="512">
                  <c:v>1535000</c:v>
                </c:pt>
                <c:pt idx="513">
                  <c:v>1540000</c:v>
                </c:pt>
                <c:pt idx="514">
                  <c:v>1545000</c:v>
                </c:pt>
                <c:pt idx="515">
                  <c:v>1550000</c:v>
                </c:pt>
                <c:pt idx="516">
                  <c:v>1555000</c:v>
                </c:pt>
                <c:pt idx="517">
                  <c:v>1560000</c:v>
                </c:pt>
                <c:pt idx="518">
                  <c:v>1565000</c:v>
                </c:pt>
                <c:pt idx="519">
                  <c:v>1570000</c:v>
                </c:pt>
                <c:pt idx="520">
                  <c:v>1575000</c:v>
                </c:pt>
                <c:pt idx="521">
                  <c:v>1580000</c:v>
                </c:pt>
                <c:pt idx="522">
                  <c:v>1585000</c:v>
                </c:pt>
                <c:pt idx="523">
                  <c:v>1590000</c:v>
                </c:pt>
                <c:pt idx="524">
                  <c:v>1595000</c:v>
                </c:pt>
                <c:pt idx="525">
                  <c:v>1600000</c:v>
                </c:pt>
                <c:pt idx="526">
                  <c:v>1605000</c:v>
                </c:pt>
                <c:pt idx="527">
                  <c:v>1610000</c:v>
                </c:pt>
                <c:pt idx="528">
                  <c:v>1615000</c:v>
                </c:pt>
                <c:pt idx="529">
                  <c:v>1620000</c:v>
                </c:pt>
                <c:pt idx="530">
                  <c:v>1625000</c:v>
                </c:pt>
                <c:pt idx="531">
                  <c:v>1630000</c:v>
                </c:pt>
                <c:pt idx="532">
                  <c:v>1635000</c:v>
                </c:pt>
                <c:pt idx="533">
                  <c:v>1640000</c:v>
                </c:pt>
                <c:pt idx="534">
                  <c:v>1645000</c:v>
                </c:pt>
                <c:pt idx="535">
                  <c:v>1650000</c:v>
                </c:pt>
                <c:pt idx="536">
                  <c:v>1655000</c:v>
                </c:pt>
                <c:pt idx="537">
                  <c:v>1660000</c:v>
                </c:pt>
                <c:pt idx="538">
                  <c:v>1665000</c:v>
                </c:pt>
                <c:pt idx="539">
                  <c:v>1670000</c:v>
                </c:pt>
                <c:pt idx="540">
                  <c:v>1675000</c:v>
                </c:pt>
                <c:pt idx="541">
                  <c:v>1680000</c:v>
                </c:pt>
                <c:pt idx="542">
                  <c:v>1685000</c:v>
                </c:pt>
                <c:pt idx="543">
                  <c:v>1690000</c:v>
                </c:pt>
                <c:pt idx="544">
                  <c:v>1695000</c:v>
                </c:pt>
                <c:pt idx="545">
                  <c:v>1700000</c:v>
                </c:pt>
                <c:pt idx="546">
                  <c:v>1705000</c:v>
                </c:pt>
                <c:pt idx="547">
                  <c:v>1710000</c:v>
                </c:pt>
                <c:pt idx="548">
                  <c:v>1715000</c:v>
                </c:pt>
                <c:pt idx="549">
                  <c:v>1720000</c:v>
                </c:pt>
                <c:pt idx="550">
                  <c:v>1725000</c:v>
                </c:pt>
                <c:pt idx="551">
                  <c:v>1730000</c:v>
                </c:pt>
                <c:pt idx="552">
                  <c:v>1735000</c:v>
                </c:pt>
                <c:pt idx="553">
                  <c:v>1740000</c:v>
                </c:pt>
                <c:pt idx="554">
                  <c:v>1745000</c:v>
                </c:pt>
                <c:pt idx="555">
                  <c:v>1750000</c:v>
                </c:pt>
                <c:pt idx="556">
                  <c:v>1755000</c:v>
                </c:pt>
                <c:pt idx="557">
                  <c:v>1760000</c:v>
                </c:pt>
                <c:pt idx="558">
                  <c:v>1765000</c:v>
                </c:pt>
                <c:pt idx="559">
                  <c:v>1770000</c:v>
                </c:pt>
                <c:pt idx="560">
                  <c:v>1775000</c:v>
                </c:pt>
                <c:pt idx="561">
                  <c:v>1780000</c:v>
                </c:pt>
                <c:pt idx="562">
                  <c:v>1785000</c:v>
                </c:pt>
                <c:pt idx="563">
                  <c:v>1790000</c:v>
                </c:pt>
                <c:pt idx="564">
                  <c:v>1795000</c:v>
                </c:pt>
                <c:pt idx="565">
                  <c:v>1800000</c:v>
                </c:pt>
                <c:pt idx="566">
                  <c:v>1805000</c:v>
                </c:pt>
                <c:pt idx="567">
                  <c:v>1810000</c:v>
                </c:pt>
                <c:pt idx="568">
                  <c:v>1815000</c:v>
                </c:pt>
                <c:pt idx="569">
                  <c:v>1820000</c:v>
                </c:pt>
                <c:pt idx="570">
                  <c:v>1825000</c:v>
                </c:pt>
                <c:pt idx="571">
                  <c:v>1830000</c:v>
                </c:pt>
                <c:pt idx="572">
                  <c:v>1835000</c:v>
                </c:pt>
                <c:pt idx="573">
                  <c:v>1840000</c:v>
                </c:pt>
                <c:pt idx="574">
                  <c:v>1845000</c:v>
                </c:pt>
                <c:pt idx="575">
                  <c:v>1850000</c:v>
                </c:pt>
                <c:pt idx="576">
                  <c:v>1855000</c:v>
                </c:pt>
                <c:pt idx="577">
                  <c:v>1860000</c:v>
                </c:pt>
                <c:pt idx="578">
                  <c:v>1865000</c:v>
                </c:pt>
                <c:pt idx="579">
                  <c:v>1870000</c:v>
                </c:pt>
                <c:pt idx="580">
                  <c:v>1875000</c:v>
                </c:pt>
                <c:pt idx="581">
                  <c:v>1880000</c:v>
                </c:pt>
                <c:pt idx="582">
                  <c:v>1885000</c:v>
                </c:pt>
                <c:pt idx="583">
                  <c:v>1890000</c:v>
                </c:pt>
                <c:pt idx="584">
                  <c:v>1895000</c:v>
                </c:pt>
                <c:pt idx="585">
                  <c:v>1900000</c:v>
                </c:pt>
                <c:pt idx="586">
                  <c:v>1905000</c:v>
                </c:pt>
                <c:pt idx="587">
                  <c:v>1910000</c:v>
                </c:pt>
                <c:pt idx="588">
                  <c:v>1915000</c:v>
                </c:pt>
                <c:pt idx="589">
                  <c:v>1920000</c:v>
                </c:pt>
                <c:pt idx="590">
                  <c:v>1925000</c:v>
                </c:pt>
                <c:pt idx="591">
                  <c:v>1930000</c:v>
                </c:pt>
                <c:pt idx="592">
                  <c:v>1935000</c:v>
                </c:pt>
                <c:pt idx="593">
                  <c:v>1940000</c:v>
                </c:pt>
                <c:pt idx="594">
                  <c:v>1945000</c:v>
                </c:pt>
                <c:pt idx="595">
                  <c:v>1950000</c:v>
                </c:pt>
                <c:pt idx="596">
                  <c:v>1955000</c:v>
                </c:pt>
                <c:pt idx="597">
                  <c:v>1960000</c:v>
                </c:pt>
                <c:pt idx="598">
                  <c:v>1965000</c:v>
                </c:pt>
                <c:pt idx="599">
                  <c:v>1970000</c:v>
                </c:pt>
                <c:pt idx="600">
                  <c:v>1975000</c:v>
                </c:pt>
                <c:pt idx="601">
                  <c:v>1980000</c:v>
                </c:pt>
                <c:pt idx="602">
                  <c:v>1985000</c:v>
                </c:pt>
                <c:pt idx="603">
                  <c:v>1990000</c:v>
                </c:pt>
                <c:pt idx="604">
                  <c:v>1995000</c:v>
                </c:pt>
                <c:pt idx="605">
                  <c:v>2000000</c:v>
                </c:pt>
                <c:pt idx="606">
                  <c:v>2250000</c:v>
                </c:pt>
                <c:pt idx="607">
                  <c:v>2500000</c:v>
                </c:pt>
                <c:pt idx="608">
                  <c:v>2750000</c:v>
                </c:pt>
                <c:pt idx="609">
                  <c:v>3000000</c:v>
                </c:pt>
                <c:pt idx="610">
                  <c:v>3250000</c:v>
                </c:pt>
                <c:pt idx="611">
                  <c:v>3500000</c:v>
                </c:pt>
                <c:pt idx="612">
                  <c:v>3750000</c:v>
                </c:pt>
                <c:pt idx="613">
                  <c:v>4000000</c:v>
                </c:pt>
                <c:pt idx="614">
                  <c:v>4250000</c:v>
                </c:pt>
                <c:pt idx="615">
                  <c:v>4500000</c:v>
                </c:pt>
                <c:pt idx="616">
                  <c:v>4750000</c:v>
                </c:pt>
                <c:pt idx="617">
                  <c:v>5000000</c:v>
                </c:pt>
                <c:pt idx="618">
                  <c:v>5100000</c:v>
                </c:pt>
                <c:pt idx="619">
                  <c:v>5200000</c:v>
                </c:pt>
                <c:pt idx="620">
                  <c:v>5300000</c:v>
                </c:pt>
                <c:pt idx="621">
                  <c:v>5400000</c:v>
                </c:pt>
                <c:pt idx="622">
                  <c:v>5500000</c:v>
                </c:pt>
                <c:pt idx="623">
                  <c:v>5600000</c:v>
                </c:pt>
                <c:pt idx="624">
                  <c:v>5700000</c:v>
                </c:pt>
                <c:pt idx="625">
                  <c:v>5800000</c:v>
                </c:pt>
                <c:pt idx="626">
                  <c:v>5900000</c:v>
                </c:pt>
                <c:pt idx="627">
                  <c:v>6000000</c:v>
                </c:pt>
                <c:pt idx="628">
                  <c:v>6100000</c:v>
                </c:pt>
                <c:pt idx="629">
                  <c:v>6200000</c:v>
                </c:pt>
                <c:pt idx="630">
                  <c:v>6300000</c:v>
                </c:pt>
                <c:pt idx="631">
                  <c:v>6400000</c:v>
                </c:pt>
                <c:pt idx="632">
                  <c:v>6500000</c:v>
                </c:pt>
                <c:pt idx="633">
                  <c:v>6600000</c:v>
                </c:pt>
                <c:pt idx="634">
                  <c:v>6700000</c:v>
                </c:pt>
                <c:pt idx="635">
                  <c:v>6800000</c:v>
                </c:pt>
                <c:pt idx="636">
                  <c:v>6900000</c:v>
                </c:pt>
                <c:pt idx="637">
                  <c:v>7000000</c:v>
                </c:pt>
                <c:pt idx="638">
                  <c:v>7100000</c:v>
                </c:pt>
                <c:pt idx="639">
                  <c:v>7200000</c:v>
                </c:pt>
                <c:pt idx="640">
                  <c:v>7300000</c:v>
                </c:pt>
                <c:pt idx="641">
                  <c:v>7400000</c:v>
                </c:pt>
                <c:pt idx="642">
                  <c:v>7500000</c:v>
                </c:pt>
                <c:pt idx="643">
                  <c:v>7600000</c:v>
                </c:pt>
                <c:pt idx="644">
                  <c:v>7700000</c:v>
                </c:pt>
                <c:pt idx="645">
                  <c:v>7800000</c:v>
                </c:pt>
                <c:pt idx="646">
                  <c:v>7900000</c:v>
                </c:pt>
                <c:pt idx="647">
                  <c:v>8000000</c:v>
                </c:pt>
                <c:pt idx="648">
                  <c:v>8100000</c:v>
                </c:pt>
                <c:pt idx="649">
                  <c:v>8200000</c:v>
                </c:pt>
                <c:pt idx="650">
                  <c:v>8300000</c:v>
                </c:pt>
                <c:pt idx="651">
                  <c:v>8400000</c:v>
                </c:pt>
                <c:pt idx="652">
                  <c:v>8500000</c:v>
                </c:pt>
                <c:pt idx="653">
                  <c:v>8600000</c:v>
                </c:pt>
                <c:pt idx="654">
                  <c:v>8700000</c:v>
                </c:pt>
                <c:pt idx="655">
                  <c:v>8800000</c:v>
                </c:pt>
                <c:pt idx="656">
                  <c:v>8900000</c:v>
                </c:pt>
                <c:pt idx="657">
                  <c:v>9000000</c:v>
                </c:pt>
                <c:pt idx="658">
                  <c:v>9100000</c:v>
                </c:pt>
                <c:pt idx="659">
                  <c:v>9200000</c:v>
                </c:pt>
                <c:pt idx="660">
                  <c:v>9300000</c:v>
                </c:pt>
                <c:pt idx="661">
                  <c:v>9400000</c:v>
                </c:pt>
                <c:pt idx="662">
                  <c:v>9500000</c:v>
                </c:pt>
                <c:pt idx="663">
                  <c:v>9600000</c:v>
                </c:pt>
                <c:pt idx="664">
                  <c:v>9700000</c:v>
                </c:pt>
                <c:pt idx="665">
                  <c:v>9800000</c:v>
                </c:pt>
                <c:pt idx="666">
                  <c:v>9900000</c:v>
                </c:pt>
                <c:pt idx="667">
                  <c:v>10000000</c:v>
                </c:pt>
              </c:numCache>
            </c:numRef>
          </c:xVal>
          <c:yVal>
            <c:numRef>
              <c:f>'Bode Plots Calculations'!$BN$9:$BN$676</c:f>
              <c:numCache>
                <c:formatCode>General</c:formatCode>
                <c:ptCount val="668"/>
                <c:pt idx="0">
                  <c:v>-2.2666682315487414E-3</c:v>
                </c:pt>
                <c:pt idx="1">
                  <c:v>-4.5333366100724004E-3</c:v>
                </c:pt>
                <c:pt idx="2">
                  <c:v>-6.8000052825459246E-3</c:v>
                </c:pt>
                <c:pt idx="3">
                  <c:v>-9.066674395944321E-3</c:v>
                </c:pt>
                <c:pt idx="4">
                  <c:v>-1.1333344097242688E-2</c:v>
                </c:pt>
                <c:pt idx="5">
                  <c:v>-1.3600014533416247E-2</c:v>
                </c:pt>
                <c:pt idx="6">
                  <c:v>-1.5866685851440358E-2</c:v>
                </c:pt>
                <c:pt idx="7">
                  <c:v>-1.8133358198290581E-2</c:v>
                </c:pt>
                <c:pt idx="8">
                  <c:v>-2.0400031720942659E-2</c:v>
                </c:pt>
                <c:pt idx="9">
                  <c:v>-2.2666706566372596E-2</c:v>
                </c:pt>
                <c:pt idx="10">
                  <c:v>-4.5333560108405578E-2</c:v>
                </c:pt>
                <c:pt idx="11">
                  <c:v>-6.8000707604760041E-2</c:v>
                </c:pt>
                <c:pt idx="12">
                  <c:v>-9.0668296040098725E-2</c:v>
                </c:pt>
                <c:pt idx="13">
                  <c:v>-0.11333647240808703</c:v>
                </c:pt>
                <c:pt idx="14">
                  <c:v>-0.13600538371439461</c:v>
                </c:pt>
                <c:pt idx="15">
                  <c:v>-0.15867517697969707</c:v>
                </c:pt>
                <c:pt idx="16">
                  <c:v>-0.18134599924267883</c:v>
                </c:pt>
                <c:pt idx="17">
                  <c:v>-0.20401799756303637</c:v>
                </c:pt>
                <c:pt idx="18">
                  <c:v>-0.22669131902448214</c:v>
                </c:pt>
                <c:pt idx="19">
                  <c:v>-0.45352968800699789</c:v>
                </c:pt>
                <c:pt idx="20">
                  <c:v>-0.68066245738060904</c:v>
                </c:pt>
                <c:pt idx="21">
                  <c:v>-0.90823757974610264</c:v>
                </c:pt>
                <c:pt idx="22">
                  <c:v>-1.1364039140079136</c:v>
                </c:pt>
                <c:pt idx="23">
                  <c:v>-1.3653115331946597</c:v>
                </c:pt>
                <c:pt idx="24">
                  <c:v>-1.5951120372296159</c:v>
                </c:pt>
                <c:pt idx="25">
                  <c:v>-1.8259588719487003</c:v>
                </c:pt>
                <c:pt idx="26">
                  <c:v>-2.0580076557043827</c:v>
                </c:pt>
                <c:pt idx="27">
                  <c:v>-2.2914165149437649</c:v>
                </c:pt>
                <c:pt idx="28">
                  <c:v>-3.4846165927576687</c:v>
                </c:pt>
                <c:pt idx="29">
                  <c:v>-4.7376246852894903</c:v>
                </c:pt>
                <c:pt idx="30">
                  <c:v>-6.0753949631293667</c:v>
                </c:pt>
                <c:pt idx="31">
                  <c:v>-7.5278843732187024</c:v>
                </c:pt>
                <c:pt idx="32">
                  <c:v>-9.1323246240512521</c:v>
                </c:pt>
                <c:pt idx="33">
                  <c:v>-10.936437806055677</c:v>
                </c:pt>
                <c:pt idx="34">
                  <c:v>-13.003125347584438</c:v>
                </c:pt>
                <c:pt idx="35">
                  <c:v>-15.417462695713905</c:v>
                </c:pt>
                <c:pt idx="36">
                  <c:v>-18.297292858093591</c:v>
                </c:pt>
                <c:pt idx="37">
                  <c:v>-21.809316615668411</c:v>
                </c:pt>
                <c:pt idx="38">
                  <c:v>-26.192977201971285</c:v>
                </c:pt>
                <c:pt idx="39">
                  <c:v>-31.792908564633741</c:v>
                </c:pt>
                <c:pt idx="40">
                  <c:v>-39.090763002757697</c:v>
                </c:pt>
                <c:pt idx="41">
                  <c:v>-48.689687155261787</c:v>
                </c:pt>
                <c:pt idx="42">
                  <c:v>-61.110508966897108</c:v>
                </c:pt>
                <c:pt idx="43">
                  <c:v>-76.199180720116388</c:v>
                </c:pt>
                <c:pt idx="44">
                  <c:v>-92.454269522318612</c:v>
                </c:pt>
                <c:pt idx="45">
                  <c:v>-107.55239273137184</c:v>
                </c:pt>
                <c:pt idx="46">
                  <c:v>-119.97585498425353</c:v>
                </c:pt>
                <c:pt idx="47">
                  <c:v>-129.55765033223682</c:v>
                </c:pt>
                <c:pt idx="48">
                  <c:v>-136.81459694493799</c:v>
                </c:pt>
                <c:pt idx="49">
                  <c:v>-142.35006974623604</c:v>
                </c:pt>
                <c:pt idx="50">
                  <c:v>-146.64667484188953</c:v>
                </c:pt>
                <c:pt idx="51">
                  <c:v>-150.04957027953762</c:v>
                </c:pt>
                <c:pt idx="52">
                  <c:v>-152.79810843751457</c:v>
                </c:pt>
                <c:pt idx="53">
                  <c:v>-155.05833789982111</c:v>
                </c:pt>
                <c:pt idx="54">
                  <c:v>-156.94695631070326</c:v>
                </c:pt>
                <c:pt idx="55">
                  <c:v>-158.5474351806289</c:v>
                </c:pt>
                <c:pt idx="56">
                  <c:v>-159.92061144852184</c:v>
                </c:pt>
                <c:pt idx="57">
                  <c:v>-161.11164784362563</c:v>
                </c:pt>
                <c:pt idx="58">
                  <c:v>-162.15465760970358</c:v>
                </c:pt>
                <c:pt idx="59">
                  <c:v>-163.07582501872861</c:v>
                </c:pt>
                <c:pt idx="60">
                  <c:v>-163.89554686874203</c:v>
                </c:pt>
                <c:pt idx="61">
                  <c:v>-164.62992743400116</c:v>
                </c:pt>
                <c:pt idx="62">
                  <c:v>-165.29183949869883</c:v>
                </c:pt>
                <c:pt idx="63">
                  <c:v>-165.89168936612714</c:v>
                </c:pt>
                <c:pt idx="64">
                  <c:v>-166.43797665153571</c:v>
                </c:pt>
                <c:pt idx="65">
                  <c:v>-166.93770960784022</c:v>
                </c:pt>
                <c:pt idx="66">
                  <c:v>-167.39671725859355</c:v>
                </c:pt>
                <c:pt idx="67">
                  <c:v>-167.81988680328567</c:v>
                </c:pt>
                <c:pt idx="68">
                  <c:v>-168.21134620788607</c:v>
                </c:pt>
                <c:pt idx="69">
                  <c:v>-168.5746061002508</c:v>
                </c:pt>
                <c:pt idx="70">
                  <c:v>-168.91267111060267</c:v>
                </c:pt>
                <c:pt idx="71">
                  <c:v>-169.22812802735763</c:v>
                </c:pt>
                <c:pt idx="72">
                  <c:v>-169.52321618611788</c:v>
                </c:pt>
                <c:pt idx="73">
                  <c:v>-169.799884116946</c:v>
                </c:pt>
                <c:pt idx="74">
                  <c:v>-170.05983547037266</c:v>
                </c:pt>
                <c:pt idx="75">
                  <c:v>-170.30456651011229</c:v>
                </c:pt>
                <c:pt idx="76">
                  <c:v>-170.5353969210415</c:v>
                </c:pt>
                <c:pt idx="77">
                  <c:v>-170.75349527996943</c:v>
                </c:pt>
                <c:pt idx="78">
                  <c:v>-170.9599002359021</c:v>
                </c:pt>
                <c:pt idx="79">
                  <c:v>-171.15553821892132</c:v>
                </c:pt>
                <c:pt idx="80">
                  <c:v>-171.34123832323763</c:v>
                </c:pt>
                <c:pt idx="81">
                  <c:v>-171.51774487660398</c:v>
                </c:pt>
                <c:pt idx="82">
                  <c:v>-171.68572810504313</c:v>
                </c:pt>
                <c:pt idx="83">
                  <c:v>-171.8457932213858</c:v>
                </c:pt>
                <c:pt idx="84">
                  <c:v>-171.9984882030023</c:v>
                </c:pt>
                <c:pt idx="85">
                  <c:v>-172.14431047429466</c:v>
                </c:pt>
                <c:pt idx="86">
                  <c:v>-172.28371266995836</c:v>
                </c:pt>
                <c:pt idx="87">
                  <c:v>-172.41710762343951</c:v>
                </c:pt>
                <c:pt idx="88">
                  <c:v>-172.54487269965364</c:v>
                </c:pt>
                <c:pt idx="89">
                  <c:v>-172.6673535705736</c:v>
                </c:pt>
                <c:pt idx="90">
                  <c:v>-172.78486751569918</c:v>
                </c:pt>
                <c:pt idx="91">
                  <c:v>-172.89770631590295</c:v>
                </c:pt>
                <c:pt idx="92">
                  <c:v>-173.00613879808327</c:v>
                </c:pt>
                <c:pt idx="93">
                  <c:v>-173.11041307896087</c:v>
                </c:pt>
                <c:pt idx="94">
                  <c:v>-173.21075854884967</c:v>
                </c:pt>
                <c:pt idx="95">
                  <c:v>-173.30738763001207</c:v>
                </c:pt>
                <c:pt idx="96">
                  <c:v>-173.40049733903692</c:v>
                </c:pt>
                <c:pt idx="97">
                  <c:v>-173.49027067835581</c:v>
                </c:pt>
                <c:pt idx="98">
                  <c:v>-173.57687787839731</c:v>
                </c:pt>
                <c:pt idx="99">
                  <c:v>-173.66047750883399</c:v>
                </c:pt>
                <c:pt idx="100">
                  <c:v>-173.74121747481212</c:v>
                </c:pt>
                <c:pt idx="101">
                  <c:v>-173.81923591188144</c:v>
                </c:pt>
                <c:pt idx="102">
                  <c:v>-173.89466199150073</c:v>
                </c:pt>
                <c:pt idx="103">
                  <c:v>-173.96761664742453</c:v>
                </c:pt>
                <c:pt idx="104">
                  <c:v>-174.03821323193952</c:v>
                </c:pt>
                <c:pt idx="105">
                  <c:v>-174.10655810976991</c:v>
                </c:pt>
                <c:pt idx="106">
                  <c:v>-174.17275119649059</c:v>
                </c:pt>
                <c:pt idx="107">
                  <c:v>-174.23688644743754</c:v>
                </c:pt>
                <c:pt idx="108">
                  <c:v>-174.29905230237608</c:v>
                </c:pt>
                <c:pt idx="109">
                  <c:v>-174.35933209055628</c:v>
                </c:pt>
                <c:pt idx="110">
                  <c:v>-174.41780440023703</c:v>
                </c:pt>
                <c:pt idx="111">
                  <c:v>-174.47454341628494</c:v>
                </c:pt>
                <c:pt idx="112">
                  <c:v>-174.52961922904024</c:v>
                </c:pt>
                <c:pt idx="113">
                  <c:v>-174.58309811728188</c:v>
                </c:pt>
                <c:pt idx="114">
                  <c:v>-174.63504280780634</c:v>
                </c:pt>
                <c:pt idx="115">
                  <c:v>-174.68551271386013</c:v>
                </c:pt>
                <c:pt idx="116">
                  <c:v>-174.7345641544218</c:v>
                </c:pt>
                <c:pt idx="117">
                  <c:v>-174.78225055611676</c:v>
                </c:pt>
                <c:pt idx="118">
                  <c:v>-174.82862263935954</c:v>
                </c:pt>
                <c:pt idx="119">
                  <c:v>-174.87372859015255</c:v>
                </c:pt>
                <c:pt idx="120">
                  <c:v>-174.91761421882387</c:v>
                </c:pt>
                <c:pt idx="121">
                  <c:v>-174.96032310685533</c:v>
                </c:pt>
                <c:pt idx="122">
                  <c:v>-175.00189674283914</c:v>
                </c:pt>
                <c:pt idx="123">
                  <c:v>-175.04237464849678</c:v>
                </c:pt>
                <c:pt idx="124">
                  <c:v>-175.08179449560402</c:v>
                </c:pt>
                <c:pt idx="125">
                  <c:v>-175.12019221458365</c:v>
                </c:pt>
                <c:pt idx="126">
                  <c:v>-175.15760209545644</c:v>
                </c:pt>
                <c:pt idx="127">
                  <c:v>-175.19405688177463</c:v>
                </c:pt>
                <c:pt idx="128">
                  <c:v>-175.22958785810499</c:v>
                </c:pt>
                <c:pt idx="129">
                  <c:v>-175.26422493157622</c:v>
                </c:pt>
                <c:pt idx="130">
                  <c:v>-175.29799670795887</c:v>
                </c:pt>
                <c:pt idx="131">
                  <c:v>-175.3309305627042</c:v>
                </c:pt>
                <c:pt idx="132">
                  <c:v>-175.36305270732998</c:v>
                </c:pt>
                <c:pt idx="133">
                  <c:v>-175.3943882515083</c:v>
                </c:pt>
                <c:pt idx="134">
                  <c:v>-175.42496126117831</c:v>
                </c:pt>
                <c:pt idx="135">
                  <c:v>-175.45479481298079</c:v>
                </c:pt>
                <c:pt idx="136">
                  <c:v>-175.48391104528503</c:v>
                </c:pt>
                <c:pt idx="137">
                  <c:v>-175.5123312060559</c:v>
                </c:pt>
                <c:pt idx="138">
                  <c:v>-175.54007569778963</c:v>
                </c:pt>
                <c:pt idx="139">
                  <c:v>-175.56716411972675</c:v>
                </c:pt>
                <c:pt idx="140">
                  <c:v>-175.59361530753446</c:v>
                </c:pt>
                <c:pt idx="141">
                  <c:v>-175.6194473706347</c:v>
                </c:pt>
                <c:pt idx="142">
                  <c:v>-175.64467772734096</c:v>
                </c:pt>
                <c:pt idx="143">
                  <c:v>-175.66932313795374</c:v>
                </c:pt>
                <c:pt idx="144">
                  <c:v>-175.69339973595228</c:v>
                </c:pt>
                <c:pt idx="145">
                  <c:v>-175.71692305741018</c:v>
                </c:pt>
                <c:pt idx="146">
                  <c:v>-175.73990806875358</c:v>
                </c:pt>
                <c:pt idx="147">
                  <c:v>-175.76236919296923</c:v>
                </c:pt>
                <c:pt idx="148">
                  <c:v>-175.78432033436471</c:v>
                </c:pt>
                <c:pt idx="149">
                  <c:v>-175.80577490197319</c:v>
                </c:pt>
                <c:pt idx="150">
                  <c:v>-175.82674583168929</c:v>
                </c:pt>
                <c:pt idx="151">
                  <c:v>-175.84724560721645</c:v>
                </c:pt>
                <c:pt idx="152">
                  <c:v>-175.86728627990013</c:v>
                </c:pt>
                <c:pt idx="153">
                  <c:v>-175.88687948751559</c:v>
                </c:pt>
                <c:pt idx="154">
                  <c:v>-175.90603647207485</c:v>
                </c:pt>
                <c:pt idx="155">
                  <c:v>-175.92476809671268</c:v>
                </c:pt>
                <c:pt idx="156">
                  <c:v>-175.94308486170618</c:v>
                </c:pt>
                <c:pt idx="157">
                  <c:v>-175.96099691968121</c:v>
                </c:pt>
                <c:pt idx="158">
                  <c:v>-175.9785140900525</c:v>
                </c:pt>
                <c:pt idx="159">
                  <c:v>-175.99564587274321</c:v>
                </c:pt>
                <c:pt idx="160">
                  <c:v>-176.01240146122586</c:v>
                </c:pt>
                <c:pt idx="161">
                  <c:v>-176.02878975492305</c:v>
                </c:pt>
                <c:pt idx="162">
                  <c:v>-176.04481937100581</c:v>
                </c:pt>
                <c:pt idx="163">
                  <c:v>-176.0604986556223</c:v>
                </c:pt>
                <c:pt idx="164">
                  <c:v>-176.07583569459044</c:v>
                </c:pt>
                <c:pt idx="165">
                  <c:v>-176.09083832358303</c:v>
                </c:pt>
                <c:pt idx="166">
                  <c:v>-176.10551413783415</c:v>
                </c:pt>
                <c:pt idx="167">
                  <c:v>-176.1198705013928</c:v>
                </c:pt>
                <c:pt idx="168">
                  <c:v>-176.13391455594873</c:v>
                </c:pt>
                <c:pt idx="169">
                  <c:v>-176.14765322925339</c:v>
                </c:pt>
                <c:pt idx="170">
                  <c:v>-176.1610932431571</c:v>
                </c:pt>
                <c:pt idx="171">
                  <c:v>-176.17424112128381</c:v>
                </c:pt>
                <c:pt idx="172">
                  <c:v>-176.1871031963621</c:v>
                </c:pt>
                <c:pt idx="173">
                  <c:v>-176.19968561722996</c:v>
                </c:pt>
                <c:pt idx="174">
                  <c:v>-176.21199435553092</c:v>
                </c:pt>
                <c:pt idx="175">
                  <c:v>-176.22403521211709</c:v>
                </c:pt>
                <c:pt idx="176">
                  <c:v>-176.23581382317414</c:v>
                </c:pt>
                <c:pt idx="177">
                  <c:v>-176.24733566608217</c:v>
                </c:pt>
                <c:pt idx="178">
                  <c:v>-176.25860606502602</c:v>
                </c:pt>
                <c:pt idx="179">
                  <c:v>-176.26963019636747</c:v>
                </c:pt>
                <c:pt idx="180">
                  <c:v>-176.28041309379057</c:v>
                </c:pt>
                <c:pt idx="181">
                  <c:v>-176.29095965323233</c:v>
                </c:pt>
                <c:pt idx="182">
                  <c:v>-176.30127463760826</c:v>
                </c:pt>
                <c:pt idx="183">
                  <c:v>-176.31136268134307</c:v>
                </c:pt>
                <c:pt idx="184">
                  <c:v>-176.32122829471624</c:v>
                </c:pt>
                <c:pt idx="185">
                  <c:v>-176.33087586803052</c:v>
                </c:pt>
                <c:pt idx="186">
                  <c:v>-176.34030967561259</c:v>
                </c:pt>
                <c:pt idx="187">
                  <c:v>-176.34953387965319</c:v>
                </c:pt>
                <c:pt idx="188">
                  <c:v>-176.35855253389465</c:v>
                </c:pt>
                <c:pt idx="189">
                  <c:v>-176.36736958717231</c:v>
                </c:pt>
                <c:pt idx="190">
                  <c:v>-176.37598888681751</c:v>
                </c:pt>
                <c:pt idx="191">
                  <c:v>-176.38441418192738</c:v>
                </c:pt>
                <c:pt idx="192">
                  <c:v>-176.39264912650862</c:v>
                </c:pt>
                <c:pt idx="193">
                  <c:v>-176.40069728249966</c:v>
                </c:pt>
                <c:pt idx="194">
                  <c:v>-176.40856212267823</c:v>
                </c:pt>
                <c:pt idx="195">
                  <c:v>-176.41624703345789</c:v>
                </c:pt>
                <c:pt idx="196">
                  <c:v>-176.42375531757961</c:v>
                </c:pt>
                <c:pt idx="197">
                  <c:v>-176.43109019670226</c:v>
                </c:pt>
                <c:pt idx="198">
                  <c:v>-176.43825481389695</c:v>
                </c:pt>
                <c:pt idx="199">
                  <c:v>-176.44525223604907</c:v>
                </c:pt>
                <c:pt idx="200">
                  <c:v>-176.45208545617206</c:v>
                </c:pt>
                <c:pt idx="201">
                  <c:v>-176.45875739563678</c:v>
                </c:pt>
                <c:pt idx="202">
                  <c:v>-176.46527090632026</c:v>
                </c:pt>
                <c:pt idx="203">
                  <c:v>-176.47162877267658</c:v>
                </c:pt>
                <c:pt idx="204">
                  <c:v>-176.47783371373399</c:v>
                </c:pt>
                <c:pt idx="205">
                  <c:v>-176.48388838502078</c:v>
                </c:pt>
                <c:pt idx="206">
                  <c:v>-176.489795380423</c:v>
                </c:pt>
                <c:pt idx="207">
                  <c:v>-176.49555723397714</c:v>
                </c:pt>
                <c:pt idx="208">
                  <c:v>-176.50117642159972</c:v>
                </c:pt>
                <c:pt idx="209">
                  <c:v>-176.50665536275724</c:v>
                </c:pt>
                <c:pt idx="210">
                  <c:v>-176.51199642207837</c:v>
                </c:pt>
                <c:pt idx="211">
                  <c:v>-176.51720191091073</c:v>
                </c:pt>
                <c:pt idx="212">
                  <c:v>-176.52227408882464</c:v>
                </c:pt>
                <c:pt idx="213">
                  <c:v>-176.52721516506588</c:v>
                </c:pt>
                <c:pt idx="214">
                  <c:v>-176.53202729995948</c:v>
                </c:pt>
                <c:pt idx="215">
                  <c:v>-176.53671260626649</c:v>
                </c:pt>
                <c:pt idx="216">
                  <c:v>-176.5412731504955</c:v>
                </c:pt>
                <c:pt idx="217">
                  <c:v>-176.5457109541708</c:v>
                </c:pt>
                <c:pt idx="218">
                  <c:v>-176.5500279950586</c:v>
                </c:pt>
                <c:pt idx="219">
                  <c:v>-176.5542262083533</c:v>
                </c:pt>
                <c:pt idx="220">
                  <c:v>-176.55830748782506</c:v>
                </c:pt>
                <c:pt idx="221">
                  <c:v>-176.56227368693013</c:v>
                </c:pt>
                <c:pt idx="222">
                  <c:v>-176.56612661988552</c:v>
                </c:pt>
                <c:pt idx="223">
                  <c:v>-176.56986806270928</c:v>
                </c:pt>
                <c:pt idx="224">
                  <c:v>-176.57349975422744</c:v>
                </c:pt>
                <c:pt idx="225">
                  <c:v>-176.57702339704946</c:v>
                </c:pt>
                <c:pt idx="226">
                  <c:v>-176.60666763175212</c:v>
                </c:pt>
                <c:pt idx="227">
                  <c:v>-176.62714385372837</c:v>
                </c:pt>
                <c:pt idx="228">
                  <c:v>-176.63968111383298</c:v>
                </c:pt>
                <c:pt idx="229">
                  <c:v>-176.64529723350645</c:v>
                </c:pt>
                <c:pt idx="230">
                  <c:v>-176.64484251850018</c:v>
                </c:pt>
                <c:pt idx="231">
                  <c:v>-176.63903300717149</c:v>
                </c:pt>
                <c:pt idx="232">
                  <c:v>-176.62847607384791</c:v>
                </c:pt>
                <c:pt idx="233">
                  <c:v>-176.61369036877917</c:v>
                </c:pt>
                <c:pt idx="234">
                  <c:v>-176.59512150859112</c:v>
                </c:pt>
                <c:pt idx="235">
                  <c:v>-176.57315454057385</c:v>
                </c:pt>
                <c:pt idx="236">
                  <c:v>-176.54812393116072</c:v>
                </c:pt>
                <c:pt idx="237">
                  <c:v>-176.52032163543575</c:v>
                </c:pt>
                <c:pt idx="238">
                  <c:v>-176.49000366550362</c:v>
                </c:pt>
                <c:pt idx="239">
                  <c:v>-176.45739547448477</c:v>
                </c:pt>
                <c:pt idx="240">
                  <c:v>-176.42269639858279</c:v>
                </c:pt>
                <c:pt idx="241">
                  <c:v>-176.38608334444618</c:v>
                </c:pt>
                <c:pt idx="242">
                  <c:v>-176.34771386760832</c:v>
                </c:pt>
                <c:pt idx="243">
                  <c:v>-176.3077287564102</c:v>
                </c:pt>
                <c:pt idx="244">
                  <c:v>-176.26625421184232</c:v>
                </c:pt>
                <c:pt idx="245">
                  <c:v>-176.22340369529081</c:v>
                </c:pt>
                <c:pt idx="246">
                  <c:v>-176.17927950185384</c:v>
                </c:pt>
                <c:pt idx="247">
                  <c:v>-176.1339741057119</c:v>
                </c:pt>
                <c:pt idx="248">
                  <c:v>-176.08757131523396</c:v>
                </c:pt>
                <c:pt idx="249">
                  <c:v>-176.04014726853723</c:v>
                </c:pt>
                <c:pt idx="250">
                  <c:v>-175.99177129466952</c:v>
                </c:pt>
                <c:pt idx="251">
                  <c:v>-175.94250666113976</c:v>
                </c:pt>
                <c:pt idx="252">
                  <c:v>-175.89241122494204</c:v>
                </c:pt>
                <c:pt idx="253">
                  <c:v>-175.84153800132228</c:v>
                </c:pt>
                <c:pt idx="254">
                  <c:v>-175.78993566217798</c:v>
                </c:pt>
                <c:pt idx="255">
                  <c:v>-175.73764897405482</c:v>
                </c:pt>
                <c:pt idx="256">
                  <c:v>-175.68471918412172</c:v>
                </c:pt>
                <c:pt idx="257">
                  <c:v>-175.63118436120101</c:v>
                </c:pt>
                <c:pt idx="258">
                  <c:v>-175.57707969785045</c:v>
                </c:pt>
                <c:pt idx="259">
                  <c:v>-175.52243777859434</c:v>
                </c:pt>
                <c:pt idx="260">
                  <c:v>-175.46728881865323</c:v>
                </c:pt>
                <c:pt idx="261">
                  <c:v>-175.41166087689342</c:v>
                </c:pt>
                <c:pt idx="262">
                  <c:v>-175.35558004618903</c:v>
                </c:pt>
                <c:pt idx="263">
                  <c:v>-175.29907062394707</c:v>
                </c:pt>
                <c:pt idx="264">
                  <c:v>-175.24215526516696</c:v>
                </c:pt>
                <c:pt idx="265">
                  <c:v>-175.18485512008891</c:v>
                </c:pt>
                <c:pt idx="266">
                  <c:v>-175.12718995821305</c:v>
                </c:pt>
                <c:pt idx="267">
                  <c:v>-175.06917828023938</c:v>
                </c:pt>
                <c:pt idx="268">
                  <c:v>-175.01083741927988</c:v>
                </c:pt>
                <c:pt idx="269">
                  <c:v>-174.95218363252505</c:v>
                </c:pt>
                <c:pt idx="270">
                  <c:v>-174.89323218439915</c:v>
                </c:pt>
                <c:pt idx="271">
                  <c:v>-174.83399742211242</c:v>
                </c:pt>
                <c:pt idx="272">
                  <c:v>-174.77449284441084</c:v>
                </c:pt>
                <c:pt idx="273">
                  <c:v>-174.71473116422644</c:v>
                </c:pt>
                <c:pt idx="274">
                  <c:v>-174.65472436585176</c:v>
                </c:pt>
                <c:pt idx="275">
                  <c:v>-174.59448375718873</c:v>
                </c:pt>
                <c:pt idx="276">
                  <c:v>-174.53402001756032</c:v>
                </c:pt>
                <c:pt idx="277">
                  <c:v>-174.47334324151862</c:v>
                </c:pt>
                <c:pt idx="278">
                  <c:v>-174.41246297903581</c:v>
                </c:pt>
                <c:pt idx="279">
                  <c:v>-174.3513882724211</c:v>
                </c:pt>
                <c:pt idx="280">
                  <c:v>-174.29012769027156</c:v>
                </c:pt>
                <c:pt idx="281">
                  <c:v>-174.22868935873072</c:v>
                </c:pt>
                <c:pt idx="282">
                  <c:v>-174.16708099030132</c:v>
                </c:pt>
                <c:pt idx="283">
                  <c:v>-174.10530991043245</c:v>
                </c:pt>
                <c:pt idx="284">
                  <c:v>-174.04338308207934</c:v>
                </c:pt>
                <c:pt idx="285">
                  <c:v>-173.98130712841393</c:v>
                </c:pt>
                <c:pt idx="286">
                  <c:v>-173.91908835384629</c:v>
                </c:pt>
                <c:pt idx="287">
                  <c:v>-173.85673276350281</c:v>
                </c:pt>
                <c:pt idx="288">
                  <c:v>-173.7942460812904</c:v>
                </c:pt>
                <c:pt idx="289">
                  <c:v>-173.73163376666614</c:v>
                </c:pt>
                <c:pt idx="290">
                  <c:v>-173.66890103021882</c:v>
                </c:pt>
                <c:pt idx="291">
                  <c:v>-173.60605284815969</c:v>
                </c:pt>
                <c:pt idx="292">
                  <c:v>-173.54309397581034</c:v>
                </c:pt>
                <c:pt idx="293">
                  <c:v>-173.48002896016786</c:v>
                </c:pt>
                <c:pt idx="294">
                  <c:v>-173.41686215162017</c:v>
                </c:pt>
                <c:pt idx="295">
                  <c:v>-173.35359771487785</c:v>
                </c:pt>
                <c:pt idx="296">
                  <c:v>-173.2902396391828</c:v>
                </c:pt>
                <c:pt idx="297">
                  <c:v>-173.22679174784878</c:v>
                </c:pt>
                <c:pt idx="298">
                  <c:v>-173.16325770718504</c:v>
                </c:pt>
                <c:pt idx="299">
                  <c:v>-173.09964103484822</c:v>
                </c:pt>
                <c:pt idx="300">
                  <c:v>-173.0359451076653</c:v>
                </c:pt>
                <c:pt idx="301">
                  <c:v>-172.97217316896604</c:v>
                </c:pt>
                <c:pt idx="302">
                  <c:v>-172.90832833546077</c:v>
                </c:pt>
                <c:pt idx="303">
                  <c:v>-172.8444136036955</c:v>
                </c:pt>
                <c:pt idx="304">
                  <c:v>-172.78043185611509</c:v>
                </c:pt>
                <c:pt idx="305">
                  <c:v>-172.71638586676133</c:v>
                </c:pt>
                <c:pt idx="306">
                  <c:v>-172.65227830663142</c:v>
                </c:pt>
                <c:pt idx="307">
                  <c:v>-172.58811174872088</c:v>
                </c:pt>
                <c:pt idx="308">
                  <c:v>-172.52388867277128</c:v>
                </c:pt>
                <c:pt idx="309">
                  <c:v>-172.45961146974355</c:v>
                </c:pt>
                <c:pt idx="310">
                  <c:v>-172.39528244603525</c:v>
                </c:pt>
                <c:pt idx="311">
                  <c:v>-172.3309038274578</c:v>
                </c:pt>
                <c:pt idx="312">
                  <c:v>-172.26647776299077</c:v>
                </c:pt>
                <c:pt idx="313">
                  <c:v>-172.20200632832658</c:v>
                </c:pt>
                <c:pt idx="314">
                  <c:v>-172.13749152921969</c:v>
                </c:pt>
                <c:pt idx="315">
                  <c:v>-172.07293530465259</c:v>
                </c:pt>
                <c:pt idx="316">
                  <c:v>-172.00833952983024</c:v>
                </c:pt>
                <c:pt idx="317">
                  <c:v>-171.94370601901363</c:v>
                </c:pt>
                <c:pt idx="318">
                  <c:v>-171.87903652820239</c:v>
                </c:pt>
                <c:pt idx="319">
                  <c:v>-171.81433275767583</c:v>
                </c:pt>
                <c:pt idx="320">
                  <c:v>-171.74959635440115</c:v>
                </c:pt>
                <c:pt idx="321">
                  <c:v>-171.68482891431685</c:v>
                </c:pt>
                <c:pt idx="322">
                  <c:v>-171.62003198449821</c:v>
                </c:pt>
                <c:pt idx="323">
                  <c:v>-171.55520706521278</c:v>
                </c:pt>
                <c:pt idx="324">
                  <c:v>-171.49035561187225</c:v>
                </c:pt>
                <c:pt idx="325">
                  <c:v>-171.42547903688532</c:v>
                </c:pt>
                <c:pt idx="326">
                  <c:v>-171.36057871141989</c:v>
                </c:pt>
                <c:pt idx="327">
                  <c:v>-171.29565596707698</c:v>
                </c:pt>
                <c:pt idx="328">
                  <c:v>-171.23071209748386</c:v>
                </c:pt>
                <c:pt idx="329">
                  <c:v>-171.1657483598091</c:v>
                </c:pt>
                <c:pt idx="330">
                  <c:v>-171.100765976205</c:v>
                </c:pt>
                <c:pt idx="331">
                  <c:v>-171.03576613518109</c:v>
                </c:pt>
                <c:pt idx="332">
                  <c:v>-170.97074999291266</c:v>
                </c:pt>
                <c:pt idx="333">
                  <c:v>-170.90571867448747</c:v>
                </c:pt>
                <c:pt idx="334">
                  <c:v>-170.84067327509459</c:v>
                </c:pt>
                <c:pt idx="335">
                  <c:v>-170.77561486115792</c:v>
                </c:pt>
                <c:pt idx="336">
                  <c:v>-170.71054447141802</c:v>
                </c:pt>
                <c:pt idx="337">
                  <c:v>-170.64546311796411</c:v>
                </c:pt>
                <c:pt idx="338">
                  <c:v>-170.58037178721966</c:v>
                </c:pt>
                <c:pt idx="339">
                  <c:v>-170.51527144088382</c:v>
                </c:pt>
                <c:pt idx="340">
                  <c:v>-170.45016301683052</c:v>
                </c:pt>
                <c:pt idx="341">
                  <c:v>-170.38504742996793</c:v>
                </c:pt>
                <c:pt idx="342">
                  <c:v>-170.31992557306032</c:v>
                </c:pt>
                <c:pt idx="343">
                  <c:v>-170.25479831751369</c:v>
                </c:pt>
                <c:pt idx="344">
                  <c:v>-170.18966651412768</c:v>
                </c:pt>
                <c:pt idx="345">
                  <c:v>-170.12453099381514</c:v>
                </c:pt>
                <c:pt idx="346">
                  <c:v>-170.05939256829049</c:v>
                </c:pt>
                <c:pt idx="347">
                  <c:v>-169.99425203072974</c:v>
                </c:pt>
                <c:pt idx="348">
                  <c:v>-169.92911015640169</c:v>
                </c:pt>
                <c:pt idx="349">
                  <c:v>-169.8639677032736</c:v>
                </c:pt>
                <c:pt idx="350">
                  <c:v>-169.79882541259119</c:v>
                </c:pt>
                <c:pt idx="351">
                  <c:v>-169.73368400943491</c:v>
                </c:pt>
                <c:pt idx="352">
                  <c:v>-169.66854420325336</c:v>
                </c:pt>
                <c:pt idx="353">
                  <c:v>-169.60340668837483</c:v>
                </c:pt>
                <c:pt idx="354">
                  <c:v>-169.53827214449851</c:v>
                </c:pt>
                <c:pt idx="355">
                  <c:v>-169.47314123716575</c:v>
                </c:pt>
                <c:pt idx="356">
                  <c:v>-169.40801461821221</c:v>
                </c:pt>
                <c:pt idx="357">
                  <c:v>-169.34289292620286</c:v>
                </c:pt>
                <c:pt idx="358">
                  <c:v>-169.27777678684899</c:v>
                </c:pt>
                <c:pt idx="359">
                  <c:v>-169.21266681340944</c:v>
                </c:pt>
                <c:pt idx="360">
                  <c:v>-169.14756360707591</c:v>
                </c:pt>
                <c:pt idx="361">
                  <c:v>-169.08246775734386</c:v>
                </c:pt>
                <c:pt idx="362">
                  <c:v>-169.0173798423684</c:v>
                </c:pt>
                <c:pt idx="363">
                  <c:v>-168.9523004293072</c:v>
                </c:pt>
                <c:pt idx="364">
                  <c:v>-168.88723007465038</c:v>
                </c:pt>
                <c:pt idx="365">
                  <c:v>-168.82216932453744</c:v>
                </c:pt>
                <c:pt idx="366">
                  <c:v>-168.75711871506309</c:v>
                </c:pt>
                <c:pt idx="367">
                  <c:v>-168.69207877257068</c:v>
                </c:pt>
                <c:pt idx="368">
                  <c:v>-168.6270500139361</c:v>
                </c:pt>
                <c:pt idx="369">
                  <c:v>-168.56203294683985</c:v>
                </c:pt>
                <c:pt idx="370">
                  <c:v>-168.49702807003018</c:v>
                </c:pt>
                <c:pt idx="371">
                  <c:v>-168.43203587357596</c:v>
                </c:pt>
                <c:pt idx="372">
                  <c:v>-168.3670568391112</c:v>
                </c:pt>
                <c:pt idx="373">
                  <c:v>-168.30209144006974</c:v>
                </c:pt>
                <c:pt idx="374">
                  <c:v>-168.23714014191268</c:v>
                </c:pt>
                <c:pt idx="375">
                  <c:v>-168.1722034023467</c:v>
                </c:pt>
                <c:pt idx="376">
                  <c:v>-168.10728167153545</c:v>
                </c:pt>
                <c:pt idx="377">
                  <c:v>-168.04237539230323</c:v>
                </c:pt>
                <c:pt idx="378">
                  <c:v>-167.97748500033128</c:v>
                </c:pt>
                <c:pt idx="379">
                  <c:v>-167.91261092434783</c:v>
                </c:pt>
                <c:pt idx="380">
                  <c:v>-167.84775358631111</c:v>
                </c:pt>
                <c:pt idx="381">
                  <c:v>-167.78291340158634</c:v>
                </c:pt>
                <c:pt idx="382">
                  <c:v>-167.71809077911649</c:v>
                </c:pt>
                <c:pt idx="383">
                  <c:v>-167.65328612158737</c:v>
                </c:pt>
                <c:pt idx="384">
                  <c:v>-167.58849982558726</c:v>
                </c:pt>
                <c:pt idx="385">
                  <c:v>-167.52373228176089</c:v>
                </c:pt>
                <c:pt idx="386">
                  <c:v>-167.45898387495834</c:v>
                </c:pt>
                <c:pt idx="387">
                  <c:v>-167.39425498437944</c:v>
                </c:pt>
                <c:pt idx="388">
                  <c:v>-167.32954598371259</c:v>
                </c:pt>
                <c:pt idx="389">
                  <c:v>-167.26485724126979</c:v>
                </c:pt>
                <c:pt idx="390">
                  <c:v>-167.20018912011693</c:v>
                </c:pt>
                <c:pt idx="391">
                  <c:v>-167.13554197819963</c:v>
                </c:pt>
                <c:pt idx="392">
                  <c:v>-167.07091616846543</c:v>
                </c:pt>
                <c:pt idx="393">
                  <c:v>-167.00631203898183</c:v>
                </c:pt>
                <c:pt idx="394">
                  <c:v>-166.94172993305045</c:v>
                </c:pt>
                <c:pt idx="395">
                  <c:v>-166.87717018931795</c:v>
                </c:pt>
                <c:pt idx="396">
                  <c:v>-166.8126331418828</c:v>
                </c:pt>
                <c:pt idx="397">
                  <c:v>-166.74811912039945</c:v>
                </c:pt>
                <c:pt idx="398">
                  <c:v>-166.6836284501785</c:v>
                </c:pt>
                <c:pt idx="399">
                  <c:v>-166.61916145228443</c:v>
                </c:pt>
                <c:pt idx="400">
                  <c:v>-166.55471844362955</c:v>
                </c:pt>
                <c:pt idx="401">
                  <c:v>-166.4902997370659</c:v>
                </c:pt>
                <c:pt idx="402">
                  <c:v>-166.42590564147358</c:v>
                </c:pt>
                <c:pt idx="403">
                  <c:v>-166.36153646184678</c:v>
                </c:pt>
                <c:pt idx="404">
                  <c:v>-166.29719249937713</c:v>
                </c:pt>
                <c:pt idx="405">
                  <c:v>-166.23287405153454</c:v>
                </c:pt>
                <c:pt idx="406">
                  <c:v>-166.16858141214541</c:v>
                </c:pt>
                <c:pt idx="407">
                  <c:v>-166.10431487146897</c:v>
                </c:pt>
                <c:pt idx="408">
                  <c:v>-166.04007471627065</c:v>
                </c:pt>
                <c:pt idx="409">
                  <c:v>-165.97586122989389</c:v>
                </c:pt>
                <c:pt idx="410">
                  <c:v>-165.91167469232965</c:v>
                </c:pt>
                <c:pt idx="411">
                  <c:v>-165.84751538028368</c:v>
                </c:pt>
                <c:pt idx="412">
                  <c:v>-165.78338356724208</c:v>
                </c:pt>
                <c:pt idx="413">
                  <c:v>-165.71927952353477</c:v>
                </c:pt>
                <c:pt idx="414">
                  <c:v>-165.65520351639736</c:v>
                </c:pt>
                <c:pt idx="415">
                  <c:v>-165.59115581003084</c:v>
                </c:pt>
                <c:pt idx="416">
                  <c:v>-165.52713666566004</c:v>
                </c:pt>
                <c:pt idx="417">
                  <c:v>-165.46314634159003</c:v>
                </c:pt>
                <c:pt idx="418">
                  <c:v>-165.39918509326134</c:v>
                </c:pt>
                <c:pt idx="419">
                  <c:v>-165.33525317330285</c:v>
                </c:pt>
                <c:pt idx="420">
                  <c:v>-165.27135083158427</c:v>
                </c:pt>
                <c:pt idx="421">
                  <c:v>-165.20747831526629</c:v>
                </c:pt>
                <c:pt idx="422">
                  <c:v>-165.14363586884963</c:v>
                </c:pt>
                <c:pt idx="423">
                  <c:v>-165.07982373422288</c:v>
                </c:pt>
                <c:pt idx="424">
                  <c:v>-165.01604215070873</c:v>
                </c:pt>
                <c:pt idx="425">
                  <c:v>-164.95229135510914</c:v>
                </c:pt>
                <c:pt idx="426">
                  <c:v>-164.88857158174926</c:v>
                </c:pt>
                <c:pt idx="427">
                  <c:v>-164.82488306252</c:v>
                </c:pt>
                <c:pt idx="428">
                  <c:v>-164.76122602691973</c:v>
                </c:pt>
                <c:pt idx="429">
                  <c:v>-164.69760070209449</c:v>
                </c:pt>
                <c:pt idx="430">
                  <c:v>-164.6340073128776</c:v>
                </c:pt>
                <c:pt idx="431">
                  <c:v>-164.57044608182764</c:v>
                </c:pt>
                <c:pt idx="432">
                  <c:v>-164.50691722926587</c:v>
                </c:pt>
                <c:pt idx="433">
                  <c:v>-164.44342097331264</c:v>
                </c:pt>
                <c:pt idx="434">
                  <c:v>-164.37995752992239</c:v>
                </c:pt>
                <c:pt idx="435">
                  <c:v>-164.31652711291841</c:v>
                </c:pt>
                <c:pt idx="436">
                  <c:v>-164.25312993402625</c:v>
                </c:pt>
                <c:pt idx="437">
                  <c:v>-164.18976620290624</c:v>
                </c:pt>
                <c:pt idx="438">
                  <c:v>-164.1264361271854</c:v>
                </c:pt>
                <c:pt idx="439">
                  <c:v>-164.06313991248842</c:v>
                </c:pt>
                <c:pt idx="440">
                  <c:v>-163.99987776246806</c:v>
                </c:pt>
                <c:pt idx="441">
                  <c:v>-163.93664987883406</c:v>
                </c:pt>
                <c:pt idx="442">
                  <c:v>-163.87345646138252</c:v>
                </c:pt>
                <c:pt idx="443">
                  <c:v>-163.81029770802331</c:v>
                </c:pt>
                <c:pt idx="444">
                  <c:v>-163.74717381480767</c:v>
                </c:pt>
                <c:pt idx="445">
                  <c:v>-163.68408497595459</c:v>
                </c:pt>
                <c:pt idx="446">
                  <c:v>-163.62103138387704</c:v>
                </c:pt>
                <c:pt idx="447">
                  <c:v>-163.55801322920689</c:v>
                </c:pt>
                <c:pt idx="448">
                  <c:v>-163.49503070081994</c:v>
                </c:pt>
                <c:pt idx="449">
                  <c:v>-163.43208398585978</c:v>
                </c:pt>
                <c:pt idx="450">
                  <c:v>-163.36917326976126</c:v>
                </c:pt>
                <c:pt idx="451">
                  <c:v>-163.30629873627365</c:v>
                </c:pt>
                <c:pt idx="452">
                  <c:v>-163.24346056748286</c:v>
                </c:pt>
                <c:pt idx="453">
                  <c:v>-163.18065894383304</c:v>
                </c:pt>
                <c:pt idx="454">
                  <c:v>-163.11789404414847</c:v>
                </c:pt>
                <c:pt idx="455">
                  <c:v>-163.05516604565392</c:v>
                </c:pt>
                <c:pt idx="456">
                  <c:v>-162.99247512399512</c:v>
                </c:pt>
                <c:pt idx="457">
                  <c:v>-162.92982145325848</c:v>
                </c:pt>
                <c:pt idx="458">
                  <c:v>-162.86720520599084</c:v>
                </c:pt>
                <c:pt idx="459">
                  <c:v>-162.8046265532179</c:v>
                </c:pt>
                <c:pt idx="460">
                  <c:v>-162.74208566446327</c:v>
                </c:pt>
                <c:pt idx="461">
                  <c:v>-162.67958270776612</c:v>
                </c:pt>
                <c:pt idx="462">
                  <c:v>-162.61711784969896</c:v>
                </c:pt>
                <c:pt idx="463">
                  <c:v>-162.55469125538505</c:v>
                </c:pt>
                <c:pt idx="464">
                  <c:v>-162.49230308851514</c:v>
                </c:pt>
                <c:pt idx="465">
                  <c:v>-162.429953511364</c:v>
                </c:pt>
                <c:pt idx="466">
                  <c:v>-162.36764268480653</c:v>
                </c:pt>
                <c:pt idx="467">
                  <c:v>-162.30537076833363</c:v>
                </c:pt>
                <c:pt idx="468">
                  <c:v>-162.24313792006754</c:v>
                </c:pt>
                <c:pt idx="469">
                  <c:v>-162.18094429677683</c:v>
                </c:pt>
                <c:pt idx="470">
                  <c:v>-162.11879005389144</c:v>
                </c:pt>
                <c:pt idx="471">
                  <c:v>-162.05667534551682</c:v>
                </c:pt>
                <c:pt idx="472">
                  <c:v>-161.99460032444824</c:v>
                </c:pt>
                <c:pt idx="473">
                  <c:v>-161.93256514218456</c:v>
                </c:pt>
                <c:pt idx="474">
                  <c:v>-161.87056994894175</c:v>
                </c:pt>
                <c:pt idx="475">
                  <c:v>-161.80861489366609</c:v>
                </c:pt>
                <c:pt idx="476">
                  <c:v>-161.74670012404727</c:v>
                </c:pt>
                <c:pt idx="477">
                  <c:v>-161.68482578653098</c:v>
                </c:pt>
                <c:pt idx="478">
                  <c:v>-161.62299202633127</c:v>
                </c:pt>
                <c:pt idx="479">
                  <c:v>-161.56119898744291</c:v>
                </c:pt>
                <c:pt idx="480">
                  <c:v>-161.49944681265319</c:v>
                </c:pt>
                <c:pt idx="481">
                  <c:v>-161.43773564355354</c:v>
                </c:pt>
                <c:pt idx="482">
                  <c:v>-161.37606562055106</c:v>
                </c:pt>
                <c:pt idx="483">
                  <c:v>-161.31443688287987</c:v>
                </c:pt>
                <c:pt idx="484">
                  <c:v>-161.25284956861171</c:v>
                </c:pt>
                <c:pt idx="485">
                  <c:v>-161.19130381466712</c:v>
                </c:pt>
                <c:pt idx="486">
                  <c:v>-161.12979975682569</c:v>
                </c:pt>
                <c:pt idx="487">
                  <c:v>-161.06833752973654</c:v>
                </c:pt>
                <c:pt idx="488">
                  <c:v>-161.00691726692853</c:v>
                </c:pt>
                <c:pt idx="489">
                  <c:v>-160.94553910082004</c:v>
                </c:pt>
                <c:pt idx="490">
                  <c:v>-160.88420316272882</c:v>
                </c:pt>
                <c:pt idx="491">
                  <c:v>-160.82290958288158</c:v>
                </c:pt>
                <c:pt idx="492">
                  <c:v>-160.76165849042334</c:v>
                </c:pt>
                <c:pt idx="493">
                  <c:v>-160.7004500134266</c:v>
                </c:pt>
                <c:pt idx="494">
                  <c:v>-160.6392842789005</c:v>
                </c:pt>
                <c:pt idx="495">
                  <c:v>-160.57816141279955</c:v>
                </c:pt>
                <c:pt idx="496">
                  <c:v>-160.51708154003231</c:v>
                </c:pt>
                <c:pt idx="497">
                  <c:v>-160.45604478447021</c:v>
                </c:pt>
                <c:pt idx="498">
                  <c:v>-160.3950512689556</c:v>
                </c:pt>
                <c:pt idx="499">
                  <c:v>-160.33410111531023</c:v>
                </c:pt>
                <c:pt idx="500">
                  <c:v>-160.27319444434315</c:v>
                </c:pt>
                <c:pt idx="501">
                  <c:v>-160.21233137585878</c:v>
                </c:pt>
                <c:pt idx="502">
                  <c:v>-160.15151202866471</c:v>
                </c:pt>
                <c:pt idx="503">
                  <c:v>-160.09073652057936</c:v>
                </c:pt>
                <c:pt idx="504">
                  <c:v>-160.03000496843947</c:v>
                </c:pt>
                <c:pt idx="505">
                  <c:v>-159.96931748810749</c:v>
                </c:pt>
                <c:pt idx="506">
                  <c:v>-159.90867419447898</c:v>
                </c:pt>
                <c:pt idx="507">
                  <c:v>-159.84807520148962</c:v>
                </c:pt>
                <c:pt idx="508">
                  <c:v>-159.78752062212234</c:v>
                </c:pt>
                <c:pt idx="509">
                  <c:v>-159.72701056841419</c:v>
                </c:pt>
                <c:pt idx="510">
                  <c:v>-159.66654515146314</c:v>
                </c:pt>
                <c:pt idx="511">
                  <c:v>-159.60612448143488</c:v>
                </c:pt>
                <c:pt idx="512">
                  <c:v>-159.54574866756911</c:v>
                </c:pt>
                <c:pt idx="513">
                  <c:v>-159.48541781818642</c:v>
                </c:pt>
                <c:pt idx="514">
                  <c:v>-159.42513204069428</c:v>
                </c:pt>
                <c:pt idx="515">
                  <c:v>-159.36489144159358</c:v>
                </c:pt>
                <c:pt idx="516">
                  <c:v>-159.30469612648466</c:v>
                </c:pt>
                <c:pt idx="517">
                  <c:v>-159.24454620007339</c:v>
                </c:pt>
                <c:pt idx="518">
                  <c:v>-159.1844417661772</c:v>
                </c:pt>
                <c:pt idx="519">
                  <c:v>-159.12438292773095</c:v>
                </c:pt>
                <c:pt idx="520">
                  <c:v>-159.0643697867927</c:v>
                </c:pt>
                <c:pt idx="521">
                  <c:v>-159.0044024445495</c:v>
                </c:pt>
                <c:pt idx="522">
                  <c:v>-158.94448100132288</c:v>
                </c:pt>
                <c:pt idx="523">
                  <c:v>-158.88460555657454</c:v>
                </c:pt>
                <c:pt idx="524">
                  <c:v>-158.82477620891169</c:v>
                </c:pt>
                <c:pt idx="525">
                  <c:v>-158.76499305609246</c:v>
                </c:pt>
                <c:pt idx="526">
                  <c:v>-158.70525619503132</c:v>
                </c:pt>
                <c:pt idx="527">
                  <c:v>-158.64556572180416</c:v>
                </c:pt>
                <c:pt idx="528">
                  <c:v>-158.58592173165354</c:v>
                </c:pt>
                <c:pt idx="529">
                  <c:v>-158.5263243189936</c:v>
                </c:pt>
                <c:pt idx="530">
                  <c:v>-158.46677357741541</c:v>
                </c:pt>
                <c:pt idx="531">
                  <c:v>-158.40726959969157</c:v>
                </c:pt>
                <c:pt idx="532">
                  <c:v>-158.34781247778122</c:v>
                </c:pt>
                <c:pt idx="533">
                  <c:v>-158.28840230283498</c:v>
                </c:pt>
                <c:pt idx="534">
                  <c:v>-158.22903916519951</c:v>
                </c:pt>
                <c:pt idx="535">
                  <c:v>-158.16972315442223</c:v>
                </c:pt>
                <c:pt idx="536">
                  <c:v>-158.1104543592561</c:v>
                </c:pt>
                <c:pt idx="537">
                  <c:v>-158.05123286766386</c:v>
                </c:pt>
                <c:pt idx="538">
                  <c:v>-157.99205876682296</c:v>
                </c:pt>
                <c:pt idx="539">
                  <c:v>-157.9329321431297</c:v>
                </c:pt>
                <c:pt idx="540">
                  <c:v>-157.87385308220374</c:v>
                </c:pt>
                <c:pt idx="541">
                  <c:v>-157.81482166889234</c:v>
                </c:pt>
                <c:pt idx="542">
                  <c:v>-157.75583798727493</c:v>
                </c:pt>
                <c:pt idx="543">
                  <c:v>-157.69690212066695</c:v>
                </c:pt>
                <c:pt idx="544">
                  <c:v>-157.63801415162428</c:v>
                </c:pt>
                <c:pt idx="545">
                  <c:v>-157.57917416194741</c:v>
                </c:pt>
                <c:pt idx="546">
                  <c:v>-157.52038223268542</c:v>
                </c:pt>
                <c:pt idx="547">
                  <c:v>-157.46163844414005</c:v>
                </c:pt>
                <c:pt idx="548">
                  <c:v>-157.40294287586963</c:v>
                </c:pt>
                <c:pt idx="549">
                  <c:v>-157.34429560669324</c:v>
                </c:pt>
                <c:pt idx="550">
                  <c:v>-157.28569671469435</c:v>
                </c:pt>
                <c:pt idx="551">
                  <c:v>-157.22714627722496</c:v>
                </c:pt>
                <c:pt idx="552">
                  <c:v>-157.16864437090913</c:v>
                </c:pt>
                <c:pt idx="553">
                  <c:v>-157.11019107164697</c:v>
                </c:pt>
                <c:pt idx="554">
                  <c:v>-157.05178645461839</c:v>
                </c:pt>
                <c:pt idx="555">
                  <c:v>-156.99343059428662</c:v>
                </c:pt>
                <c:pt idx="556">
                  <c:v>-156.93512356440206</c:v>
                </c:pt>
                <c:pt idx="557">
                  <c:v>-156.87686543800586</c:v>
                </c:pt>
                <c:pt idx="558">
                  <c:v>-156.81865628743336</c:v>
                </c:pt>
                <c:pt idx="559">
                  <c:v>-156.76049618431796</c:v>
                </c:pt>
                <c:pt idx="560">
                  <c:v>-156.70238519959432</c:v>
                </c:pt>
                <c:pt idx="561">
                  <c:v>-156.644323403502</c:v>
                </c:pt>
                <c:pt idx="562">
                  <c:v>-156.58631086558893</c:v>
                </c:pt>
                <c:pt idx="563">
                  <c:v>-156.52834765471474</c:v>
                </c:pt>
                <c:pt idx="564">
                  <c:v>-156.47043383905427</c:v>
                </c:pt>
                <c:pt idx="565">
                  <c:v>-156.41256948610075</c:v>
                </c:pt>
                <c:pt idx="566">
                  <c:v>-156.35475466266936</c:v>
                </c:pt>
                <c:pt idx="567">
                  <c:v>-156.2969894349003</c:v>
                </c:pt>
                <c:pt idx="568">
                  <c:v>-156.23927386826216</c:v>
                </c:pt>
                <c:pt idx="569">
                  <c:v>-156.18160802755523</c:v>
                </c:pt>
                <c:pt idx="570">
                  <c:v>-156.12399197691448</c:v>
                </c:pt>
                <c:pt idx="571">
                  <c:v>-156.0664257798131</c:v>
                </c:pt>
                <c:pt idx="572">
                  <c:v>-156.00890949906525</c:v>
                </c:pt>
                <c:pt idx="573">
                  <c:v>-155.95144319682959</c:v>
                </c:pt>
                <c:pt idx="574">
                  <c:v>-155.89402693461196</c:v>
                </c:pt>
                <c:pt idx="575">
                  <c:v>-155.83666077326885</c:v>
                </c:pt>
                <c:pt idx="576">
                  <c:v>-155.77934477301028</c:v>
                </c:pt>
                <c:pt idx="577">
                  <c:v>-155.72207899340273</c:v>
                </c:pt>
                <c:pt idx="578">
                  <c:v>-155.66486349337237</c:v>
                </c:pt>
                <c:pt idx="579">
                  <c:v>-155.6076983312079</c:v>
                </c:pt>
                <c:pt idx="580">
                  <c:v>-155.55058356456345</c:v>
                </c:pt>
                <c:pt idx="581">
                  <c:v>-155.49351925046173</c:v>
                </c:pt>
                <c:pt idx="582">
                  <c:v>-155.4365054452968</c:v>
                </c:pt>
                <c:pt idx="583">
                  <c:v>-155.37954220483689</c:v>
                </c:pt>
                <c:pt idx="584">
                  <c:v>-155.32262958422754</c:v>
                </c:pt>
                <c:pt idx="585">
                  <c:v>-155.2657676379942</c:v>
                </c:pt>
                <c:pt idx="586">
                  <c:v>-155.20895642004515</c:v>
                </c:pt>
                <c:pt idx="587">
                  <c:v>-155.15219598367435</c:v>
                </c:pt>
                <c:pt idx="588">
                  <c:v>-155.09548638156417</c:v>
                </c:pt>
                <c:pt idx="589">
                  <c:v>-155.03882766578832</c:v>
                </c:pt>
                <c:pt idx="590">
                  <c:v>-154.98221988781435</c:v>
                </c:pt>
                <c:pt idx="591">
                  <c:v>-154.9256630985067</c:v>
                </c:pt>
                <c:pt idx="592">
                  <c:v>-154.86915734812911</c:v>
                </c:pt>
                <c:pt idx="593">
                  <c:v>-154.81270268634754</c:v>
                </c:pt>
                <c:pt idx="594">
                  <c:v>-154.75629916223286</c:v>
                </c:pt>
                <c:pt idx="595">
                  <c:v>-154.69994682426338</c:v>
                </c:pt>
                <c:pt idx="596">
                  <c:v>-154.64364572032761</c:v>
                </c:pt>
                <c:pt idx="597">
                  <c:v>-154.58739589772691</c:v>
                </c:pt>
                <c:pt idx="598">
                  <c:v>-154.53119740317808</c:v>
                </c:pt>
                <c:pt idx="599">
                  <c:v>-154.47505028281594</c:v>
                </c:pt>
                <c:pt idx="600">
                  <c:v>-154.41895458219605</c:v>
                </c:pt>
                <c:pt idx="601">
                  <c:v>-154.36291034629704</c:v>
                </c:pt>
                <c:pt idx="602">
                  <c:v>-154.30691761952349</c:v>
                </c:pt>
                <c:pt idx="603">
                  <c:v>-154.25097644570832</c:v>
                </c:pt>
                <c:pt idx="604">
                  <c:v>-154.1950868681152</c:v>
                </c:pt>
                <c:pt idx="605">
                  <c:v>-154.13924892944135</c:v>
                </c:pt>
                <c:pt idx="606">
                  <c:v>-151.41397694953756</c:v>
                </c:pt>
                <c:pt idx="607">
                  <c:v>-148.82127241415213</c:v>
                </c:pt>
                <c:pt idx="608">
                  <c:v>-146.36196634946958</c:v>
                </c:pt>
                <c:pt idx="609">
                  <c:v>-144.03466410538775</c:v>
                </c:pt>
                <c:pt idx="610">
                  <c:v>-141.83626737217128</c:v>
                </c:pt>
                <c:pt idx="611">
                  <c:v>-139.76242498549638</c:v>
                </c:pt>
                <c:pt idx="612">
                  <c:v>-137.8079138113097</c:v>
                </c:pt>
                <c:pt idx="613">
                  <c:v>-135.96695207002819</c:v>
                </c:pt>
                <c:pt idx="614">
                  <c:v>-134.23344999614832</c:v>
                </c:pt>
                <c:pt idx="615">
                  <c:v>-132.60120473132437</c:v>
                </c:pt>
                <c:pt idx="616">
                  <c:v>-131.06404736519062</c:v>
                </c:pt>
                <c:pt idx="617">
                  <c:v>-129.61595017801369</c:v>
                </c:pt>
                <c:pt idx="618">
                  <c:v>-129.06033784761865</c:v>
                </c:pt>
                <c:pt idx="619">
                  <c:v>-128.51768178834942</c:v>
                </c:pt>
                <c:pt idx="620">
                  <c:v>-127.98762871388656</c:v>
                </c:pt>
                <c:pt idx="621">
                  <c:v>-127.4698328445748</c:v>
                </c:pt>
                <c:pt idx="622">
                  <c:v>-126.96395612433673</c:v>
                </c:pt>
                <c:pt idx="623">
                  <c:v>-126.46966838098317</c:v>
                </c:pt>
                <c:pt idx="624">
                  <c:v>-125.98664743639543</c:v>
                </c:pt>
                <c:pt idx="625">
                  <c:v>-125.51457917249148</c:v>
                </c:pt>
                <c:pt idx="626">
                  <c:v>-125.05315755835795</c:v>
                </c:pt>
                <c:pt idx="627">
                  <c:v>-124.60208464343313</c:v>
                </c:pt>
                <c:pt idx="628">
                  <c:v>-124.16107052116131</c:v>
                </c:pt>
                <c:pt idx="629">
                  <c:v>-123.72983326710985</c:v>
                </c:pt>
                <c:pt idx="630">
                  <c:v>-123.30809885513995</c:v>
                </c:pt>
                <c:pt idx="631">
                  <c:v>-122.89560105485756</c:v>
                </c:pt>
                <c:pt idx="632">
                  <c:v>-122.49208131323199</c:v>
                </c:pt>
                <c:pt idx="633">
                  <c:v>-122.09728862296286</c:v>
                </c:pt>
                <c:pt idx="634">
                  <c:v>-121.71097937989359</c:v>
                </c:pt>
                <c:pt idx="635">
                  <c:v>-121.33291723151451</c:v>
                </c:pt>
                <c:pt idx="636">
                  <c:v>-120.96287291836474</c:v>
                </c:pt>
                <c:pt idx="637">
                  <c:v>-120.60062410993228</c:v>
                </c:pt>
                <c:pt idx="638">
                  <c:v>-120.24595523646121</c:v>
                </c:pt>
                <c:pt idx="639">
                  <c:v>-119.89865731790179</c:v>
                </c:pt>
                <c:pt idx="640">
                  <c:v>-119.5585277910871</c:v>
                </c:pt>
                <c:pt idx="641">
                  <c:v>-119.22537033607762</c:v>
                </c:pt>
                <c:pt idx="642">
                  <c:v>-118.89899470249365</c:v>
                </c:pt>
                <c:pt idx="643">
                  <c:v>-118.57921653654186</c:v>
                </c:pt>
                <c:pt idx="644">
                  <c:v>-118.26585720934357</c:v>
                </c:pt>
                <c:pt idx="645">
                  <c:v>-117.95874364708315</c:v>
                </c:pt>
                <c:pt idx="646">
                  <c:v>-117.65770816341671</c:v>
                </c:pt>
                <c:pt idx="647">
                  <c:v>-117.3625882945091</c:v>
                </c:pt>
                <c:pt idx="648">
                  <c:v>-117.07322663700803</c:v>
                </c:pt>
                <c:pt idx="649">
                  <c:v>-116.78947068920581</c:v>
                </c:pt>
                <c:pt idx="650">
                  <c:v>-116.5111726955934</c:v>
                </c:pt>
                <c:pt idx="651">
                  <c:v>-116.23818949496678</c:v>
                </c:pt>
                <c:pt idx="652">
                  <c:v>-115.9703823722094</c:v>
                </c:pt>
                <c:pt idx="653">
                  <c:v>-115.70761691384074</c:v>
                </c:pt>
                <c:pt idx="654">
                  <c:v>-115.44976286739289</c:v>
                </c:pt>
                <c:pt idx="655">
                  <c:v>-115.19669400465177</c:v>
                </c:pt>
                <c:pt idx="656">
                  <c:v>-114.94828798877823</c:v>
                </c:pt>
                <c:pt idx="657">
                  <c:v>-114.70442624530473</c:v>
                </c:pt>
                <c:pt idx="658">
                  <c:v>-114.46499383698931</c:v>
                </c:pt>
                <c:pt idx="659">
                  <c:v>-114.22987934249238</c:v>
                </c:pt>
                <c:pt idx="660">
                  <c:v>-113.99897473883152</c:v>
                </c:pt>
                <c:pt idx="661">
                  <c:v>-113.77217528756003</c:v>
                </c:pt>
                <c:pt idx="662">
                  <c:v>-113.5493794246061</c:v>
                </c:pt>
                <c:pt idx="663">
                  <c:v>-113.3304886537027</c:v>
                </c:pt>
                <c:pt idx="664">
                  <c:v>-113.11540744333303</c:v>
                </c:pt>
                <c:pt idx="665">
                  <c:v>-112.90404312711281</c:v>
                </c:pt>
                <c:pt idx="666">
                  <c:v>-112.69630580752538</c:v>
                </c:pt>
                <c:pt idx="667">
                  <c:v>-112.49210826292493</c:v>
                </c:pt>
              </c:numCache>
            </c:numRef>
          </c:yVal>
          <c:smooth val="0"/>
          <c:extLst>
            <c:ext xmlns:c16="http://schemas.microsoft.com/office/drawing/2014/chart" uri="{C3380CC4-5D6E-409C-BE32-E72D297353CC}">
              <c16:uniqueId val="{00000001-2DBB-4F72-B5DF-A436F54D08AE}"/>
            </c:ext>
          </c:extLst>
        </c:ser>
        <c:dLbls>
          <c:showLegendKey val="0"/>
          <c:showVal val="0"/>
          <c:showCatName val="0"/>
          <c:showSerName val="0"/>
          <c:showPercent val="0"/>
          <c:showBubbleSize val="0"/>
        </c:dLbls>
        <c:axId val="176900736"/>
        <c:axId val="176902528"/>
      </c:scatterChart>
      <c:valAx>
        <c:axId val="176896640"/>
        <c:scaling>
          <c:logBase val="10"/>
          <c:orientation val="minMax"/>
          <c:max val="10000000"/>
          <c:min val="1000"/>
        </c:scaling>
        <c:delete val="0"/>
        <c:axPos val="b"/>
        <c:title>
          <c:tx>
            <c:rich>
              <a:bodyPr/>
              <a:lstStyle/>
              <a:p>
                <a:pPr>
                  <a:defRPr sz="800" b="1" i="0" u="none" strike="noStrike" baseline="0">
                    <a:solidFill>
                      <a:srgbClr val="000000"/>
                    </a:solidFill>
                    <a:latin typeface="Arial"/>
                    <a:ea typeface="Arial"/>
                    <a:cs typeface="Arial"/>
                  </a:defRPr>
                </a:pPr>
                <a:r>
                  <a:rPr lang="en-US"/>
                  <a:t>Frequency (Hz)</a:t>
                </a:r>
              </a:p>
            </c:rich>
          </c:tx>
          <c:layout>
            <c:manualLayout>
              <c:xMode val="edge"/>
              <c:yMode val="edge"/>
              <c:x val="0.43297177526722869"/>
              <c:y val="0.88311797388962088"/>
            </c:manualLayout>
          </c:layout>
          <c:overlay val="0"/>
          <c:spPr>
            <a:noFill/>
            <a:ln w="25400">
              <a:noFill/>
            </a:ln>
          </c:spPr>
        </c:title>
        <c:numFmt formatCode="General" sourceLinked="1"/>
        <c:majorTickMark val="out"/>
        <c:minorTickMark val="in"/>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76898816"/>
        <c:crossesAt val="-120"/>
        <c:crossBetween val="midCat"/>
      </c:valAx>
      <c:valAx>
        <c:axId val="176898816"/>
        <c:scaling>
          <c:orientation val="minMax"/>
        </c:scaling>
        <c:delete val="0"/>
        <c:axPos val="l"/>
        <c:majorGridlines>
          <c:spPr>
            <a:ln w="3175">
              <a:solidFill>
                <a:srgbClr val="000000"/>
              </a:solidFill>
              <a:prstDash val="solid"/>
            </a:ln>
          </c:spPr>
        </c:majorGridlines>
        <c:title>
          <c:tx>
            <c:rich>
              <a:bodyPr/>
              <a:lstStyle/>
              <a:p>
                <a:pPr>
                  <a:defRPr sz="800" b="1" i="0" u="none" strike="noStrike" baseline="0">
                    <a:solidFill>
                      <a:srgbClr val="000000"/>
                    </a:solidFill>
                    <a:latin typeface="Arial"/>
                    <a:ea typeface="Arial"/>
                    <a:cs typeface="Arial"/>
                  </a:defRPr>
                </a:pPr>
                <a:r>
                  <a:rPr lang="en-US"/>
                  <a:t>Gain (db)</a:t>
                </a:r>
              </a:p>
            </c:rich>
          </c:tx>
          <c:layout>
            <c:manualLayout>
              <c:xMode val="edge"/>
              <c:yMode val="edge"/>
              <c:x val="3.0797101449275412E-2"/>
              <c:y val="0.4415589869448189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76896640"/>
        <c:crosses val="autoZero"/>
        <c:crossBetween val="midCat"/>
      </c:valAx>
      <c:valAx>
        <c:axId val="176900736"/>
        <c:scaling>
          <c:logBase val="10"/>
          <c:orientation val="minMax"/>
        </c:scaling>
        <c:delete val="1"/>
        <c:axPos val="b"/>
        <c:numFmt formatCode="General" sourceLinked="1"/>
        <c:majorTickMark val="out"/>
        <c:minorTickMark val="none"/>
        <c:tickLblPos val="none"/>
        <c:crossAx val="176902528"/>
        <c:crosses val="autoZero"/>
        <c:crossBetween val="midCat"/>
      </c:valAx>
      <c:valAx>
        <c:axId val="176902528"/>
        <c:scaling>
          <c:orientation val="minMax"/>
        </c:scaling>
        <c:delete val="0"/>
        <c:axPos val="r"/>
        <c:title>
          <c:tx>
            <c:rich>
              <a:bodyPr/>
              <a:lstStyle/>
              <a:p>
                <a:pPr>
                  <a:defRPr sz="800" b="1" i="0" u="none" strike="noStrike" baseline="0">
                    <a:solidFill>
                      <a:srgbClr val="000000"/>
                    </a:solidFill>
                    <a:latin typeface="Arial"/>
                    <a:ea typeface="Arial"/>
                    <a:cs typeface="Arial"/>
                  </a:defRPr>
                </a:pPr>
                <a:r>
                  <a:rPr lang="en-US"/>
                  <a:t>Phase Margin (Deg)</a:t>
                </a:r>
              </a:p>
            </c:rich>
          </c:tx>
          <c:layout>
            <c:manualLayout>
              <c:xMode val="edge"/>
              <c:yMode val="edge"/>
              <c:x val="0.95471185667010505"/>
              <c:y val="0.36623431162013825"/>
            </c:manualLayout>
          </c:layout>
          <c:overlay val="0"/>
          <c:spPr>
            <a:noFill/>
            <a:ln w="25400">
              <a:noFill/>
            </a:ln>
          </c:spPr>
        </c:title>
        <c:numFmt formatCode="General" sourceLinked="1"/>
        <c:majorTickMark val="cross"/>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76900736"/>
        <c:crosses val="max"/>
        <c:crossBetween val="midCat"/>
      </c:valAx>
      <c:spPr>
        <a:noFill/>
        <a:ln w="12700">
          <a:solidFill>
            <a:srgbClr val="808080"/>
          </a:solidFill>
          <a:prstDash val="solid"/>
        </a:ln>
      </c:spPr>
    </c:plotArea>
    <c:legend>
      <c:legendPos val="r"/>
      <c:layout>
        <c:manualLayout>
          <c:xMode val="edge"/>
          <c:yMode val="edge"/>
          <c:x val="0.76630434782608692"/>
          <c:y val="1.2987012987012988E-2"/>
          <c:w val="0.21557971014492749"/>
          <c:h val="0.14545454545454545"/>
        </c:manualLayout>
      </c:layout>
      <c:overlay val="0"/>
      <c:spPr>
        <a:solidFill>
          <a:srgbClr val="FFFFFF"/>
        </a:solidFill>
        <a:ln w="3175">
          <a:solidFill>
            <a:srgbClr val="000000"/>
          </a:solidFill>
          <a:prstDash val="solid"/>
        </a:ln>
      </c:spPr>
      <c:txPr>
        <a:bodyPr/>
        <a:lstStyle/>
        <a:p>
          <a:pPr>
            <a:defRPr sz="67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25400">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0000000000006" r="0.750000000000006" t="1" header="0.5" footer="0.5"/>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50" b="1" i="0" u="none" strike="noStrike" baseline="0">
                <a:solidFill>
                  <a:srgbClr val="000000"/>
                </a:solidFill>
                <a:latin typeface="Arial"/>
                <a:ea typeface="Arial"/>
                <a:cs typeface="Arial"/>
              </a:defRPr>
            </a:pPr>
            <a:r>
              <a:rPr lang="en-US"/>
              <a:t>FeedBack To Comp
5V Vin</a:t>
            </a:r>
          </a:p>
        </c:rich>
      </c:tx>
      <c:layout>
        <c:manualLayout>
          <c:xMode val="edge"/>
          <c:yMode val="edge"/>
          <c:x val="0.40036307961505191"/>
          <c:y val="3.3766233766233771E-2"/>
        </c:manualLayout>
      </c:layout>
      <c:overlay val="0"/>
      <c:spPr>
        <a:noFill/>
        <a:ln w="25400">
          <a:noFill/>
        </a:ln>
      </c:spPr>
    </c:title>
    <c:autoTitleDeleted val="0"/>
    <c:plotArea>
      <c:layout>
        <c:manualLayout>
          <c:layoutTarget val="inner"/>
          <c:xMode val="edge"/>
          <c:yMode val="edge"/>
          <c:x val="0.11594223410296738"/>
          <c:y val="0.20779247132770992"/>
          <c:w val="0.79166806723432415"/>
          <c:h val="0.60519557274195002"/>
        </c:manualLayout>
      </c:layout>
      <c:scatterChart>
        <c:scatterStyle val="smoothMarker"/>
        <c:varyColors val="0"/>
        <c:ser>
          <c:idx val="2"/>
          <c:order val="0"/>
          <c:tx>
            <c:v>Theoretical gain</c:v>
          </c:tx>
          <c:spPr>
            <a:ln w="38100">
              <a:solidFill>
                <a:srgbClr val="FF0000"/>
              </a:solidFill>
              <a:prstDash val="solid"/>
            </a:ln>
          </c:spPr>
          <c:marker>
            <c:symbol val="none"/>
          </c:marker>
          <c:xVal>
            <c:numRef>
              <c:f>'Bode Plots Calculations'!$A$9:$A$676</c:f>
              <c:numCache>
                <c:formatCode>General</c:formatCode>
                <c:ptCount val="668"/>
                <c:pt idx="0">
                  <c:v>1</c:v>
                </c:pt>
                <c:pt idx="1">
                  <c:v>2</c:v>
                </c:pt>
                <c:pt idx="2">
                  <c:v>3</c:v>
                </c:pt>
                <c:pt idx="3">
                  <c:v>4</c:v>
                </c:pt>
                <c:pt idx="4">
                  <c:v>5</c:v>
                </c:pt>
                <c:pt idx="5">
                  <c:v>6</c:v>
                </c:pt>
                <c:pt idx="6">
                  <c:v>7</c:v>
                </c:pt>
                <c:pt idx="7">
                  <c:v>8</c:v>
                </c:pt>
                <c:pt idx="8">
                  <c:v>9</c:v>
                </c:pt>
                <c:pt idx="9">
                  <c:v>10</c:v>
                </c:pt>
                <c:pt idx="10">
                  <c:v>20</c:v>
                </c:pt>
                <c:pt idx="11">
                  <c:v>30</c:v>
                </c:pt>
                <c:pt idx="12">
                  <c:v>40</c:v>
                </c:pt>
                <c:pt idx="13">
                  <c:v>50</c:v>
                </c:pt>
                <c:pt idx="14">
                  <c:v>60</c:v>
                </c:pt>
                <c:pt idx="15">
                  <c:v>70</c:v>
                </c:pt>
                <c:pt idx="16">
                  <c:v>80</c:v>
                </c:pt>
                <c:pt idx="17">
                  <c:v>90</c:v>
                </c:pt>
                <c:pt idx="18">
                  <c:v>100</c:v>
                </c:pt>
                <c:pt idx="19">
                  <c:v>200</c:v>
                </c:pt>
                <c:pt idx="20">
                  <c:v>300</c:v>
                </c:pt>
                <c:pt idx="21">
                  <c:v>400</c:v>
                </c:pt>
                <c:pt idx="22">
                  <c:v>500</c:v>
                </c:pt>
                <c:pt idx="23">
                  <c:v>600</c:v>
                </c:pt>
                <c:pt idx="24">
                  <c:v>700</c:v>
                </c:pt>
                <c:pt idx="25">
                  <c:v>800</c:v>
                </c:pt>
                <c:pt idx="26">
                  <c:v>900</c:v>
                </c:pt>
                <c:pt idx="27">
                  <c:v>1000</c:v>
                </c:pt>
                <c:pt idx="28">
                  <c:v>1500</c:v>
                </c:pt>
                <c:pt idx="29">
                  <c:v>2000</c:v>
                </c:pt>
                <c:pt idx="30">
                  <c:v>2500</c:v>
                </c:pt>
                <c:pt idx="31">
                  <c:v>3000</c:v>
                </c:pt>
                <c:pt idx="32">
                  <c:v>3500</c:v>
                </c:pt>
                <c:pt idx="33">
                  <c:v>4000</c:v>
                </c:pt>
                <c:pt idx="34">
                  <c:v>4500</c:v>
                </c:pt>
                <c:pt idx="35">
                  <c:v>5000</c:v>
                </c:pt>
                <c:pt idx="36">
                  <c:v>5500</c:v>
                </c:pt>
                <c:pt idx="37">
                  <c:v>6000</c:v>
                </c:pt>
                <c:pt idx="38">
                  <c:v>6500</c:v>
                </c:pt>
                <c:pt idx="39">
                  <c:v>7000</c:v>
                </c:pt>
                <c:pt idx="40">
                  <c:v>7500</c:v>
                </c:pt>
                <c:pt idx="41">
                  <c:v>8000</c:v>
                </c:pt>
                <c:pt idx="42">
                  <c:v>8500</c:v>
                </c:pt>
                <c:pt idx="43">
                  <c:v>9000</c:v>
                </c:pt>
                <c:pt idx="44">
                  <c:v>9500</c:v>
                </c:pt>
                <c:pt idx="45">
                  <c:v>10000</c:v>
                </c:pt>
                <c:pt idx="46">
                  <c:v>10500</c:v>
                </c:pt>
                <c:pt idx="47">
                  <c:v>11000</c:v>
                </c:pt>
                <c:pt idx="48">
                  <c:v>11500</c:v>
                </c:pt>
                <c:pt idx="49">
                  <c:v>12000</c:v>
                </c:pt>
                <c:pt idx="50">
                  <c:v>12500</c:v>
                </c:pt>
                <c:pt idx="51">
                  <c:v>13000</c:v>
                </c:pt>
                <c:pt idx="52">
                  <c:v>13500</c:v>
                </c:pt>
                <c:pt idx="53">
                  <c:v>14000</c:v>
                </c:pt>
                <c:pt idx="54">
                  <c:v>14500</c:v>
                </c:pt>
                <c:pt idx="55">
                  <c:v>15000</c:v>
                </c:pt>
                <c:pt idx="56">
                  <c:v>15500</c:v>
                </c:pt>
                <c:pt idx="57">
                  <c:v>16000</c:v>
                </c:pt>
                <c:pt idx="58">
                  <c:v>16500</c:v>
                </c:pt>
                <c:pt idx="59">
                  <c:v>17000</c:v>
                </c:pt>
                <c:pt idx="60">
                  <c:v>17500</c:v>
                </c:pt>
                <c:pt idx="61">
                  <c:v>18000</c:v>
                </c:pt>
                <c:pt idx="62">
                  <c:v>18500</c:v>
                </c:pt>
                <c:pt idx="63">
                  <c:v>19000</c:v>
                </c:pt>
                <c:pt idx="64">
                  <c:v>19500</c:v>
                </c:pt>
                <c:pt idx="65">
                  <c:v>20000</c:v>
                </c:pt>
                <c:pt idx="66">
                  <c:v>20500</c:v>
                </c:pt>
                <c:pt idx="67">
                  <c:v>21000</c:v>
                </c:pt>
                <c:pt idx="68">
                  <c:v>21500</c:v>
                </c:pt>
                <c:pt idx="69">
                  <c:v>22000</c:v>
                </c:pt>
                <c:pt idx="70">
                  <c:v>22500</c:v>
                </c:pt>
                <c:pt idx="71">
                  <c:v>23000</c:v>
                </c:pt>
                <c:pt idx="72">
                  <c:v>23500</c:v>
                </c:pt>
                <c:pt idx="73">
                  <c:v>24000</c:v>
                </c:pt>
                <c:pt idx="74">
                  <c:v>24500</c:v>
                </c:pt>
                <c:pt idx="75">
                  <c:v>25000</c:v>
                </c:pt>
                <c:pt idx="76">
                  <c:v>25500</c:v>
                </c:pt>
                <c:pt idx="77">
                  <c:v>26000</c:v>
                </c:pt>
                <c:pt idx="78">
                  <c:v>26500</c:v>
                </c:pt>
                <c:pt idx="79">
                  <c:v>27000</c:v>
                </c:pt>
                <c:pt idx="80">
                  <c:v>27500</c:v>
                </c:pt>
                <c:pt idx="81">
                  <c:v>28000</c:v>
                </c:pt>
                <c:pt idx="82">
                  <c:v>28500</c:v>
                </c:pt>
                <c:pt idx="83">
                  <c:v>29000</c:v>
                </c:pt>
                <c:pt idx="84">
                  <c:v>29500</c:v>
                </c:pt>
                <c:pt idx="85">
                  <c:v>30000</c:v>
                </c:pt>
                <c:pt idx="86">
                  <c:v>30500</c:v>
                </c:pt>
                <c:pt idx="87">
                  <c:v>31000</c:v>
                </c:pt>
                <c:pt idx="88">
                  <c:v>31500</c:v>
                </c:pt>
                <c:pt idx="89">
                  <c:v>32000</c:v>
                </c:pt>
                <c:pt idx="90">
                  <c:v>32500</c:v>
                </c:pt>
                <c:pt idx="91">
                  <c:v>33000</c:v>
                </c:pt>
                <c:pt idx="92">
                  <c:v>33500</c:v>
                </c:pt>
                <c:pt idx="93">
                  <c:v>34000</c:v>
                </c:pt>
                <c:pt idx="94">
                  <c:v>34500</c:v>
                </c:pt>
                <c:pt idx="95">
                  <c:v>35000</c:v>
                </c:pt>
                <c:pt idx="96">
                  <c:v>35500</c:v>
                </c:pt>
                <c:pt idx="97">
                  <c:v>36000</c:v>
                </c:pt>
                <c:pt idx="98">
                  <c:v>36500</c:v>
                </c:pt>
                <c:pt idx="99">
                  <c:v>37000</c:v>
                </c:pt>
                <c:pt idx="100">
                  <c:v>37500</c:v>
                </c:pt>
                <c:pt idx="101">
                  <c:v>38000</c:v>
                </c:pt>
                <c:pt idx="102">
                  <c:v>38500</c:v>
                </c:pt>
                <c:pt idx="103">
                  <c:v>39000</c:v>
                </c:pt>
                <c:pt idx="104">
                  <c:v>39500</c:v>
                </c:pt>
                <c:pt idx="105">
                  <c:v>40000</c:v>
                </c:pt>
                <c:pt idx="106">
                  <c:v>40500</c:v>
                </c:pt>
                <c:pt idx="107">
                  <c:v>41000</c:v>
                </c:pt>
                <c:pt idx="108">
                  <c:v>41500</c:v>
                </c:pt>
                <c:pt idx="109">
                  <c:v>42000</c:v>
                </c:pt>
                <c:pt idx="110">
                  <c:v>42500</c:v>
                </c:pt>
                <c:pt idx="111">
                  <c:v>43000</c:v>
                </c:pt>
                <c:pt idx="112">
                  <c:v>43500</c:v>
                </c:pt>
                <c:pt idx="113">
                  <c:v>44000</c:v>
                </c:pt>
                <c:pt idx="114">
                  <c:v>44500</c:v>
                </c:pt>
                <c:pt idx="115">
                  <c:v>45000</c:v>
                </c:pt>
                <c:pt idx="116">
                  <c:v>45500</c:v>
                </c:pt>
                <c:pt idx="117">
                  <c:v>46000</c:v>
                </c:pt>
                <c:pt idx="118">
                  <c:v>46500</c:v>
                </c:pt>
                <c:pt idx="119">
                  <c:v>47000</c:v>
                </c:pt>
                <c:pt idx="120">
                  <c:v>47500</c:v>
                </c:pt>
                <c:pt idx="121">
                  <c:v>48000</c:v>
                </c:pt>
                <c:pt idx="122">
                  <c:v>48500</c:v>
                </c:pt>
                <c:pt idx="123">
                  <c:v>49000</c:v>
                </c:pt>
                <c:pt idx="124">
                  <c:v>49500</c:v>
                </c:pt>
                <c:pt idx="125">
                  <c:v>50000</c:v>
                </c:pt>
                <c:pt idx="126">
                  <c:v>50500</c:v>
                </c:pt>
                <c:pt idx="127">
                  <c:v>51000</c:v>
                </c:pt>
                <c:pt idx="128">
                  <c:v>51500</c:v>
                </c:pt>
                <c:pt idx="129">
                  <c:v>52000</c:v>
                </c:pt>
                <c:pt idx="130">
                  <c:v>52500</c:v>
                </c:pt>
                <c:pt idx="131">
                  <c:v>53000</c:v>
                </c:pt>
                <c:pt idx="132">
                  <c:v>53500</c:v>
                </c:pt>
                <c:pt idx="133">
                  <c:v>54000</c:v>
                </c:pt>
                <c:pt idx="134">
                  <c:v>54500</c:v>
                </c:pt>
                <c:pt idx="135">
                  <c:v>55000</c:v>
                </c:pt>
                <c:pt idx="136">
                  <c:v>55500</c:v>
                </c:pt>
                <c:pt idx="137">
                  <c:v>56000</c:v>
                </c:pt>
                <c:pt idx="138">
                  <c:v>56500</c:v>
                </c:pt>
                <c:pt idx="139">
                  <c:v>57000</c:v>
                </c:pt>
                <c:pt idx="140">
                  <c:v>57500</c:v>
                </c:pt>
                <c:pt idx="141">
                  <c:v>58000</c:v>
                </c:pt>
                <c:pt idx="142">
                  <c:v>58500</c:v>
                </c:pt>
                <c:pt idx="143">
                  <c:v>59000</c:v>
                </c:pt>
                <c:pt idx="144">
                  <c:v>59500</c:v>
                </c:pt>
                <c:pt idx="145">
                  <c:v>60000</c:v>
                </c:pt>
                <c:pt idx="146">
                  <c:v>60500</c:v>
                </c:pt>
                <c:pt idx="147">
                  <c:v>61000</c:v>
                </c:pt>
                <c:pt idx="148">
                  <c:v>61500</c:v>
                </c:pt>
                <c:pt idx="149">
                  <c:v>62000</c:v>
                </c:pt>
                <c:pt idx="150">
                  <c:v>62500</c:v>
                </c:pt>
                <c:pt idx="151">
                  <c:v>63000</c:v>
                </c:pt>
                <c:pt idx="152">
                  <c:v>63500</c:v>
                </c:pt>
                <c:pt idx="153">
                  <c:v>64000</c:v>
                </c:pt>
                <c:pt idx="154">
                  <c:v>64500</c:v>
                </c:pt>
                <c:pt idx="155">
                  <c:v>65000</c:v>
                </c:pt>
                <c:pt idx="156">
                  <c:v>65500</c:v>
                </c:pt>
                <c:pt idx="157">
                  <c:v>66000</c:v>
                </c:pt>
                <c:pt idx="158">
                  <c:v>66500</c:v>
                </c:pt>
                <c:pt idx="159">
                  <c:v>67000</c:v>
                </c:pt>
                <c:pt idx="160">
                  <c:v>67500</c:v>
                </c:pt>
                <c:pt idx="161">
                  <c:v>68000</c:v>
                </c:pt>
                <c:pt idx="162">
                  <c:v>68500</c:v>
                </c:pt>
                <c:pt idx="163">
                  <c:v>69000</c:v>
                </c:pt>
                <c:pt idx="164">
                  <c:v>69500</c:v>
                </c:pt>
                <c:pt idx="165">
                  <c:v>70000</c:v>
                </c:pt>
                <c:pt idx="166">
                  <c:v>70500</c:v>
                </c:pt>
                <c:pt idx="167">
                  <c:v>71000</c:v>
                </c:pt>
                <c:pt idx="168">
                  <c:v>71500</c:v>
                </c:pt>
                <c:pt idx="169">
                  <c:v>72000</c:v>
                </c:pt>
                <c:pt idx="170">
                  <c:v>72500</c:v>
                </c:pt>
                <c:pt idx="171">
                  <c:v>73000</c:v>
                </c:pt>
                <c:pt idx="172">
                  <c:v>73500</c:v>
                </c:pt>
                <c:pt idx="173">
                  <c:v>74000</c:v>
                </c:pt>
                <c:pt idx="174">
                  <c:v>74500</c:v>
                </c:pt>
                <c:pt idx="175">
                  <c:v>75000</c:v>
                </c:pt>
                <c:pt idx="176">
                  <c:v>75500</c:v>
                </c:pt>
                <c:pt idx="177">
                  <c:v>76000</c:v>
                </c:pt>
                <c:pt idx="178">
                  <c:v>76500</c:v>
                </c:pt>
                <c:pt idx="179">
                  <c:v>77000</c:v>
                </c:pt>
                <c:pt idx="180">
                  <c:v>77500</c:v>
                </c:pt>
                <c:pt idx="181">
                  <c:v>78000</c:v>
                </c:pt>
                <c:pt idx="182">
                  <c:v>78500</c:v>
                </c:pt>
                <c:pt idx="183">
                  <c:v>79000</c:v>
                </c:pt>
                <c:pt idx="184">
                  <c:v>79500</c:v>
                </c:pt>
                <c:pt idx="185">
                  <c:v>80000</c:v>
                </c:pt>
                <c:pt idx="186">
                  <c:v>80500</c:v>
                </c:pt>
                <c:pt idx="187">
                  <c:v>81000</c:v>
                </c:pt>
                <c:pt idx="188">
                  <c:v>81500</c:v>
                </c:pt>
                <c:pt idx="189">
                  <c:v>82000</c:v>
                </c:pt>
                <c:pt idx="190">
                  <c:v>82500</c:v>
                </c:pt>
                <c:pt idx="191">
                  <c:v>83000</c:v>
                </c:pt>
                <c:pt idx="192">
                  <c:v>83500</c:v>
                </c:pt>
                <c:pt idx="193">
                  <c:v>84000</c:v>
                </c:pt>
                <c:pt idx="194">
                  <c:v>84500</c:v>
                </c:pt>
                <c:pt idx="195">
                  <c:v>85000</c:v>
                </c:pt>
                <c:pt idx="196">
                  <c:v>85500</c:v>
                </c:pt>
                <c:pt idx="197">
                  <c:v>86000</c:v>
                </c:pt>
                <c:pt idx="198">
                  <c:v>86500</c:v>
                </c:pt>
                <c:pt idx="199">
                  <c:v>87000</c:v>
                </c:pt>
                <c:pt idx="200">
                  <c:v>87500</c:v>
                </c:pt>
                <c:pt idx="201">
                  <c:v>88000</c:v>
                </c:pt>
                <c:pt idx="202">
                  <c:v>88500</c:v>
                </c:pt>
                <c:pt idx="203">
                  <c:v>89000</c:v>
                </c:pt>
                <c:pt idx="204">
                  <c:v>89500</c:v>
                </c:pt>
                <c:pt idx="205">
                  <c:v>90000</c:v>
                </c:pt>
                <c:pt idx="206">
                  <c:v>90500</c:v>
                </c:pt>
                <c:pt idx="207">
                  <c:v>91000</c:v>
                </c:pt>
                <c:pt idx="208">
                  <c:v>91500</c:v>
                </c:pt>
                <c:pt idx="209">
                  <c:v>92000</c:v>
                </c:pt>
                <c:pt idx="210">
                  <c:v>92500</c:v>
                </c:pt>
                <c:pt idx="211">
                  <c:v>93000</c:v>
                </c:pt>
                <c:pt idx="212">
                  <c:v>93500</c:v>
                </c:pt>
                <c:pt idx="213">
                  <c:v>94000</c:v>
                </c:pt>
                <c:pt idx="214">
                  <c:v>94500</c:v>
                </c:pt>
                <c:pt idx="215">
                  <c:v>95000</c:v>
                </c:pt>
                <c:pt idx="216">
                  <c:v>95500</c:v>
                </c:pt>
                <c:pt idx="217">
                  <c:v>96000</c:v>
                </c:pt>
                <c:pt idx="218">
                  <c:v>96500</c:v>
                </c:pt>
                <c:pt idx="219">
                  <c:v>97000</c:v>
                </c:pt>
                <c:pt idx="220">
                  <c:v>97500</c:v>
                </c:pt>
                <c:pt idx="221">
                  <c:v>98000</c:v>
                </c:pt>
                <c:pt idx="222">
                  <c:v>98500</c:v>
                </c:pt>
                <c:pt idx="223">
                  <c:v>99000</c:v>
                </c:pt>
                <c:pt idx="224">
                  <c:v>99500</c:v>
                </c:pt>
                <c:pt idx="225">
                  <c:v>100000</c:v>
                </c:pt>
                <c:pt idx="226">
                  <c:v>105000</c:v>
                </c:pt>
                <c:pt idx="227">
                  <c:v>110000</c:v>
                </c:pt>
                <c:pt idx="228">
                  <c:v>115000</c:v>
                </c:pt>
                <c:pt idx="229">
                  <c:v>120000</c:v>
                </c:pt>
                <c:pt idx="230">
                  <c:v>125000</c:v>
                </c:pt>
                <c:pt idx="231">
                  <c:v>130000</c:v>
                </c:pt>
                <c:pt idx="232">
                  <c:v>135000</c:v>
                </c:pt>
                <c:pt idx="233">
                  <c:v>140000</c:v>
                </c:pt>
                <c:pt idx="234">
                  <c:v>145000</c:v>
                </c:pt>
                <c:pt idx="235">
                  <c:v>150000</c:v>
                </c:pt>
                <c:pt idx="236">
                  <c:v>155000</c:v>
                </c:pt>
                <c:pt idx="237">
                  <c:v>160000</c:v>
                </c:pt>
                <c:pt idx="238">
                  <c:v>165000</c:v>
                </c:pt>
                <c:pt idx="239">
                  <c:v>170000</c:v>
                </c:pt>
                <c:pt idx="240">
                  <c:v>175000</c:v>
                </c:pt>
                <c:pt idx="241">
                  <c:v>180000</c:v>
                </c:pt>
                <c:pt idx="242">
                  <c:v>185000</c:v>
                </c:pt>
                <c:pt idx="243">
                  <c:v>190000</c:v>
                </c:pt>
                <c:pt idx="244">
                  <c:v>195000</c:v>
                </c:pt>
                <c:pt idx="245">
                  <c:v>200000</c:v>
                </c:pt>
                <c:pt idx="246">
                  <c:v>205000</c:v>
                </c:pt>
                <c:pt idx="247">
                  <c:v>210000</c:v>
                </c:pt>
                <c:pt idx="248">
                  <c:v>215000</c:v>
                </c:pt>
                <c:pt idx="249">
                  <c:v>220000</c:v>
                </c:pt>
                <c:pt idx="250">
                  <c:v>225000</c:v>
                </c:pt>
                <c:pt idx="251">
                  <c:v>230000</c:v>
                </c:pt>
                <c:pt idx="252">
                  <c:v>235000</c:v>
                </c:pt>
                <c:pt idx="253">
                  <c:v>240000</c:v>
                </c:pt>
                <c:pt idx="254">
                  <c:v>245000</c:v>
                </c:pt>
                <c:pt idx="255">
                  <c:v>250000</c:v>
                </c:pt>
                <c:pt idx="256">
                  <c:v>255000</c:v>
                </c:pt>
                <c:pt idx="257">
                  <c:v>260000</c:v>
                </c:pt>
                <c:pt idx="258">
                  <c:v>265000</c:v>
                </c:pt>
                <c:pt idx="259">
                  <c:v>270000</c:v>
                </c:pt>
                <c:pt idx="260">
                  <c:v>275000</c:v>
                </c:pt>
                <c:pt idx="261">
                  <c:v>280000</c:v>
                </c:pt>
                <c:pt idx="262">
                  <c:v>285000</c:v>
                </c:pt>
                <c:pt idx="263">
                  <c:v>290000</c:v>
                </c:pt>
                <c:pt idx="264">
                  <c:v>295000</c:v>
                </c:pt>
                <c:pt idx="265">
                  <c:v>300000</c:v>
                </c:pt>
                <c:pt idx="266">
                  <c:v>305000</c:v>
                </c:pt>
                <c:pt idx="267">
                  <c:v>310000</c:v>
                </c:pt>
                <c:pt idx="268">
                  <c:v>315000</c:v>
                </c:pt>
                <c:pt idx="269">
                  <c:v>320000</c:v>
                </c:pt>
                <c:pt idx="270">
                  <c:v>325000</c:v>
                </c:pt>
                <c:pt idx="271">
                  <c:v>330000</c:v>
                </c:pt>
                <c:pt idx="272">
                  <c:v>335000</c:v>
                </c:pt>
                <c:pt idx="273">
                  <c:v>340000</c:v>
                </c:pt>
                <c:pt idx="274">
                  <c:v>345000</c:v>
                </c:pt>
                <c:pt idx="275">
                  <c:v>350000</c:v>
                </c:pt>
                <c:pt idx="276">
                  <c:v>355000</c:v>
                </c:pt>
                <c:pt idx="277">
                  <c:v>360000</c:v>
                </c:pt>
                <c:pt idx="278">
                  <c:v>365000</c:v>
                </c:pt>
                <c:pt idx="279">
                  <c:v>370000</c:v>
                </c:pt>
                <c:pt idx="280">
                  <c:v>375000</c:v>
                </c:pt>
                <c:pt idx="281">
                  <c:v>380000</c:v>
                </c:pt>
                <c:pt idx="282">
                  <c:v>385000</c:v>
                </c:pt>
                <c:pt idx="283">
                  <c:v>390000</c:v>
                </c:pt>
                <c:pt idx="284">
                  <c:v>395000</c:v>
                </c:pt>
                <c:pt idx="285">
                  <c:v>400000</c:v>
                </c:pt>
                <c:pt idx="286">
                  <c:v>405000</c:v>
                </c:pt>
                <c:pt idx="287">
                  <c:v>410000</c:v>
                </c:pt>
                <c:pt idx="288">
                  <c:v>415000</c:v>
                </c:pt>
                <c:pt idx="289">
                  <c:v>420000</c:v>
                </c:pt>
                <c:pt idx="290">
                  <c:v>425000</c:v>
                </c:pt>
                <c:pt idx="291">
                  <c:v>430000</c:v>
                </c:pt>
                <c:pt idx="292">
                  <c:v>435000</c:v>
                </c:pt>
                <c:pt idx="293">
                  <c:v>440000</c:v>
                </c:pt>
                <c:pt idx="294">
                  <c:v>445000</c:v>
                </c:pt>
                <c:pt idx="295">
                  <c:v>450000</c:v>
                </c:pt>
                <c:pt idx="296">
                  <c:v>455000</c:v>
                </c:pt>
                <c:pt idx="297">
                  <c:v>460000</c:v>
                </c:pt>
                <c:pt idx="298">
                  <c:v>465000</c:v>
                </c:pt>
                <c:pt idx="299">
                  <c:v>470000</c:v>
                </c:pt>
                <c:pt idx="300">
                  <c:v>475000</c:v>
                </c:pt>
                <c:pt idx="301">
                  <c:v>480000</c:v>
                </c:pt>
                <c:pt idx="302">
                  <c:v>485000</c:v>
                </c:pt>
                <c:pt idx="303">
                  <c:v>490000</c:v>
                </c:pt>
                <c:pt idx="304">
                  <c:v>495000</c:v>
                </c:pt>
                <c:pt idx="305">
                  <c:v>500000</c:v>
                </c:pt>
                <c:pt idx="306">
                  <c:v>505000</c:v>
                </c:pt>
                <c:pt idx="307">
                  <c:v>510000</c:v>
                </c:pt>
                <c:pt idx="308">
                  <c:v>515000</c:v>
                </c:pt>
                <c:pt idx="309">
                  <c:v>520000</c:v>
                </c:pt>
                <c:pt idx="310">
                  <c:v>525000</c:v>
                </c:pt>
                <c:pt idx="311">
                  <c:v>530000</c:v>
                </c:pt>
                <c:pt idx="312">
                  <c:v>535000</c:v>
                </c:pt>
                <c:pt idx="313">
                  <c:v>540000</c:v>
                </c:pt>
                <c:pt idx="314">
                  <c:v>545000</c:v>
                </c:pt>
                <c:pt idx="315">
                  <c:v>550000</c:v>
                </c:pt>
                <c:pt idx="316">
                  <c:v>555000</c:v>
                </c:pt>
                <c:pt idx="317">
                  <c:v>560000</c:v>
                </c:pt>
                <c:pt idx="318">
                  <c:v>565000</c:v>
                </c:pt>
                <c:pt idx="319">
                  <c:v>570000</c:v>
                </c:pt>
                <c:pt idx="320">
                  <c:v>575000</c:v>
                </c:pt>
                <c:pt idx="321">
                  <c:v>580000</c:v>
                </c:pt>
                <c:pt idx="322">
                  <c:v>585000</c:v>
                </c:pt>
                <c:pt idx="323">
                  <c:v>590000</c:v>
                </c:pt>
                <c:pt idx="324">
                  <c:v>595000</c:v>
                </c:pt>
                <c:pt idx="325">
                  <c:v>600000</c:v>
                </c:pt>
                <c:pt idx="326">
                  <c:v>605000</c:v>
                </c:pt>
                <c:pt idx="327">
                  <c:v>610000</c:v>
                </c:pt>
                <c:pt idx="328">
                  <c:v>615000</c:v>
                </c:pt>
                <c:pt idx="329">
                  <c:v>620000</c:v>
                </c:pt>
                <c:pt idx="330">
                  <c:v>625000</c:v>
                </c:pt>
                <c:pt idx="331">
                  <c:v>630000</c:v>
                </c:pt>
                <c:pt idx="332">
                  <c:v>635000</c:v>
                </c:pt>
                <c:pt idx="333">
                  <c:v>640000</c:v>
                </c:pt>
                <c:pt idx="334">
                  <c:v>645000</c:v>
                </c:pt>
                <c:pt idx="335">
                  <c:v>650000</c:v>
                </c:pt>
                <c:pt idx="336">
                  <c:v>655000</c:v>
                </c:pt>
                <c:pt idx="337">
                  <c:v>660000</c:v>
                </c:pt>
                <c:pt idx="338">
                  <c:v>665000</c:v>
                </c:pt>
                <c:pt idx="339">
                  <c:v>670000</c:v>
                </c:pt>
                <c:pt idx="340">
                  <c:v>675000</c:v>
                </c:pt>
                <c:pt idx="341">
                  <c:v>680000</c:v>
                </c:pt>
                <c:pt idx="342">
                  <c:v>685000</c:v>
                </c:pt>
                <c:pt idx="343">
                  <c:v>690000</c:v>
                </c:pt>
                <c:pt idx="344">
                  <c:v>695000</c:v>
                </c:pt>
                <c:pt idx="345">
                  <c:v>700000</c:v>
                </c:pt>
                <c:pt idx="346">
                  <c:v>705000</c:v>
                </c:pt>
                <c:pt idx="347">
                  <c:v>710000</c:v>
                </c:pt>
                <c:pt idx="348">
                  <c:v>715000</c:v>
                </c:pt>
                <c:pt idx="349">
                  <c:v>720000</c:v>
                </c:pt>
                <c:pt idx="350">
                  <c:v>725000</c:v>
                </c:pt>
                <c:pt idx="351">
                  <c:v>730000</c:v>
                </c:pt>
                <c:pt idx="352">
                  <c:v>735000</c:v>
                </c:pt>
                <c:pt idx="353">
                  <c:v>740000</c:v>
                </c:pt>
                <c:pt idx="354">
                  <c:v>745000</c:v>
                </c:pt>
                <c:pt idx="355">
                  <c:v>750000</c:v>
                </c:pt>
                <c:pt idx="356">
                  <c:v>755000</c:v>
                </c:pt>
                <c:pt idx="357">
                  <c:v>760000</c:v>
                </c:pt>
                <c:pt idx="358">
                  <c:v>765000</c:v>
                </c:pt>
                <c:pt idx="359">
                  <c:v>770000</c:v>
                </c:pt>
                <c:pt idx="360">
                  <c:v>775000</c:v>
                </c:pt>
                <c:pt idx="361">
                  <c:v>780000</c:v>
                </c:pt>
                <c:pt idx="362">
                  <c:v>785000</c:v>
                </c:pt>
                <c:pt idx="363">
                  <c:v>790000</c:v>
                </c:pt>
                <c:pt idx="364">
                  <c:v>795000</c:v>
                </c:pt>
                <c:pt idx="365">
                  <c:v>800000</c:v>
                </c:pt>
                <c:pt idx="366">
                  <c:v>805000</c:v>
                </c:pt>
                <c:pt idx="367">
                  <c:v>810000</c:v>
                </c:pt>
                <c:pt idx="368">
                  <c:v>815000</c:v>
                </c:pt>
                <c:pt idx="369">
                  <c:v>820000</c:v>
                </c:pt>
                <c:pt idx="370">
                  <c:v>825000</c:v>
                </c:pt>
                <c:pt idx="371">
                  <c:v>830000</c:v>
                </c:pt>
                <c:pt idx="372">
                  <c:v>835000</c:v>
                </c:pt>
                <c:pt idx="373">
                  <c:v>840000</c:v>
                </c:pt>
                <c:pt idx="374">
                  <c:v>845000</c:v>
                </c:pt>
                <c:pt idx="375">
                  <c:v>850000</c:v>
                </c:pt>
                <c:pt idx="376">
                  <c:v>855000</c:v>
                </c:pt>
                <c:pt idx="377">
                  <c:v>860000</c:v>
                </c:pt>
                <c:pt idx="378">
                  <c:v>865000</c:v>
                </c:pt>
                <c:pt idx="379">
                  <c:v>870000</c:v>
                </c:pt>
                <c:pt idx="380">
                  <c:v>875000</c:v>
                </c:pt>
                <c:pt idx="381">
                  <c:v>880000</c:v>
                </c:pt>
                <c:pt idx="382">
                  <c:v>885000</c:v>
                </c:pt>
                <c:pt idx="383">
                  <c:v>890000</c:v>
                </c:pt>
                <c:pt idx="384">
                  <c:v>895000</c:v>
                </c:pt>
                <c:pt idx="385">
                  <c:v>900000</c:v>
                </c:pt>
                <c:pt idx="386">
                  <c:v>905000</c:v>
                </c:pt>
                <c:pt idx="387">
                  <c:v>910000</c:v>
                </c:pt>
                <c:pt idx="388">
                  <c:v>915000</c:v>
                </c:pt>
                <c:pt idx="389">
                  <c:v>920000</c:v>
                </c:pt>
                <c:pt idx="390">
                  <c:v>925000</c:v>
                </c:pt>
                <c:pt idx="391">
                  <c:v>930000</c:v>
                </c:pt>
                <c:pt idx="392">
                  <c:v>935000</c:v>
                </c:pt>
                <c:pt idx="393">
                  <c:v>940000</c:v>
                </c:pt>
                <c:pt idx="394">
                  <c:v>945000</c:v>
                </c:pt>
                <c:pt idx="395">
                  <c:v>950000</c:v>
                </c:pt>
                <c:pt idx="396">
                  <c:v>955000</c:v>
                </c:pt>
                <c:pt idx="397">
                  <c:v>960000</c:v>
                </c:pt>
                <c:pt idx="398">
                  <c:v>965000</c:v>
                </c:pt>
                <c:pt idx="399">
                  <c:v>970000</c:v>
                </c:pt>
                <c:pt idx="400">
                  <c:v>975000</c:v>
                </c:pt>
                <c:pt idx="401">
                  <c:v>980000</c:v>
                </c:pt>
                <c:pt idx="402">
                  <c:v>985000</c:v>
                </c:pt>
                <c:pt idx="403">
                  <c:v>990000</c:v>
                </c:pt>
                <c:pt idx="404">
                  <c:v>995000</c:v>
                </c:pt>
                <c:pt idx="405">
                  <c:v>1000000</c:v>
                </c:pt>
                <c:pt idx="406">
                  <c:v>1005000</c:v>
                </c:pt>
                <c:pt idx="407">
                  <c:v>1010000</c:v>
                </c:pt>
                <c:pt idx="408">
                  <c:v>1015000</c:v>
                </c:pt>
                <c:pt idx="409">
                  <c:v>1020000</c:v>
                </c:pt>
                <c:pt idx="410">
                  <c:v>1025000</c:v>
                </c:pt>
                <c:pt idx="411">
                  <c:v>1030000</c:v>
                </c:pt>
                <c:pt idx="412">
                  <c:v>1035000</c:v>
                </c:pt>
                <c:pt idx="413">
                  <c:v>1040000</c:v>
                </c:pt>
                <c:pt idx="414">
                  <c:v>1045000</c:v>
                </c:pt>
                <c:pt idx="415">
                  <c:v>1050000</c:v>
                </c:pt>
                <c:pt idx="416">
                  <c:v>1055000</c:v>
                </c:pt>
                <c:pt idx="417">
                  <c:v>1060000</c:v>
                </c:pt>
                <c:pt idx="418">
                  <c:v>1065000</c:v>
                </c:pt>
                <c:pt idx="419">
                  <c:v>1070000</c:v>
                </c:pt>
                <c:pt idx="420">
                  <c:v>1075000</c:v>
                </c:pt>
                <c:pt idx="421">
                  <c:v>1080000</c:v>
                </c:pt>
                <c:pt idx="422">
                  <c:v>1085000</c:v>
                </c:pt>
                <c:pt idx="423">
                  <c:v>1090000</c:v>
                </c:pt>
                <c:pt idx="424">
                  <c:v>1095000</c:v>
                </c:pt>
                <c:pt idx="425">
                  <c:v>1100000</c:v>
                </c:pt>
                <c:pt idx="426">
                  <c:v>1105000</c:v>
                </c:pt>
                <c:pt idx="427">
                  <c:v>1110000</c:v>
                </c:pt>
                <c:pt idx="428">
                  <c:v>1115000</c:v>
                </c:pt>
                <c:pt idx="429">
                  <c:v>1120000</c:v>
                </c:pt>
                <c:pt idx="430">
                  <c:v>1125000</c:v>
                </c:pt>
                <c:pt idx="431">
                  <c:v>1130000</c:v>
                </c:pt>
                <c:pt idx="432">
                  <c:v>1135000</c:v>
                </c:pt>
                <c:pt idx="433">
                  <c:v>1140000</c:v>
                </c:pt>
                <c:pt idx="434">
                  <c:v>1145000</c:v>
                </c:pt>
                <c:pt idx="435">
                  <c:v>1150000</c:v>
                </c:pt>
                <c:pt idx="436">
                  <c:v>1155000</c:v>
                </c:pt>
                <c:pt idx="437">
                  <c:v>1160000</c:v>
                </c:pt>
                <c:pt idx="438">
                  <c:v>1165000</c:v>
                </c:pt>
                <c:pt idx="439">
                  <c:v>1170000</c:v>
                </c:pt>
                <c:pt idx="440">
                  <c:v>1175000</c:v>
                </c:pt>
                <c:pt idx="441">
                  <c:v>1180000</c:v>
                </c:pt>
                <c:pt idx="442">
                  <c:v>1185000</c:v>
                </c:pt>
                <c:pt idx="443">
                  <c:v>1190000</c:v>
                </c:pt>
                <c:pt idx="444">
                  <c:v>1195000</c:v>
                </c:pt>
                <c:pt idx="445">
                  <c:v>1200000</c:v>
                </c:pt>
                <c:pt idx="446">
                  <c:v>1205000</c:v>
                </c:pt>
                <c:pt idx="447">
                  <c:v>1210000</c:v>
                </c:pt>
                <c:pt idx="448">
                  <c:v>1215000</c:v>
                </c:pt>
                <c:pt idx="449">
                  <c:v>1220000</c:v>
                </c:pt>
                <c:pt idx="450">
                  <c:v>1225000</c:v>
                </c:pt>
                <c:pt idx="451">
                  <c:v>1230000</c:v>
                </c:pt>
                <c:pt idx="452">
                  <c:v>1235000</c:v>
                </c:pt>
                <c:pt idx="453">
                  <c:v>1240000</c:v>
                </c:pt>
                <c:pt idx="454">
                  <c:v>1245000</c:v>
                </c:pt>
                <c:pt idx="455">
                  <c:v>1250000</c:v>
                </c:pt>
                <c:pt idx="456">
                  <c:v>1255000</c:v>
                </c:pt>
                <c:pt idx="457">
                  <c:v>1260000</c:v>
                </c:pt>
                <c:pt idx="458">
                  <c:v>1265000</c:v>
                </c:pt>
                <c:pt idx="459">
                  <c:v>1270000</c:v>
                </c:pt>
                <c:pt idx="460">
                  <c:v>1275000</c:v>
                </c:pt>
                <c:pt idx="461">
                  <c:v>1280000</c:v>
                </c:pt>
                <c:pt idx="462">
                  <c:v>1285000</c:v>
                </c:pt>
                <c:pt idx="463">
                  <c:v>1290000</c:v>
                </c:pt>
                <c:pt idx="464">
                  <c:v>1295000</c:v>
                </c:pt>
                <c:pt idx="465">
                  <c:v>1300000</c:v>
                </c:pt>
                <c:pt idx="466">
                  <c:v>1305000</c:v>
                </c:pt>
                <c:pt idx="467">
                  <c:v>1310000</c:v>
                </c:pt>
                <c:pt idx="468">
                  <c:v>1315000</c:v>
                </c:pt>
                <c:pt idx="469">
                  <c:v>1320000</c:v>
                </c:pt>
                <c:pt idx="470">
                  <c:v>1325000</c:v>
                </c:pt>
                <c:pt idx="471">
                  <c:v>1330000</c:v>
                </c:pt>
                <c:pt idx="472">
                  <c:v>1335000</c:v>
                </c:pt>
                <c:pt idx="473">
                  <c:v>1340000</c:v>
                </c:pt>
                <c:pt idx="474">
                  <c:v>1345000</c:v>
                </c:pt>
                <c:pt idx="475">
                  <c:v>1350000</c:v>
                </c:pt>
                <c:pt idx="476">
                  <c:v>1355000</c:v>
                </c:pt>
                <c:pt idx="477">
                  <c:v>1360000</c:v>
                </c:pt>
                <c:pt idx="478">
                  <c:v>1365000</c:v>
                </c:pt>
                <c:pt idx="479">
                  <c:v>1370000</c:v>
                </c:pt>
                <c:pt idx="480">
                  <c:v>1375000</c:v>
                </c:pt>
                <c:pt idx="481">
                  <c:v>1380000</c:v>
                </c:pt>
                <c:pt idx="482">
                  <c:v>1385000</c:v>
                </c:pt>
                <c:pt idx="483">
                  <c:v>1390000</c:v>
                </c:pt>
                <c:pt idx="484">
                  <c:v>1395000</c:v>
                </c:pt>
                <c:pt idx="485">
                  <c:v>1400000</c:v>
                </c:pt>
                <c:pt idx="486">
                  <c:v>1405000</c:v>
                </c:pt>
                <c:pt idx="487">
                  <c:v>1410000</c:v>
                </c:pt>
                <c:pt idx="488">
                  <c:v>1415000</c:v>
                </c:pt>
                <c:pt idx="489">
                  <c:v>1420000</c:v>
                </c:pt>
                <c:pt idx="490">
                  <c:v>1425000</c:v>
                </c:pt>
                <c:pt idx="491">
                  <c:v>1430000</c:v>
                </c:pt>
                <c:pt idx="492">
                  <c:v>1435000</c:v>
                </c:pt>
                <c:pt idx="493">
                  <c:v>1440000</c:v>
                </c:pt>
                <c:pt idx="494">
                  <c:v>1445000</c:v>
                </c:pt>
                <c:pt idx="495">
                  <c:v>1450000</c:v>
                </c:pt>
                <c:pt idx="496">
                  <c:v>1455000</c:v>
                </c:pt>
                <c:pt idx="497">
                  <c:v>1460000</c:v>
                </c:pt>
                <c:pt idx="498">
                  <c:v>1465000</c:v>
                </c:pt>
                <c:pt idx="499">
                  <c:v>1470000</c:v>
                </c:pt>
                <c:pt idx="500">
                  <c:v>1475000</c:v>
                </c:pt>
                <c:pt idx="501">
                  <c:v>1480000</c:v>
                </c:pt>
                <c:pt idx="502">
                  <c:v>1485000</c:v>
                </c:pt>
                <c:pt idx="503">
                  <c:v>1490000</c:v>
                </c:pt>
                <c:pt idx="504">
                  <c:v>1495000</c:v>
                </c:pt>
                <c:pt idx="505">
                  <c:v>1500000</c:v>
                </c:pt>
                <c:pt idx="506">
                  <c:v>1505000</c:v>
                </c:pt>
                <c:pt idx="507">
                  <c:v>1510000</c:v>
                </c:pt>
                <c:pt idx="508">
                  <c:v>1515000</c:v>
                </c:pt>
                <c:pt idx="509">
                  <c:v>1520000</c:v>
                </c:pt>
                <c:pt idx="510">
                  <c:v>1525000</c:v>
                </c:pt>
                <c:pt idx="511">
                  <c:v>1530000</c:v>
                </c:pt>
                <c:pt idx="512">
                  <c:v>1535000</c:v>
                </c:pt>
                <c:pt idx="513">
                  <c:v>1540000</c:v>
                </c:pt>
                <c:pt idx="514">
                  <c:v>1545000</c:v>
                </c:pt>
                <c:pt idx="515">
                  <c:v>1550000</c:v>
                </c:pt>
                <c:pt idx="516">
                  <c:v>1555000</c:v>
                </c:pt>
                <c:pt idx="517">
                  <c:v>1560000</c:v>
                </c:pt>
                <c:pt idx="518">
                  <c:v>1565000</c:v>
                </c:pt>
                <c:pt idx="519">
                  <c:v>1570000</c:v>
                </c:pt>
                <c:pt idx="520">
                  <c:v>1575000</c:v>
                </c:pt>
                <c:pt idx="521">
                  <c:v>1580000</c:v>
                </c:pt>
                <c:pt idx="522">
                  <c:v>1585000</c:v>
                </c:pt>
                <c:pt idx="523">
                  <c:v>1590000</c:v>
                </c:pt>
                <c:pt idx="524">
                  <c:v>1595000</c:v>
                </c:pt>
                <c:pt idx="525">
                  <c:v>1600000</c:v>
                </c:pt>
                <c:pt idx="526">
                  <c:v>1605000</c:v>
                </c:pt>
                <c:pt idx="527">
                  <c:v>1610000</c:v>
                </c:pt>
                <c:pt idx="528">
                  <c:v>1615000</c:v>
                </c:pt>
                <c:pt idx="529">
                  <c:v>1620000</c:v>
                </c:pt>
                <c:pt idx="530">
                  <c:v>1625000</c:v>
                </c:pt>
                <c:pt idx="531">
                  <c:v>1630000</c:v>
                </c:pt>
                <c:pt idx="532">
                  <c:v>1635000</c:v>
                </c:pt>
                <c:pt idx="533">
                  <c:v>1640000</c:v>
                </c:pt>
                <c:pt idx="534">
                  <c:v>1645000</c:v>
                </c:pt>
                <c:pt idx="535">
                  <c:v>1650000</c:v>
                </c:pt>
                <c:pt idx="536">
                  <c:v>1655000</c:v>
                </c:pt>
                <c:pt idx="537">
                  <c:v>1660000</c:v>
                </c:pt>
                <c:pt idx="538">
                  <c:v>1665000</c:v>
                </c:pt>
                <c:pt idx="539">
                  <c:v>1670000</c:v>
                </c:pt>
                <c:pt idx="540">
                  <c:v>1675000</c:v>
                </c:pt>
                <c:pt idx="541">
                  <c:v>1680000</c:v>
                </c:pt>
                <c:pt idx="542">
                  <c:v>1685000</c:v>
                </c:pt>
                <c:pt idx="543">
                  <c:v>1690000</c:v>
                </c:pt>
                <c:pt idx="544">
                  <c:v>1695000</c:v>
                </c:pt>
                <c:pt idx="545">
                  <c:v>1700000</c:v>
                </c:pt>
                <c:pt idx="546">
                  <c:v>1705000</c:v>
                </c:pt>
                <c:pt idx="547">
                  <c:v>1710000</c:v>
                </c:pt>
                <c:pt idx="548">
                  <c:v>1715000</c:v>
                </c:pt>
                <c:pt idx="549">
                  <c:v>1720000</c:v>
                </c:pt>
                <c:pt idx="550">
                  <c:v>1725000</c:v>
                </c:pt>
                <c:pt idx="551">
                  <c:v>1730000</c:v>
                </c:pt>
                <c:pt idx="552">
                  <c:v>1735000</c:v>
                </c:pt>
                <c:pt idx="553">
                  <c:v>1740000</c:v>
                </c:pt>
                <c:pt idx="554">
                  <c:v>1745000</c:v>
                </c:pt>
                <c:pt idx="555">
                  <c:v>1750000</c:v>
                </c:pt>
                <c:pt idx="556">
                  <c:v>1755000</c:v>
                </c:pt>
                <c:pt idx="557">
                  <c:v>1760000</c:v>
                </c:pt>
                <c:pt idx="558">
                  <c:v>1765000</c:v>
                </c:pt>
                <c:pt idx="559">
                  <c:v>1770000</c:v>
                </c:pt>
                <c:pt idx="560">
                  <c:v>1775000</c:v>
                </c:pt>
                <c:pt idx="561">
                  <c:v>1780000</c:v>
                </c:pt>
                <c:pt idx="562">
                  <c:v>1785000</c:v>
                </c:pt>
                <c:pt idx="563">
                  <c:v>1790000</c:v>
                </c:pt>
                <c:pt idx="564">
                  <c:v>1795000</c:v>
                </c:pt>
                <c:pt idx="565">
                  <c:v>1800000</c:v>
                </c:pt>
                <c:pt idx="566">
                  <c:v>1805000</c:v>
                </c:pt>
                <c:pt idx="567">
                  <c:v>1810000</c:v>
                </c:pt>
                <c:pt idx="568">
                  <c:v>1815000</c:v>
                </c:pt>
                <c:pt idx="569">
                  <c:v>1820000</c:v>
                </c:pt>
                <c:pt idx="570">
                  <c:v>1825000</c:v>
                </c:pt>
                <c:pt idx="571">
                  <c:v>1830000</c:v>
                </c:pt>
                <c:pt idx="572">
                  <c:v>1835000</c:v>
                </c:pt>
                <c:pt idx="573">
                  <c:v>1840000</c:v>
                </c:pt>
                <c:pt idx="574">
                  <c:v>1845000</c:v>
                </c:pt>
                <c:pt idx="575">
                  <c:v>1850000</c:v>
                </c:pt>
                <c:pt idx="576">
                  <c:v>1855000</c:v>
                </c:pt>
                <c:pt idx="577">
                  <c:v>1860000</c:v>
                </c:pt>
                <c:pt idx="578">
                  <c:v>1865000</c:v>
                </c:pt>
                <c:pt idx="579">
                  <c:v>1870000</c:v>
                </c:pt>
                <c:pt idx="580">
                  <c:v>1875000</c:v>
                </c:pt>
                <c:pt idx="581">
                  <c:v>1880000</c:v>
                </c:pt>
                <c:pt idx="582">
                  <c:v>1885000</c:v>
                </c:pt>
                <c:pt idx="583">
                  <c:v>1890000</c:v>
                </c:pt>
                <c:pt idx="584">
                  <c:v>1895000</c:v>
                </c:pt>
                <c:pt idx="585">
                  <c:v>1900000</c:v>
                </c:pt>
                <c:pt idx="586">
                  <c:v>1905000</c:v>
                </c:pt>
                <c:pt idx="587">
                  <c:v>1910000</c:v>
                </c:pt>
                <c:pt idx="588">
                  <c:v>1915000</c:v>
                </c:pt>
                <c:pt idx="589">
                  <c:v>1920000</c:v>
                </c:pt>
                <c:pt idx="590">
                  <c:v>1925000</c:v>
                </c:pt>
                <c:pt idx="591">
                  <c:v>1930000</c:v>
                </c:pt>
                <c:pt idx="592">
                  <c:v>1935000</c:v>
                </c:pt>
                <c:pt idx="593">
                  <c:v>1940000</c:v>
                </c:pt>
                <c:pt idx="594">
                  <c:v>1945000</c:v>
                </c:pt>
                <c:pt idx="595">
                  <c:v>1950000</c:v>
                </c:pt>
                <c:pt idx="596">
                  <c:v>1955000</c:v>
                </c:pt>
                <c:pt idx="597">
                  <c:v>1960000</c:v>
                </c:pt>
                <c:pt idx="598">
                  <c:v>1965000</c:v>
                </c:pt>
                <c:pt idx="599">
                  <c:v>1970000</c:v>
                </c:pt>
                <c:pt idx="600">
                  <c:v>1975000</c:v>
                </c:pt>
                <c:pt idx="601">
                  <c:v>1980000</c:v>
                </c:pt>
                <c:pt idx="602">
                  <c:v>1985000</c:v>
                </c:pt>
                <c:pt idx="603">
                  <c:v>1990000</c:v>
                </c:pt>
                <c:pt idx="604">
                  <c:v>1995000</c:v>
                </c:pt>
                <c:pt idx="605">
                  <c:v>2000000</c:v>
                </c:pt>
                <c:pt idx="606">
                  <c:v>2250000</c:v>
                </c:pt>
                <c:pt idx="607">
                  <c:v>2500000</c:v>
                </c:pt>
                <c:pt idx="608">
                  <c:v>2750000</c:v>
                </c:pt>
                <c:pt idx="609">
                  <c:v>3000000</c:v>
                </c:pt>
                <c:pt idx="610">
                  <c:v>3250000</c:v>
                </c:pt>
                <c:pt idx="611">
                  <c:v>3500000</c:v>
                </c:pt>
                <c:pt idx="612">
                  <c:v>3750000</c:v>
                </c:pt>
                <c:pt idx="613">
                  <c:v>4000000</c:v>
                </c:pt>
                <c:pt idx="614">
                  <c:v>4250000</c:v>
                </c:pt>
                <c:pt idx="615">
                  <c:v>4500000</c:v>
                </c:pt>
                <c:pt idx="616">
                  <c:v>4750000</c:v>
                </c:pt>
                <c:pt idx="617">
                  <c:v>5000000</c:v>
                </c:pt>
                <c:pt idx="618">
                  <c:v>5100000</c:v>
                </c:pt>
                <c:pt idx="619">
                  <c:v>5200000</c:v>
                </c:pt>
                <c:pt idx="620">
                  <c:v>5300000</c:v>
                </c:pt>
                <c:pt idx="621">
                  <c:v>5400000</c:v>
                </c:pt>
                <c:pt idx="622">
                  <c:v>5500000</c:v>
                </c:pt>
                <c:pt idx="623">
                  <c:v>5600000</c:v>
                </c:pt>
                <c:pt idx="624">
                  <c:v>5700000</c:v>
                </c:pt>
                <c:pt idx="625">
                  <c:v>5800000</c:v>
                </c:pt>
                <c:pt idx="626">
                  <c:v>5900000</c:v>
                </c:pt>
                <c:pt idx="627">
                  <c:v>6000000</c:v>
                </c:pt>
                <c:pt idx="628">
                  <c:v>6100000</c:v>
                </c:pt>
                <c:pt idx="629">
                  <c:v>6200000</c:v>
                </c:pt>
                <c:pt idx="630">
                  <c:v>6300000</c:v>
                </c:pt>
                <c:pt idx="631">
                  <c:v>6400000</c:v>
                </c:pt>
                <c:pt idx="632">
                  <c:v>6500000</c:v>
                </c:pt>
                <c:pt idx="633">
                  <c:v>6600000</c:v>
                </c:pt>
                <c:pt idx="634">
                  <c:v>6700000</c:v>
                </c:pt>
                <c:pt idx="635">
                  <c:v>6800000</c:v>
                </c:pt>
                <c:pt idx="636">
                  <c:v>6900000</c:v>
                </c:pt>
                <c:pt idx="637">
                  <c:v>7000000</c:v>
                </c:pt>
                <c:pt idx="638">
                  <c:v>7100000</c:v>
                </c:pt>
                <c:pt idx="639">
                  <c:v>7200000</c:v>
                </c:pt>
                <c:pt idx="640">
                  <c:v>7300000</c:v>
                </c:pt>
                <c:pt idx="641">
                  <c:v>7400000</c:v>
                </c:pt>
                <c:pt idx="642">
                  <c:v>7500000</c:v>
                </c:pt>
                <c:pt idx="643">
                  <c:v>7600000</c:v>
                </c:pt>
                <c:pt idx="644">
                  <c:v>7700000</c:v>
                </c:pt>
                <c:pt idx="645">
                  <c:v>7800000</c:v>
                </c:pt>
                <c:pt idx="646">
                  <c:v>7900000</c:v>
                </c:pt>
                <c:pt idx="647">
                  <c:v>8000000</c:v>
                </c:pt>
                <c:pt idx="648">
                  <c:v>8100000</c:v>
                </c:pt>
                <c:pt idx="649">
                  <c:v>8200000</c:v>
                </c:pt>
                <c:pt idx="650">
                  <c:v>8300000</c:v>
                </c:pt>
                <c:pt idx="651">
                  <c:v>8400000</c:v>
                </c:pt>
                <c:pt idx="652">
                  <c:v>8500000</c:v>
                </c:pt>
                <c:pt idx="653">
                  <c:v>8600000</c:v>
                </c:pt>
                <c:pt idx="654">
                  <c:v>8700000</c:v>
                </c:pt>
                <c:pt idx="655">
                  <c:v>8800000</c:v>
                </c:pt>
                <c:pt idx="656">
                  <c:v>8900000</c:v>
                </c:pt>
                <c:pt idx="657">
                  <c:v>9000000</c:v>
                </c:pt>
                <c:pt idx="658">
                  <c:v>9100000</c:v>
                </c:pt>
                <c:pt idx="659">
                  <c:v>9200000</c:v>
                </c:pt>
                <c:pt idx="660">
                  <c:v>9300000</c:v>
                </c:pt>
                <c:pt idx="661">
                  <c:v>9400000</c:v>
                </c:pt>
                <c:pt idx="662">
                  <c:v>9500000</c:v>
                </c:pt>
                <c:pt idx="663">
                  <c:v>9600000</c:v>
                </c:pt>
                <c:pt idx="664">
                  <c:v>9700000</c:v>
                </c:pt>
                <c:pt idx="665">
                  <c:v>9800000</c:v>
                </c:pt>
                <c:pt idx="666">
                  <c:v>9900000</c:v>
                </c:pt>
                <c:pt idx="667">
                  <c:v>10000000</c:v>
                </c:pt>
              </c:numCache>
            </c:numRef>
          </c:xVal>
          <c:yVal>
            <c:numRef>
              <c:f>'Bode Plots Calculations'!$BB$9:$BB$676</c:f>
              <c:numCache>
                <c:formatCode>General</c:formatCode>
                <c:ptCount val="668"/>
                <c:pt idx="0">
                  <c:v>46.976227887599258</c:v>
                </c:pt>
                <c:pt idx="1">
                  <c:v>41.022128512546196</c:v>
                </c:pt>
                <c:pt idx="2">
                  <c:v>37.512748115305492</c:v>
                </c:pt>
                <c:pt idx="3">
                  <c:v>35.018357996493272</c:v>
                </c:pt>
                <c:pt idx="4">
                  <c:v>33.082211187685424</c:v>
                </c:pt>
                <c:pt idx="5">
                  <c:v>31.49972600836303</c:v>
                </c:pt>
                <c:pt idx="6">
                  <c:v>30.161502472677828</c:v>
                </c:pt>
                <c:pt idx="7">
                  <c:v>29.002151526548946</c:v>
                </c:pt>
                <c:pt idx="8">
                  <c:v>27.979461926006799</c:v>
                </c:pt>
                <c:pt idx="9">
                  <c:v>27.064596980981218</c:v>
                </c:pt>
                <c:pt idx="10">
                  <c:v>21.045843178641341</c:v>
                </c:pt>
                <c:pt idx="11">
                  <c:v>17.526096586868817</c:v>
                </c:pt>
                <c:pt idx="12">
                  <c:v>15.030099520141691</c:v>
                </c:pt>
                <c:pt idx="13">
                  <c:v>13.095432206590443</c:v>
                </c:pt>
                <c:pt idx="14">
                  <c:v>11.516107921409141</c:v>
                </c:pt>
                <c:pt idx="15">
                  <c:v>10.182243120403516</c:v>
                </c:pt>
                <c:pt idx="16">
                  <c:v>9.0282449666372777</c:v>
                </c:pt>
                <c:pt idx="17">
                  <c:v>8.0118030860151439</c:v>
                </c:pt>
                <c:pt idx="18">
                  <c:v>7.1040267718315757</c:v>
                </c:pt>
                <c:pt idx="19">
                  <c:v>1.1982643511105981</c:v>
                </c:pt>
                <c:pt idx="20">
                  <c:v>-2.138399156263163</c:v>
                </c:pt>
                <c:pt idx="21">
                  <c:v>-4.3899880645006863</c:v>
                </c:pt>
                <c:pt idx="22">
                  <c:v>-6.0288715268288318</c:v>
                </c:pt>
                <c:pt idx="23">
                  <c:v>-7.2714022971224423</c:v>
                </c:pt>
                <c:pt idx="24">
                  <c:v>-8.2373804166305078</c:v>
                </c:pt>
                <c:pt idx="25">
                  <c:v>-9.0012874851874081</c:v>
                </c:pt>
                <c:pt idx="26">
                  <c:v>-9.6130101433396895</c:v>
                </c:pt>
                <c:pt idx="27">
                  <c:v>-10.107643656516972</c:v>
                </c:pt>
                <c:pt idx="28">
                  <c:v>-11.525591422630516</c:v>
                </c:pt>
                <c:pt idx="29">
                  <c:v>-12.075139313381491</c:v>
                </c:pt>
                <c:pt idx="30">
                  <c:v>-12.262268778627096</c:v>
                </c:pt>
                <c:pt idx="31">
                  <c:v>-12.268686392989292</c:v>
                </c:pt>
                <c:pt idx="32">
                  <c:v>-12.171969094739969</c:v>
                </c:pt>
                <c:pt idx="33">
                  <c:v>-12.01047221522175</c:v>
                </c:pt>
                <c:pt idx="34">
                  <c:v>-11.805690024588857</c:v>
                </c:pt>
                <c:pt idx="35">
                  <c:v>-11.570975533348893</c:v>
                </c:pt>
                <c:pt idx="36">
                  <c:v>-11.315311720367031</c:v>
                </c:pt>
                <c:pt idx="37">
                  <c:v>-11.045098267150944</c:v>
                </c:pt>
                <c:pt idx="38">
                  <c:v>-10.765073679716519</c:v>
                </c:pt>
                <c:pt idx="39">
                  <c:v>-10.478832570197817</c:v>
                </c:pt>
                <c:pt idx="40">
                  <c:v>-10.189140136625403</c:v>
                </c:pt>
                <c:pt idx="41">
                  <c:v>-9.8981379072505842</c:v>
                </c:pt>
                <c:pt idx="42">
                  <c:v>-9.6074869289451605</c:v>
                </c:pt>
                <c:pt idx="43">
                  <c:v>-9.3184723111879837</c:v>
                </c:pt>
                <c:pt idx="44">
                  <c:v>-9.0320822391306539</c:v>
                </c:pt>
                <c:pt idx="45">
                  <c:v>-8.7490691140820367</c:v>
                </c:pt>
                <c:pt idx="46">
                  <c:v>-8.4699975986311244</c:v>
                </c:pt>
                <c:pt idx="47">
                  <c:v>-8.1952827422117664</c:v>
                </c:pt>
                <c:pt idx="48">
                  <c:v>-7.9252204191702793</c:v>
                </c:pt>
                <c:pt idx="49">
                  <c:v>-7.6600117190121697</c:v>
                </c:pt>
                <c:pt idx="50">
                  <c:v>-7.3997825329148768</c:v>
                </c:pt>
                <c:pt idx="51">
                  <c:v>-7.1445993016019695</c:v>
                </c:pt>
                <c:pt idx="52">
                  <c:v>-6.8944816841824625</c:v>
                </c:pt>
                <c:pt idx="53">
                  <c:v>-6.64941275133729</c:v>
                </c:pt>
                <c:pt idx="54">
                  <c:v>-6.4093471848868964</c:v>
                </c:pt>
                <c:pt idx="55">
                  <c:v>-6.1742178701958137</c:v>
                </c:pt>
                <c:pt idx="56">
                  <c:v>-5.9439411919369043</c:v>
                </c:pt>
                <c:pt idx="57">
                  <c:v>-5.7184212830959416</c:v>
                </c:pt>
                <c:pt idx="58">
                  <c:v>-5.497553428515527</c:v>
                </c:pt>
                <c:pt idx="59">
                  <c:v>-5.2812267852834172</c:v>
                </c:pt>
                <c:pt idx="60">
                  <c:v>-5.0693265509340666</c:v>
                </c:pt>
                <c:pt idx="61">
                  <c:v>-4.8617356852274334</c:v>
                </c:pt>
                <c:pt idx="62">
                  <c:v>-4.6583362709813283</c:v>
                </c:pt>
                <c:pt idx="63">
                  <c:v>-4.4590105830915769</c:v>
                </c:pt>
                <c:pt idx="64">
                  <c:v>-4.2636419217007733</c:v>
                </c:pt>
                <c:pt idx="65">
                  <c:v>-4.0721152548488169</c:v>
                </c:pt>
                <c:pt idx="66">
                  <c:v>-3.8843177073562787</c:v>
                </c:pt>
                <c:pt idx="67">
                  <c:v>-3.7001389257557666</c:v>
                </c:pt>
                <c:pt idx="68">
                  <c:v>-3.519471343474379</c:v>
                </c:pt>
                <c:pt idx="69">
                  <c:v>-3.3422103659255797</c:v>
                </c:pt>
                <c:pt idx="70">
                  <c:v>-3.1682544914838768</c:v>
                </c:pt>
                <c:pt idx="71">
                  <c:v>-2.9975053813251518</c:v>
                </c:pt>
                <c:pt idx="72">
                  <c:v>-2.8298678886856408</c:v>
                </c:pt>
                <c:pt idx="73">
                  <c:v>-2.6652500561165349</c:v>
                </c:pt>
                <c:pt idx="74">
                  <c:v>-2.503563087702561</c:v>
                </c:pt>
                <c:pt idx="75">
                  <c:v>-2.3447213019022137</c:v>
                </c:pt>
                <c:pt idx="76">
                  <c:v>-2.188642069598453</c:v>
                </c:pt>
                <c:pt idx="77">
                  <c:v>-2.035245741076575</c:v>
                </c:pt>
                <c:pt idx="78">
                  <c:v>-1.8844555649338812</c:v>
                </c:pt>
                <c:pt idx="79">
                  <c:v>-1.7361976013437566</c:v>
                </c:pt>
                <c:pt idx="80">
                  <c:v>-1.590400631621858</c:v>
                </c:pt>
                <c:pt idx="81">
                  <c:v>-1.4469960656531589</c:v>
                </c:pt>
                <c:pt idx="82">
                  <c:v>-1.3059178484215472</c:v>
                </c:pt>
                <c:pt idx="83">
                  <c:v>-1.1671023666239408</c:v>
                </c:pt>
                <c:pt idx="84">
                  <c:v>-1.030488356139589</c:v>
                </c:pt>
                <c:pt idx="85">
                  <c:v>-0.89601681095212937</c:v>
                </c:pt>
                <c:pt idx="86">
                  <c:v>-0.763630893981458</c:v>
                </c:pt>
                <c:pt idx="87">
                  <c:v>-0.63327585016806953</c:v>
                </c:pt>
                <c:pt idx="88">
                  <c:v>-0.50489892205951525</c:v>
                </c:pt>
                <c:pt idx="89">
                  <c:v>-0.37844926807352863</c:v>
                </c:pt>
                <c:pt idx="90">
                  <c:v>-0.25387788355178326</c:v>
                </c:pt>
                <c:pt idx="91">
                  <c:v>-0.13113752466958303</c:v>
                </c:pt>
                <c:pt idx="92">
                  <c:v>-1.0182635227758662E-2</c:v>
                </c:pt>
                <c:pt idx="93">
                  <c:v>0.10903072367743749</c:v>
                </c:pt>
                <c:pt idx="94">
                  <c:v>0.22654494113529652</c:v>
                </c:pt>
                <c:pt idx="95">
                  <c:v>0.34240092109969644</c:v>
                </c:pt>
                <c:pt idx="96">
                  <c:v>0.4566381443281991</c:v>
                </c:pt>
                <c:pt idx="97">
                  <c:v>0.56929472765378519</c:v>
                </c:pt>
                <c:pt idx="98">
                  <c:v>0.6804074806696726</c:v>
                </c:pt>
                <c:pt idx="99">
                  <c:v>0.79001195991315076</c:v>
                </c:pt>
                <c:pt idx="100">
                  <c:v>0.89814252063797828</c:v>
                </c:pt>
                <c:pt idx="101">
                  <c:v>1.0048323662667595</c:v>
                </c:pt>
                <c:pt idx="102">
                  <c:v>1.1101135956155164</c:v>
                </c:pt>
                <c:pt idx="103">
                  <c:v>1.2140172479825064</c:v>
                </c:pt>
                <c:pt idx="104">
                  <c:v>1.3165733461922178</c:v>
                </c:pt>
                <c:pt idx="105">
                  <c:v>1.4178109376839365</c:v>
                </c:pt>
                <c:pt idx="106">
                  <c:v>1.5177581337322101</c:v>
                </c:pt>
                <c:pt idx="107">
                  <c:v>1.6164421468839849</c:v>
                </c:pt>
                <c:pt idx="108">
                  <c:v>1.7138893266948272</c:v>
                </c:pt>
                <c:pt idx="109">
                  <c:v>1.8101251938434249</c:v>
                </c:pt>
                <c:pt idx="110">
                  <c:v>1.905174472700875</c:v>
                </c:pt>
                <c:pt idx="111">
                  <c:v>1.9990611224282053</c:v>
                </c:pt>
                <c:pt idx="112">
                  <c:v>2.0918083666724341</c:v>
                </c:pt>
                <c:pt idx="113">
                  <c:v>2.1834387219286091</c:v>
                </c:pt>
                <c:pt idx="114">
                  <c:v>2.2739740246321434</c:v>
                </c:pt>
                <c:pt idx="115">
                  <c:v>2.3634354570429621</c:v>
                </c:pt>
                <c:pt idx="116">
                  <c:v>2.4518435719799618</c:v>
                </c:pt>
                <c:pt idx="117">
                  <c:v>2.5392183164617337</c:v>
                </c:pt>
                <c:pt idx="118">
                  <c:v>2.6255790543065456</c:v>
                </c:pt>
                <c:pt idx="119">
                  <c:v>2.7109445877422629</c:v>
                </c:pt>
                <c:pt idx="120">
                  <c:v>2.7953331780741433</c:v>
                </c:pt>
                <c:pt idx="121">
                  <c:v>2.8787625654562814</c:v>
                </c:pt>
                <c:pt idx="122">
                  <c:v>2.9612499878100174</c:v>
                </c:pt>
                <c:pt idx="123">
                  <c:v>3.0428121989305712</c:v>
                </c:pt>
                <c:pt idx="124">
                  <c:v>3.123465485820951</c:v>
                </c:pt>
                <c:pt idx="125">
                  <c:v>3.2032256852903087</c:v>
                </c:pt>
                <c:pt idx="126">
                  <c:v>3.2821081998520221</c:v>
                </c:pt>
                <c:pt idx="127">
                  <c:v>3.3601280129548039</c:v>
                </c:pt>
                <c:pt idx="128">
                  <c:v>3.4372997035787805</c:v>
                </c:pt>
                <c:pt idx="129">
                  <c:v>3.5136374602263865</c:v>
                </c:pt>
                <c:pt idx="130">
                  <c:v>3.5891550943369319</c:v>
                </c:pt>
                <c:pt idx="131">
                  <c:v>3.6638660531516787</c:v>
                </c:pt>
                <c:pt idx="132">
                  <c:v>3.7377834320553527</c:v>
                </c:pt>
                <c:pt idx="133">
                  <c:v>3.8109199864183663</c:v>
                </c:pt>
                <c:pt idx="134">
                  <c:v>3.8832881429629813</c:v>
                </c:pt>
                <c:pt idx="135">
                  <c:v>3.9549000106753858</c:v>
                </c:pt>
                <c:pt idx="136">
                  <c:v>4.0257673912845489</c:v>
                </c:pt>
                <c:pt idx="137">
                  <c:v>4.0959017893276464</c:v>
                </c:pt>
                <c:pt idx="138">
                  <c:v>4.1653144218209297</c:v>
                </c:pt>
                <c:pt idx="139">
                  <c:v>4.2340162275538304</c:v>
                </c:pt>
                <c:pt idx="140">
                  <c:v>4.3020178760233057</c:v>
                </c:pt>
                <c:pt idx="141">
                  <c:v>4.3693297760245633</c:v>
                </c:pt>
                <c:pt idx="142">
                  <c:v>4.4359620839134308</c:v>
                </c:pt>
                <c:pt idx="143">
                  <c:v>4.5019247115549783</c:v>
                </c:pt>
                <c:pt idx="144">
                  <c:v>4.5672273339721796</c:v>
                </c:pt>
                <c:pt idx="145">
                  <c:v>4.6318793967078111</c:v>
                </c:pt>
                <c:pt idx="146">
                  <c:v>4.6958901229120702</c:v>
                </c:pt>
                <c:pt idx="147">
                  <c:v>4.7592685201677876</c:v>
                </c:pt>
                <c:pt idx="148">
                  <c:v>4.8220233870646192</c:v>
                </c:pt>
                <c:pt idx="149">
                  <c:v>4.8841633195329157</c:v>
                </c:pt>
                <c:pt idx="150">
                  <c:v>4.9456967169475279</c:v>
                </c:pt>
                <c:pt idx="151">
                  <c:v>5.0066317880113873</c:v>
                </c:pt>
                <c:pt idx="152">
                  <c:v>5.0669765564279956</c:v>
                </c:pt>
                <c:pt idx="153">
                  <c:v>5.1267388663718272</c:v>
                </c:pt>
                <c:pt idx="154">
                  <c:v>5.1859263877649999</c:v>
                </c:pt>
                <c:pt idx="155">
                  <c:v>5.2445466213682295</c:v>
                </c:pt>
                <c:pt idx="156">
                  <c:v>5.3026069036937304</c:v>
                </c:pt>
                <c:pt idx="157">
                  <c:v>5.3601144117474275</c:v>
                </c:pt>
                <c:pt idx="158">
                  <c:v>5.4170761676073411</c:v>
                </c:pt>
                <c:pt idx="159">
                  <c:v>5.473499042844808</c:v>
                </c:pt>
                <c:pt idx="160">
                  <c:v>5.5293897627949207</c:v>
                </c:pt>
                <c:pt idx="161">
                  <c:v>5.5847549106821468</c:v>
                </c:pt>
                <c:pt idx="162">
                  <c:v>5.6396009316069717</c:v>
                </c:pt>
                <c:pt idx="163">
                  <c:v>5.6939341363989735</c:v>
                </c:pt>
                <c:pt idx="164">
                  <c:v>5.7477607053416921</c:v>
                </c:pt>
                <c:pt idx="165">
                  <c:v>5.8010866917742252</c:v>
                </c:pt>
                <c:pt idx="166">
                  <c:v>5.8539180255743863</c:v>
                </c:pt>
                <c:pt idx="167">
                  <c:v>5.9062605165279809</c:v>
                </c:pt>
                <c:pt idx="168">
                  <c:v>5.9581198575886551</c:v>
                </c:pt>
                <c:pt idx="169">
                  <c:v>6.0095016280323499</c:v>
                </c:pt>
                <c:pt idx="170">
                  <c:v>6.0604112965105683</c:v>
                </c:pt>
                <c:pt idx="171">
                  <c:v>6.1108542240060508</c:v>
                </c:pt>
                <c:pt idx="172">
                  <c:v>6.1608356666947639</c:v>
                </c:pt>
                <c:pt idx="173">
                  <c:v>6.2103607787175008</c:v>
                </c:pt>
                <c:pt idx="174">
                  <c:v>6.2594346148645794</c:v>
                </c:pt>
                <c:pt idx="175">
                  <c:v>6.3080621331767794</c:v>
                </c:pt>
                <c:pt idx="176">
                  <c:v>6.3562481974656269</c:v>
                </c:pt>
                <c:pt idx="177">
                  <c:v>6.4039975797559574</c:v>
                </c:pt>
                <c:pt idx="178">
                  <c:v>6.4513149626535915</c:v>
                </c:pt>
                <c:pt idx="179">
                  <c:v>6.4982049416407905</c:v>
                </c:pt>
                <c:pt idx="180">
                  <c:v>6.5446720273021555</c:v>
                </c:pt>
                <c:pt idx="181">
                  <c:v>6.5907206474833284</c:v>
                </c:pt>
                <c:pt idx="182">
                  <c:v>6.6363551493850306</c:v>
                </c:pt>
                <c:pt idx="183">
                  <c:v>6.6815798015946095</c:v>
                </c:pt>
                <c:pt idx="184">
                  <c:v>6.726398796057298</c:v>
                </c:pt>
                <c:pt idx="185">
                  <c:v>6.7708162499893456</c:v>
                </c:pt>
                <c:pt idx="186">
                  <c:v>6.8148362077349773</c:v>
                </c:pt>
                <c:pt idx="187">
                  <c:v>6.8584626425691191</c:v>
                </c:pt>
                <c:pt idx="188">
                  <c:v>6.9016994584478253</c:v>
                </c:pt>
                <c:pt idx="189">
                  <c:v>6.9445504917080658</c:v>
                </c:pt>
                <c:pt idx="190">
                  <c:v>6.9870195127186907</c:v>
                </c:pt>
                <c:pt idx="191">
                  <c:v>7.0291102274841677</c:v>
                </c:pt>
                <c:pt idx="192">
                  <c:v>7.0708262792027039</c:v>
                </c:pt>
                <c:pt idx="193">
                  <c:v>7.1121712497802223</c:v>
                </c:pt>
                <c:pt idx="194">
                  <c:v>7.153148661301719</c:v>
                </c:pt>
                <c:pt idx="195">
                  <c:v>7.1937619774613637</c:v>
                </c:pt>
                <c:pt idx="196">
                  <c:v>7.2340146049526854</c:v>
                </c:pt>
                <c:pt idx="197">
                  <c:v>7.2739098948201741</c:v>
                </c:pt>
                <c:pt idx="198">
                  <c:v>7.3134511437735625</c:v>
                </c:pt>
                <c:pt idx="199">
                  <c:v>7.3526415954658928</c:v>
                </c:pt>
                <c:pt idx="200">
                  <c:v>7.3914844417366563</c:v>
                </c:pt>
                <c:pt idx="201">
                  <c:v>7.4299828238210441</c:v>
                </c:pt>
                <c:pt idx="202">
                  <c:v>7.4681398335263616</c:v>
                </c:pt>
                <c:pt idx="203">
                  <c:v>7.5059585143767249</c:v>
                </c:pt>
                <c:pt idx="204">
                  <c:v>7.5434418627269437</c:v>
                </c:pt>
                <c:pt idx="205">
                  <c:v>7.5805928288465863</c:v>
                </c:pt>
                <c:pt idx="206">
                  <c:v>7.617414317975185</c:v>
                </c:pt>
                <c:pt idx="207">
                  <c:v>7.6539091913493804</c:v>
                </c:pt>
                <c:pt idx="208">
                  <c:v>7.6900802672029851</c:v>
                </c:pt>
                <c:pt idx="209">
                  <c:v>7.7259303217406474</c:v>
                </c:pt>
                <c:pt idx="210">
                  <c:v>7.761462090086062</c:v>
                </c:pt>
                <c:pt idx="211">
                  <c:v>7.7966782672053832</c:v>
                </c:pt>
                <c:pt idx="212">
                  <c:v>7.8315815088066385</c:v>
                </c:pt>
                <c:pt idx="213">
                  <c:v>7.8661744322158196</c:v>
                </c:pt>
                <c:pt idx="214">
                  <c:v>7.9004596172303954</c:v>
                </c:pt>
                <c:pt idx="215">
                  <c:v>7.9344396069508658</c:v>
                </c:pt>
                <c:pt idx="216">
                  <c:v>7.9681169085910151</c:v>
                </c:pt>
                <c:pt idx="217">
                  <c:v>8.0014939942674701</c:v>
                </c:pt>
                <c:pt idx="218">
                  <c:v>8.0345733017692069</c:v>
                </c:pt>
                <c:pt idx="219">
                  <c:v>8.0673572353075365</c:v>
                </c:pt>
                <c:pt idx="220">
                  <c:v>8.0998481662471438</c:v>
                </c:pt>
                <c:pt idx="221">
                  <c:v>8.132048433818742</c:v>
                </c:pt>
                <c:pt idx="222">
                  <c:v>8.163960345813825</c:v>
                </c:pt>
                <c:pt idx="223">
                  <c:v>8.1955861792620492</c:v>
                </c:pt>
                <c:pt idx="224">
                  <c:v>8.2269281810917541</c:v>
                </c:pt>
                <c:pt idx="225">
                  <c:v>8.2579885687740102</c:v>
                </c:pt>
                <c:pt idx="226">
                  <c:v>8.5535716615054511</c:v>
                </c:pt>
                <c:pt idx="227">
                  <c:v>8.8232361598667488</c:v>
                </c:pt>
                <c:pt idx="228">
                  <c:v>9.0687988615053463</c:v>
                </c:pt>
                <c:pt idx="229">
                  <c:v>9.2918885353834586</c:v>
                </c:pt>
                <c:pt idx="230">
                  <c:v>9.4939793186988837</c:v>
                </c:pt>
                <c:pt idx="231">
                  <c:v>9.6764170637961939</c:v>
                </c:pt>
                <c:pt idx="232">
                  <c:v>9.8404401469609244</c:v>
                </c:pt>
                <c:pt idx="233">
                  <c:v>9.9871959001096862</c:v>
                </c:pt>
                <c:pt idx="234">
                  <c:v>10.117753570591217</c:v>
                </c:pt>
                <c:pt idx="235">
                  <c:v>10.233114524371912</c:v>
                </c:pt>
                <c:pt idx="236">
                  <c:v>10.334220264034148</c:v>
                </c:pt>
                <c:pt idx="237">
                  <c:v>10.421958721830327</c:v>
                </c:pt>
                <c:pt idx="238">
                  <c:v>10.497169200343997</c:v>
                </c:pt>
                <c:pt idx="239">
                  <c:v>10.560646262850732</c:v>
                </c:pt>
                <c:pt idx="240">
                  <c:v>10.613142817962579</c:v>
                </c:pt>
                <c:pt idx="241">
                  <c:v>10.655372595640213</c:v>
                </c:pt>
                <c:pt idx="242">
                  <c:v>10.688012172128944</c:v>
                </c:pt>
                <c:pt idx="243">
                  <c:v>10.711702668378631</c:v>
                </c:pt>
                <c:pt idx="244">
                  <c:v>10.727051218994166</c:v>
                </c:pt>
                <c:pt idx="245">
                  <c:v>10.734632285933124</c:v>
                </c:pt>
                <c:pt idx="246">
                  <c:v>10.734988872378606</c:v>
                </c:pt>
                <c:pt idx="247">
                  <c:v>10.728633676927309</c:v>
                </c:pt>
                <c:pt idx="248">
                  <c:v>10.716050215969638</c:v>
                </c:pt>
                <c:pt idx="249">
                  <c:v>10.69769393247288</c:v>
                </c:pt>
                <c:pt idx="250">
                  <c:v>10.673993301919303</c:v>
                </c:pt>
                <c:pt idx="251">
                  <c:v>10.645350940544223</c:v>
                </c:pt>
                <c:pt idx="252">
                  <c:v>10.612144716942844</c:v>
                </c:pt>
                <c:pt idx="253">
                  <c:v>10.574728865282381</c:v>
                </c:pt>
                <c:pt idx="254">
                  <c:v>10.533435096515088</c:v>
                </c:pt>
                <c:pt idx="255">
                  <c:v>10.48857370291984</c:v>
                </c:pt>
                <c:pt idx="256">
                  <c:v>10.440434650819018</c:v>
                </c:pt>
                <c:pt idx="257">
                  <c:v>10.389288656268633</c:v>
                </c:pt>
                <c:pt idx="258">
                  <c:v>10.335388238775645</c:v>
                </c:pt>
                <c:pt idx="259">
                  <c:v>10.278968748555418</c:v>
                </c:pt>
                <c:pt idx="260">
                  <c:v>10.220249363424578</c:v>
                </c:pt>
                <c:pt idx="261">
                  <c:v>10.159434052068255</c:v>
                </c:pt>
                <c:pt idx="262">
                  <c:v>10.096712501080871</c:v>
                </c:pt>
                <c:pt idx="263">
                  <c:v>10.032261003823448</c:v>
                </c:pt>
                <c:pt idx="264">
                  <c:v>9.9662433097452521</c:v>
                </c:pt>
                <c:pt idx="265">
                  <c:v>9.8988114333699979</c:v>
                </c:pt>
                <c:pt idx="266">
                  <c:v>9.8301064226381598</c:v>
                </c:pt>
                <c:pt idx="267">
                  <c:v>9.7602590867245169</c:v>
                </c:pt>
                <c:pt idx="268">
                  <c:v>9.6893906838141781</c:v>
                </c:pt>
                <c:pt idx="269">
                  <c:v>9.6176135696228062</c:v>
                </c:pt>
                <c:pt idx="270">
                  <c:v>9.5450318076930944</c:v>
                </c:pt>
                <c:pt idx="271">
                  <c:v>9.4717417426930517</c:v>
                </c:pt>
                <c:pt idx="272">
                  <c:v>9.3978325380896699</c:v>
                </c:pt>
                <c:pt idx="273">
                  <c:v>9.3233866796782667</c:v>
                </c:pt>
                <c:pt idx="274">
                  <c:v>9.2484804465194177</c:v>
                </c:pt>
                <c:pt idx="275">
                  <c:v>9.1731843508772393</c:v>
                </c:pt>
                <c:pt idx="276">
                  <c:v>9.0975635487690436</c:v>
                </c:pt>
                <c:pt idx="277">
                  <c:v>9.0216782227322785</c:v>
                </c:pt>
                <c:pt idx="278">
                  <c:v>8.9455839383932503</c:v>
                </c:pt>
                <c:pt idx="279">
                  <c:v>8.8693319763876186</c:v>
                </c:pt>
                <c:pt idx="280">
                  <c:v>8.7929696411374163</c:v>
                </c:pt>
                <c:pt idx="281">
                  <c:v>8.7165405479363098</c:v>
                </c:pt>
                <c:pt idx="282">
                  <c:v>8.640084889736201</c:v>
                </c:pt>
                <c:pt idx="283">
                  <c:v>8.5636396849653895</c:v>
                </c:pt>
                <c:pt idx="284">
                  <c:v>8.4872390076439146</c:v>
                </c:pt>
                <c:pt idx="285">
                  <c:v>8.4109142009951778</c:v>
                </c:pt>
                <c:pt idx="286">
                  <c:v>8.3346940756872545</c:v>
                </c:pt>
                <c:pt idx="287">
                  <c:v>8.2586050937714557</c:v>
                </c:pt>
                <c:pt idx="288">
                  <c:v>8.1826715393218858</c:v>
                </c:pt>
                <c:pt idx="289">
                  <c:v>8.1069156767174171</c:v>
                </c:pt>
                <c:pt idx="290">
                  <c:v>8.0313578974474495</c:v>
                </c:pt>
                <c:pt idx="291">
                  <c:v>7.9560168562652533</c:v>
                </c:pt>
                <c:pt idx="292">
                  <c:v>7.8809095974578831</c:v>
                </c:pt>
                <c:pt idx="293">
                  <c:v>7.8060516719492012</c:v>
                </c:pt>
                <c:pt idx="294">
                  <c:v>7.7314572459034174</c:v>
                </c:pt>
                <c:pt idx="295">
                  <c:v>7.6571392014496817</c:v>
                </c:pt>
                <c:pt idx="296">
                  <c:v>7.5831092301046557</c:v>
                </c:pt>
                <c:pt idx="297">
                  <c:v>7.5093779194284593</c:v>
                </c:pt>
                <c:pt idx="298">
                  <c:v>7.4359548334111389</c:v>
                </c:pt>
                <c:pt idx="299">
                  <c:v>7.3628485870505891</c:v>
                </c:pt>
                <c:pt idx="300">
                  <c:v>7.2900669155491729</c:v>
                </c:pt>
                <c:pt idx="301">
                  <c:v>7.217616738524959</c:v>
                </c:pt>
                <c:pt idx="302">
                  <c:v>7.1455042196043683</c:v>
                </c:pt>
                <c:pt idx="303">
                  <c:v>7.0737348217356724</c:v>
                </c:pt>
                <c:pt idx="304">
                  <c:v>7.0023133585378163</c:v>
                </c:pt>
                <c:pt idx="305">
                  <c:v>6.9312440419754529</c:v>
                </c:pt>
                <c:pt idx="306">
                  <c:v>6.8605305266294838</c:v>
                </c:pt>
                <c:pt idx="307">
                  <c:v>6.7901759508122108</c:v>
                </c:pt>
                <c:pt idx="308">
                  <c:v>6.7201829747576749</c:v>
                </c:pt>
                <c:pt idx="309">
                  <c:v>6.6505538161004623</c:v>
                </c:pt>
                <c:pt idx="310">
                  <c:v>6.5812902828402864</c:v>
                </c:pt>
                <c:pt idx="311">
                  <c:v>6.5123938039749705</c:v>
                </c:pt>
                <c:pt idx="312">
                  <c:v>6.4438654579707126</c:v>
                </c:pt>
                <c:pt idx="313">
                  <c:v>6.3757059992260876</c:v>
                </c:pt>
                <c:pt idx="314">
                  <c:v>6.3079158826742709</c:v>
                </c:pt>
                <c:pt idx="315">
                  <c:v>6.2404952866575494</c:v>
                </c:pt>
                <c:pt idx="316">
                  <c:v>6.1734441341979576</c:v>
                </c:pt>
                <c:pt idx="317">
                  <c:v>6.1067621127788119</c:v>
                </c:pt>
                <c:pt idx="318">
                  <c:v>6.0404486927434196</c:v>
                </c:pt>
                <c:pt idx="319">
                  <c:v>5.9745031444092476</c:v>
                </c:pt>
                <c:pt idx="320">
                  <c:v>5.9089245539887845</c:v>
                </c:pt>
                <c:pt idx="321">
                  <c:v>5.8437118384014735</c:v>
                </c:pt>
                <c:pt idx="322">
                  <c:v>5.7788637590549232</c:v>
                </c:pt>
                <c:pt idx="323">
                  <c:v>5.7143789346679803</c:v>
                </c:pt>
                <c:pt idx="324">
                  <c:v>5.6502558532027223</c:v>
                </c:pt>
                <c:pt idx="325">
                  <c:v>5.5864928829678773</c:v>
                </c:pt>
                <c:pt idx="326">
                  <c:v>5.5230882829512806</c:v>
                </c:pt>
                <c:pt idx="327">
                  <c:v>5.4600402124350929</c:v>
                </c:pt>
                <c:pt idx="328">
                  <c:v>5.3973467399435044</c:v>
                </c:pt>
                <c:pt idx="329">
                  <c:v>5.3350058515690346</c:v>
                </c:pt>
                <c:pt idx="330">
                  <c:v>5.2730154587203391</c:v>
                </c:pt>
                <c:pt idx="331">
                  <c:v>5.2113734053312868</c:v>
                </c:pt>
                <c:pt idx="332">
                  <c:v>5.1500774745682563</c:v>
                </c:pt>
                <c:pt idx="333">
                  <c:v>5.0891253950700177</c:v>
                </c:pt>
                <c:pt idx="334">
                  <c:v>5.0285148467520502</c:v>
                </c:pt>
                <c:pt idx="335">
                  <c:v>4.9682434662049797</c:v>
                </c:pt>
                <c:pt idx="336">
                  <c:v>4.9083088517146765</c:v>
                </c:pt>
                <c:pt idx="337">
                  <c:v>4.8487085679296964</c:v>
                </c:pt>
                <c:pt idx="338">
                  <c:v>4.7894401501998161</c:v>
                </c:pt>
                <c:pt idx="339">
                  <c:v>4.730501108607946</c:v>
                </c:pt>
                <c:pt idx="340">
                  <c:v>4.6718889317159906</c:v>
                </c:pt>
                <c:pt idx="341">
                  <c:v>4.6136010900438782</c:v>
                </c:pt>
                <c:pt idx="342">
                  <c:v>4.5556350392997222</c:v>
                </c:pt>
                <c:pt idx="343">
                  <c:v>4.4979882233776198</c:v>
                </c:pt>
                <c:pt idx="344">
                  <c:v>4.4406580771388224</c:v>
                </c:pt>
                <c:pt idx="345">
                  <c:v>4.3836420289905265</c:v>
                </c:pt>
                <c:pt idx="346">
                  <c:v>4.326937503275861</c:v>
                </c:pt>
                <c:pt idx="347">
                  <c:v>4.2705419224876877</c:v>
                </c:pt>
                <c:pt idx="348">
                  <c:v>4.2144527093177553</c:v>
                </c:pt>
                <c:pt idx="349">
                  <c:v>4.1586672885523468</c:v>
                </c:pt>
                <c:pt idx="350">
                  <c:v>4.1031830888243768</c:v>
                </c:pt>
                <c:pt idx="351">
                  <c:v>4.047997544231662</c:v>
                </c:pt>
                <c:pt idx="352">
                  <c:v>3.9931080958300336</c:v>
                </c:pt>
                <c:pt idx="353">
                  <c:v>3.9385121930097649</c:v>
                </c:pt>
                <c:pt idx="354">
                  <c:v>3.8842072947628452</c:v>
                </c:pt>
                <c:pt idx="355">
                  <c:v>3.8301908708484964</c:v>
                </c:pt>
                <c:pt idx="356">
                  <c:v>3.7764604028635231</c:v>
                </c:pt>
                <c:pt idx="357">
                  <c:v>3.7230133852239033</c:v>
                </c:pt>
                <c:pt idx="358">
                  <c:v>3.6698473260634286</c:v>
                </c:pt>
                <c:pt idx="359">
                  <c:v>3.6169597480549287</c:v>
                </c:pt>
                <c:pt idx="360">
                  <c:v>3.5643481891591726</c:v>
                </c:pt>
                <c:pt idx="361">
                  <c:v>3.512010203306311</c:v>
                </c:pt>
                <c:pt idx="362">
                  <c:v>3.4599433610143309</c:v>
                </c:pt>
                <c:pt idx="363">
                  <c:v>3.4081452499486291</c:v>
                </c:pt>
                <c:pt idx="364">
                  <c:v>3.3566134754267676</c:v>
                </c:pt>
                <c:pt idx="365">
                  <c:v>3.3053456608720038</c:v>
                </c:pt>
                <c:pt idx="366">
                  <c:v>3.2543394482190373</c:v>
                </c:pt>
                <c:pt idx="367">
                  <c:v>3.2035924982751891</c:v>
                </c:pt>
                <c:pt idx="368">
                  <c:v>3.1531024910400349</c:v>
                </c:pt>
                <c:pt idx="369">
                  <c:v>3.1028671259862906</c:v>
                </c:pt>
                <c:pt idx="370">
                  <c:v>3.0528841223045755</c:v>
                </c:pt>
                <c:pt idx="371">
                  <c:v>3.0031512191145495</c:v>
                </c:pt>
                <c:pt idx="372">
                  <c:v>2.9536661756447002</c:v>
                </c:pt>
                <c:pt idx="373">
                  <c:v>2.9044267713829504</c:v>
                </c:pt>
                <c:pt idx="374">
                  <c:v>2.8554308062001215</c:v>
                </c:pt>
                <c:pt idx="375">
                  <c:v>2.8066761004481018</c:v>
                </c:pt>
                <c:pt idx="376">
                  <c:v>2.7581604950345717</c:v>
                </c:pt>
                <c:pt idx="377">
                  <c:v>2.7098818514758771</c:v>
                </c:pt>
                <c:pt idx="378">
                  <c:v>2.661838051929601</c:v>
                </c:pt>
                <c:pt idx="379">
                  <c:v>2.6140269992083787</c:v>
                </c:pt>
                <c:pt idx="380">
                  <c:v>2.5664466167761981</c:v>
                </c:pt>
                <c:pt idx="381">
                  <c:v>2.5190948487285665</c:v>
                </c:pt>
                <c:pt idx="382">
                  <c:v>2.4719696597576815</c:v>
                </c:pt>
                <c:pt idx="383">
                  <c:v>2.4250690351037281</c:v>
                </c:pt>
                <c:pt idx="384">
                  <c:v>2.378390980493382</c:v>
                </c:pt>
                <c:pt idx="385">
                  <c:v>2.3319335220665094</c:v>
                </c:pt>
                <c:pt idx="386">
                  <c:v>2.2856947062919017</c:v>
                </c:pt>
                <c:pt idx="387">
                  <c:v>2.2396725998730069</c:v>
                </c:pt>
                <c:pt idx="388">
                  <c:v>2.1938652896444348</c:v>
                </c:pt>
                <c:pt idx="389">
                  <c:v>2.1482708824599253</c:v>
                </c:pt>
                <c:pt idx="390">
                  <c:v>2.1028875050725975</c:v>
                </c:pt>
                <c:pt idx="391">
                  <c:v>2.0577133040080557</c:v>
                </c:pt>
                <c:pt idx="392">
                  <c:v>2.0127464454310267</c:v>
                </c:pt>
                <c:pt idx="393">
                  <c:v>1.9679851150060439</c:v>
                </c:pt>
                <c:pt idx="394">
                  <c:v>1.923427517752816</c:v>
                </c:pt>
                <c:pt idx="395">
                  <c:v>1.8790718778967039</c:v>
                </c:pt>
                <c:pt idx="396">
                  <c:v>1.8349164387147776</c:v>
                </c:pt>
                <c:pt idx="397">
                  <c:v>1.7909594623780303</c:v>
                </c:pt>
                <c:pt idx="398">
                  <c:v>1.747199229789949</c:v>
                </c:pt>
                <c:pt idx="399">
                  <c:v>1.7036340404220272</c:v>
                </c:pt>
                <c:pt idx="400">
                  <c:v>1.6602622121464807</c:v>
                </c:pt>
                <c:pt idx="401">
                  <c:v>1.617082081066519</c:v>
                </c:pt>
                <c:pt idx="402">
                  <c:v>1.5740920013444815</c:v>
                </c:pt>
                <c:pt idx="403">
                  <c:v>1.5312903450282076</c:v>
                </c:pt>
                <c:pt idx="404">
                  <c:v>1.4886755018757933</c:v>
                </c:pt>
                <c:pt idx="405">
                  <c:v>1.446245879179092</c:v>
                </c:pt>
                <c:pt idx="406">
                  <c:v>1.4039999015861515</c:v>
                </c:pt>
                <c:pt idx="407">
                  <c:v>1.3619360109228382</c:v>
                </c:pt>
                <c:pt idx="408">
                  <c:v>1.3200526660138099</c:v>
                </c:pt>
                <c:pt idx="409">
                  <c:v>1.2783483425031155</c:v>
                </c:pt>
                <c:pt idx="410">
                  <c:v>1.2368215326744634</c:v>
                </c:pt>
                <c:pt idx="411">
                  <c:v>1.1954707452715383</c:v>
                </c:pt>
                <c:pt idx="412">
                  <c:v>1.1542945053182403</c:v>
                </c:pt>
                <c:pt idx="413">
                  <c:v>1.1132913539392713</c:v>
                </c:pt>
                <c:pt idx="414">
                  <c:v>1.0724598481810361</c:v>
                </c:pt>
                <c:pt idx="415">
                  <c:v>1.0317985608329741</c:v>
                </c:pt>
                <c:pt idx="416">
                  <c:v>0.99130608024958333</c:v>
                </c:pt>
                <c:pt idx="417">
                  <c:v>0.95098101017302739</c:v>
                </c:pt>
                <c:pt idx="418">
                  <c:v>0.91082196955663686</c:v>
                </c:pt>
                <c:pt idx="419">
                  <c:v>0.87082759238925955</c:v>
                </c:pt>
                <c:pt idx="420">
                  <c:v>0.8309965275205744</c:v>
                </c:pt>
                <c:pt idx="421">
                  <c:v>0.79132743848744747</c:v>
                </c:pt>
                <c:pt idx="422">
                  <c:v>0.75181900334143859</c:v>
                </c:pt>
                <c:pt idx="423">
                  <c:v>0.71246991447744989</c:v>
                </c:pt>
                <c:pt idx="424">
                  <c:v>0.67327887846366508</c:v>
                </c:pt>
                <c:pt idx="425">
                  <c:v>0.63424461587267944</c:v>
                </c:pt>
                <c:pt idx="426">
                  <c:v>0.59536586111411116</c:v>
                </c:pt>
                <c:pt idx="427">
                  <c:v>0.55664136226847716</c:v>
                </c:pt>
                <c:pt idx="428">
                  <c:v>0.51806988092253969</c:v>
                </c:pt>
                <c:pt idx="429">
                  <c:v>0.47965019200615572</c:v>
                </c:pt>
                <c:pt idx="430">
                  <c:v>0.44138108363050316</c:v>
                </c:pt>
                <c:pt idx="431">
                  <c:v>0.40326135692795484</c:v>
                </c:pt>
                <c:pt idx="432">
                  <c:v>0.36528982589340847</c:v>
                </c:pt>
                <c:pt idx="433">
                  <c:v>0.32746531722721561</c:v>
                </c:pt>
                <c:pt idx="434">
                  <c:v>0.28978667017968873</c:v>
                </c:pt>
                <c:pt idx="435">
                  <c:v>0.25225273639721901</c:v>
                </c:pt>
                <c:pt idx="436">
                  <c:v>0.214862379769997</c:v>
                </c:pt>
                <c:pt idx="437">
                  <c:v>0.17761447628134727</c:v>
                </c:pt>
                <c:pt idx="438">
                  <c:v>0.14050791385873546</c:v>
                </c:pt>
                <c:pt idx="439">
                  <c:v>0.10354159222637659</c:v>
                </c:pt>
                <c:pt idx="440">
                  <c:v>6.6714422759523551E-2</c:v>
                </c:pt>
                <c:pt idx="441">
                  <c:v>3.0025328340373393E-2</c:v>
                </c:pt>
                <c:pt idx="442">
                  <c:v>-6.5267567843441546E-3</c:v>
                </c:pt>
                <c:pt idx="443">
                  <c:v>-4.2942887144147353E-2</c:v>
                </c:pt>
                <c:pt idx="444">
                  <c:v>-7.9224106183911194E-2</c:v>
                </c:pt>
                <c:pt idx="445">
                  <c:v>-0.11537144640136751</c:v>
                </c:pt>
                <c:pt idx="446">
                  <c:v>-0.15138592948289087</c:v>
                </c:pt>
                <c:pt idx="447">
                  <c:v>-0.1872685664377351</c:v>
                </c:pt>
                <c:pt idx="448">
                  <c:v>-0.22302035773055148</c:v>
                </c:pt>
                <c:pt idx="449">
                  <c:v>-0.25864229341233563</c:v>
                </c:pt>
                <c:pt idx="450">
                  <c:v>-0.29413535324973794</c:v>
                </c:pt>
                <c:pt idx="451">
                  <c:v>-0.32950050685275573</c:v>
                </c:pt>
                <c:pt idx="452">
                  <c:v>-0.36473871380083456</c:v>
                </c:pt>
                <c:pt idx="453">
                  <c:v>-0.39985092376738496</c:v>
                </c:pt>
                <c:pt idx="454">
                  <c:v>-0.43483807664270963</c:v>
                </c:pt>
                <c:pt idx="455">
                  <c:v>-0.46970110265536924</c:v>
                </c:pt>
                <c:pt idx="456">
                  <c:v>-0.50444092249197237</c:v>
                </c:pt>
                <c:pt idx="457">
                  <c:v>-0.5390584474154787</c:v>
                </c:pt>
                <c:pt idx="458">
                  <c:v>-0.57355457938188603</c:v>
                </c:pt>
                <c:pt idx="459">
                  <c:v>-0.60793021115547652</c:v>
                </c:pt>
                <c:pt idx="460">
                  <c:v>-0.64218622642252288</c:v>
                </c:pt>
                <c:pt idx="461">
                  <c:v>-0.67632349990351881</c:v>
                </c:pt>
                <c:pt idx="462">
                  <c:v>-0.71034289746389934</c:v>
                </c:pt>
                <c:pt idx="463">
                  <c:v>-0.74424527622339243</c:v>
                </c:pt>
                <c:pt idx="464">
                  <c:v>-0.77803148466378502</c:v>
                </c:pt>
                <c:pt idx="465">
                  <c:v>-0.81170236273539642</c:v>
                </c:pt>
                <c:pt idx="466">
                  <c:v>-0.84525874196205875</c:v>
                </c:pt>
                <c:pt idx="467">
                  <c:v>-0.87870144554469887</c:v>
                </c:pt>
                <c:pt idx="468">
                  <c:v>-0.91203128846357173</c:v>
                </c:pt>
                <c:pt idx="469">
                  <c:v>-0.9452490775791017</c:v>
                </c:pt>
                <c:pt idx="470">
                  <c:v>-0.97835561173137497</c:v>
                </c:pt>
                <c:pt idx="471">
                  <c:v>-1.0113516818382913</c:v>
                </c:pt>
                <c:pt idx="472">
                  <c:v>-1.0442380709923929</c:v>
                </c:pt>
                <c:pt idx="473">
                  <c:v>-1.077015554556404</c:v>
                </c:pt>
                <c:pt idx="474">
                  <c:v>-1.1096849002574507</c:v>
                </c:pt>
                <c:pt idx="475">
                  <c:v>-1.1422468682800533</c:v>
                </c:pt>
                <c:pt idx="476">
                  <c:v>-1.174702211357789</c:v>
                </c:pt>
                <c:pt idx="477">
                  <c:v>-1.2070516748637756</c:v>
                </c:pt>
                <c:pt idx="478">
                  <c:v>-1.239295996899922</c:v>
                </c:pt>
                <c:pt idx="479">
                  <c:v>-1.2714359083849063</c:v>
                </c:pt>
                <c:pt idx="480">
                  <c:v>-1.3034721331410521</c:v>
                </c:pt>
                <c:pt idx="481">
                  <c:v>-1.3354053879799332</c:v>
                </c:pt>
                <c:pt idx="482">
                  <c:v>-1.3672363827868785</c:v>
                </c:pt>
                <c:pt idx="483">
                  <c:v>-1.3989658206042956</c:v>
                </c:pt>
                <c:pt idx="484">
                  <c:v>-1.4305943977138511</c:v>
                </c:pt>
                <c:pt idx="485">
                  <c:v>-1.4621228037175764</c:v>
                </c:pt>
                <c:pt idx="486">
                  <c:v>-1.4935517216178353</c:v>
                </c:pt>
                <c:pt idx="487">
                  <c:v>-1.5248818278961789</c:v>
                </c:pt>
                <c:pt idx="488">
                  <c:v>-1.5561137925911788</c:v>
                </c:pt>
                <c:pt idx="489">
                  <c:v>-1.5872482793751719</c:v>
                </c:pt>
                <c:pt idx="490">
                  <c:v>-1.6182859456299652</c:v>
                </c:pt>
                <c:pt idx="491">
                  <c:v>-1.6492274425214857</c:v>
                </c:pt>
                <c:pt idx="492">
                  <c:v>-1.6800734150734757</c:v>
                </c:pt>
                <c:pt idx="493">
                  <c:v>-1.7108245022400967</c:v>
                </c:pt>
                <c:pt idx="494">
                  <c:v>-1.7414813369776398</c:v>
                </c:pt>
                <c:pt idx="495">
                  <c:v>-1.7720445463151746</c:v>
                </c:pt>
                <c:pt idx="496">
                  <c:v>-1.8025147514242945</c:v>
                </c:pt>
                <c:pt idx="497">
                  <c:v>-1.8328925676879044</c:v>
                </c:pt>
                <c:pt idx="498">
                  <c:v>-1.8631786047680476</c:v>
                </c:pt>
                <c:pt idx="499">
                  <c:v>-1.8933734666728397</c:v>
                </c:pt>
                <c:pt idx="500">
                  <c:v>-1.923477751822475</c:v>
                </c:pt>
                <c:pt idx="501">
                  <c:v>-1.9534920531143745</c:v>
                </c:pt>
                <c:pt idx="502">
                  <c:v>-1.9834169579873773</c:v>
                </c:pt>
                <c:pt idx="503">
                  <c:v>-2.0132530484851654</c:v>
                </c:pt>
                <c:pt idx="504">
                  <c:v>-2.0430009013187251</c:v>
                </c:pt>
                <c:pt idx="505">
                  <c:v>-2.0726610879280578</c:v>
                </c:pt>
                <c:pt idx="506">
                  <c:v>-2.1022341745429705</c:v>
                </c:pt>
                <c:pt idx="507">
                  <c:v>-2.1317207222431285</c:v>
                </c:pt>
                <c:pt idx="508">
                  <c:v>-2.1611212870172385</c:v>
                </c:pt>
                <c:pt idx="509">
                  <c:v>-2.1904364198214537</c:v>
                </c:pt>
                <c:pt idx="510">
                  <c:v>-2.2196666666370168</c:v>
                </c:pt>
                <c:pt idx="511">
                  <c:v>-2.2488125685270868</c:v>
                </c:pt>
                <c:pt idx="512">
                  <c:v>-2.2778746616928331</c:v>
                </c:pt>
                <c:pt idx="513">
                  <c:v>-2.3068534775287546</c:v>
                </c:pt>
                <c:pt idx="514">
                  <c:v>-2.3357495426773136</c:v>
                </c:pt>
                <c:pt idx="515">
                  <c:v>-2.3645633790827314</c:v>
                </c:pt>
                <c:pt idx="516">
                  <c:v>-2.3932955040442057</c:v>
                </c:pt>
                <c:pt idx="517">
                  <c:v>-2.4219464302682669</c:v>
                </c:pt>
                <c:pt idx="518">
                  <c:v>-2.4505166659205662</c:v>
                </c:pt>
                <c:pt idx="519">
                  <c:v>-2.4790067146769199</c:v>
                </c:pt>
                <c:pt idx="520">
                  <c:v>-2.5074170757736356</c:v>
                </c:pt>
                <c:pt idx="521">
                  <c:v>-2.5357482440572685</c:v>
                </c:pt>
                <c:pt idx="522">
                  <c:v>-2.5640007100336049</c:v>
                </c:pt>
                <c:pt idx="523">
                  <c:v>-2.592174959916095</c:v>
                </c:pt>
                <c:pt idx="524">
                  <c:v>-2.620271475673579</c:v>
                </c:pt>
                <c:pt idx="525">
                  <c:v>-2.6482907350774192</c:v>
                </c:pt>
                <c:pt idx="526">
                  <c:v>-2.6762332117480119</c:v>
                </c:pt>
                <c:pt idx="527">
                  <c:v>-2.7040993752006406</c:v>
                </c:pt>
                <c:pt idx="528">
                  <c:v>-2.7318896908907906</c:v>
                </c:pt>
                <c:pt idx="529">
                  <c:v>-2.7596046202588309</c:v>
                </c:pt>
                <c:pt idx="530">
                  <c:v>-2.7872446207741133</c:v>
                </c:pt>
                <c:pt idx="531">
                  <c:v>-2.8148101459785053</c:v>
                </c:pt>
                <c:pt idx="532">
                  <c:v>-2.8423016455293419</c:v>
                </c:pt>
                <c:pt idx="533">
                  <c:v>-2.8697195652418395</c:v>
                </c:pt>
                <c:pt idx="534">
                  <c:v>-2.8970643471309159</c:v>
                </c:pt>
                <c:pt idx="535">
                  <c:v>-2.9243364294525307</c:v>
                </c:pt>
                <c:pt idx="536">
                  <c:v>-2.9515362467444053</c:v>
                </c:pt>
                <c:pt idx="537">
                  <c:v>-2.9786642298663022</c:v>
                </c:pt>
                <c:pt idx="538">
                  <c:v>-3.0057208060397005</c:v>
                </c:pt>
                <c:pt idx="539">
                  <c:v>-3.0327063988870488</c:v>
                </c:pt>
                <c:pt idx="540">
                  <c:v>-3.0596214284704111</c:v>
                </c:pt>
                <c:pt idx="541">
                  <c:v>-3.0864663113297128</c:v>
                </c:pt>
                <c:pt idx="542">
                  <c:v>-3.1132414605204057</c:v>
                </c:pt>
                <c:pt idx="543">
                  <c:v>-3.1399472856507331</c:v>
                </c:pt>
                <c:pt idx="544">
                  <c:v>-3.1665841929184508</c:v>
                </c:pt>
                <c:pt idx="545">
                  <c:v>-3.1931525851471063</c:v>
                </c:pt>
                <c:pt idx="546">
                  <c:v>-3.2196528618218681</c:v>
                </c:pt>
                <c:pt idx="547">
                  <c:v>-3.2460854191248711</c:v>
                </c:pt>
                <c:pt idx="548">
                  <c:v>-3.2724506499701222</c:v>
                </c:pt>
                <c:pt idx="549">
                  <c:v>-3.2987489440379729</c:v>
                </c:pt>
                <c:pt idx="550">
                  <c:v>-3.3249806878091426</c:v>
                </c:pt>
                <c:pt idx="551">
                  <c:v>-3.3511462645983232</c:v>
                </c:pt>
                <c:pt idx="552">
                  <c:v>-3.377246054587328</c:v>
                </c:pt>
                <c:pt idx="553">
                  <c:v>-3.4032804348578654</c:v>
                </c:pt>
                <c:pt idx="554">
                  <c:v>-3.4292497794238832</c:v>
                </c:pt>
                <c:pt idx="555">
                  <c:v>-3.4551544592634813</c:v>
                </c:pt>
                <c:pt idx="556">
                  <c:v>-3.4809948423504715</c:v>
                </c:pt>
                <c:pt idx="557">
                  <c:v>-3.5067712936854942</c:v>
                </c:pt>
                <c:pt idx="558">
                  <c:v>-3.5324841753267764</c:v>
                </c:pt>
                <c:pt idx="559">
                  <c:v>-3.5581338464205094</c:v>
                </c:pt>
                <c:pt idx="560">
                  <c:v>-3.5837206632308045</c:v>
                </c:pt>
                <c:pt idx="561">
                  <c:v>-3.6092449791693419</c:v>
                </c:pt>
                <c:pt idx="562">
                  <c:v>-3.6347071448246053</c:v>
                </c:pt>
                <c:pt idx="563">
                  <c:v>-3.6601075079907615</c:v>
                </c:pt>
                <c:pt idx="564">
                  <c:v>-3.6854464136961851</c:v>
                </c:pt>
                <c:pt idx="565">
                  <c:v>-3.7107242042316391</c:v>
                </c:pt>
                <c:pt idx="566">
                  <c:v>-3.7359412191781165</c:v>
                </c:pt>
                <c:pt idx="567">
                  <c:v>-3.7610977954342983</c:v>
                </c:pt>
                <c:pt idx="568">
                  <c:v>-3.7861942672437241</c:v>
                </c:pt>
                <c:pt idx="569">
                  <c:v>-3.8112309662216042</c:v>
                </c:pt>
                <c:pt idx="570">
                  <c:v>-3.836208221381292</c:v>
                </c:pt>
                <c:pt idx="571">
                  <c:v>-3.8611263591604676</c:v>
                </c:pt>
                <c:pt idx="572">
                  <c:v>-3.8859857034469747</c:v>
                </c:pt>
                <c:pt idx="573">
                  <c:v>-3.9107865756043605</c:v>
                </c:pt>
                <c:pt idx="574">
                  <c:v>-3.9355292944970759</c:v>
                </c:pt>
                <c:pt idx="575">
                  <c:v>-3.9602141765154202</c:v>
                </c:pt>
                <c:pt idx="576">
                  <c:v>-3.9848415356001325</c:v>
                </c:pt>
                <c:pt idx="577">
                  <c:v>-4.0094116832667179</c:v>
                </c:pt>
                <c:pt idx="578">
                  <c:v>-4.0339249286294736</c:v>
                </c:pt>
                <c:pt idx="579">
                  <c:v>-4.058381578425224</c:v>
                </c:pt>
                <c:pt idx="580">
                  <c:v>-4.0827819370367706</c:v>
                </c:pt>
                <c:pt idx="581">
                  <c:v>-4.1071263065160561</c:v>
                </c:pt>
                <c:pt idx="582">
                  <c:v>-4.1314149866070684</c:v>
                </c:pt>
                <c:pt idx="583">
                  <c:v>-4.1556482747684527</c:v>
                </c:pt>
                <c:pt idx="584">
                  <c:v>-4.1798264661958635</c:v>
                </c:pt>
                <c:pt idx="585">
                  <c:v>-4.203949853844045</c:v>
                </c:pt>
                <c:pt idx="586">
                  <c:v>-4.2280187284486646</c:v>
                </c:pt>
                <c:pt idx="587">
                  <c:v>-4.2520333785478588</c:v>
                </c:pt>
                <c:pt idx="588">
                  <c:v>-4.2759940905035645</c:v>
                </c:pt>
                <c:pt idx="589">
                  <c:v>-4.2999011485225589</c:v>
                </c:pt>
                <c:pt idx="590">
                  <c:v>-4.3237548346772865</c:v>
                </c:pt>
                <c:pt idx="591">
                  <c:v>-4.3475554289263876</c:v>
                </c:pt>
                <c:pt idx="592">
                  <c:v>-4.371303209135073</c:v>
                </c:pt>
                <c:pt idx="593">
                  <c:v>-4.3949984510951792</c:v>
                </c:pt>
                <c:pt idx="594">
                  <c:v>-4.4186414285450146</c:v>
                </c:pt>
                <c:pt idx="595">
                  <c:v>-4.4422324131890063</c:v>
                </c:pt>
                <c:pt idx="596">
                  <c:v>-4.465771674717061</c:v>
                </c:pt>
                <c:pt idx="597">
                  <c:v>-4.4892594808237511</c:v>
                </c:pt>
                <c:pt idx="598">
                  <c:v>-4.5126960972272547</c:v>
                </c:pt>
                <c:pt idx="599">
                  <c:v>-4.5360817876880786</c:v>
                </c:pt>
                <c:pt idx="600">
                  <c:v>-4.5594168140275562</c:v>
                </c:pt>
                <c:pt idx="601">
                  <c:v>-4.5827014361461611</c:v>
                </c:pt>
                <c:pt idx="602">
                  <c:v>-4.6059359120415886</c:v>
                </c:pt>
                <c:pt idx="603">
                  <c:v>-4.6291204978266078</c:v>
                </c:pt>
                <c:pt idx="604">
                  <c:v>-4.6522554477467724</c:v>
                </c:pt>
                <c:pt idx="605">
                  <c:v>-4.6753410141978522</c:v>
                </c:pt>
                <c:pt idx="606">
                  <c:v>-5.7717416623782594</c:v>
                </c:pt>
                <c:pt idx="607">
                  <c:v>-6.7710057650390283</c:v>
                </c:pt>
                <c:pt idx="608">
                  <c:v>-7.6922327427452899</c:v>
                </c:pt>
                <c:pt idx="609">
                  <c:v>-8.5495101302575893</c:v>
                </c:pt>
                <c:pt idx="610">
                  <c:v>-9.3534774306712709</c:v>
                </c:pt>
                <c:pt idx="611">
                  <c:v>-10.112330352559233</c:v>
                </c:pt>
                <c:pt idx="612">
                  <c:v>-10.832488906695035</c:v>
                </c:pt>
                <c:pt idx="613">
                  <c:v>-11.519055553849693</c:v>
                </c:pt>
                <c:pt idx="614">
                  <c:v>-12.17613766398026</c:v>
                </c:pt>
                <c:pt idx="615">
                  <c:v>-12.80707961269507</c:v>
                </c:pt>
                <c:pt idx="616">
                  <c:v>-13.41463309175362</c:v>
                </c:pt>
                <c:pt idx="617">
                  <c:v>-14.00108417904973</c:v>
                </c:pt>
                <c:pt idx="618">
                  <c:v>-14.22890420773742</c:v>
                </c:pt>
                <c:pt idx="619">
                  <c:v>-14.453775043860846</c:v>
                </c:pt>
                <c:pt idx="620">
                  <c:v>-14.675800910527105</c:v>
                </c:pt>
                <c:pt idx="621">
                  <c:v>-14.895079361982759</c:v>
                </c:pt>
                <c:pt idx="622">
                  <c:v>-15.11170183320708</c:v>
                </c:pt>
                <c:pt idx="623">
                  <c:v>-15.325754137394851</c:v>
                </c:pt>
                <c:pt idx="624">
                  <c:v>-15.537316916935275</c:v>
                </c:pt>
                <c:pt idx="625">
                  <c:v>-15.746466052805864</c:v>
                </c:pt>
                <c:pt idx="626">
                  <c:v>-15.953273036708509</c:v>
                </c:pt>
                <c:pt idx="627">
                  <c:v>-16.157805309763795</c:v>
                </c:pt>
                <c:pt idx="628">
                  <c:v>-16.360126571137151</c:v>
                </c:pt>
                <c:pt idx="629">
                  <c:v>-16.560297059585981</c:v>
                </c:pt>
                <c:pt idx="630">
                  <c:v>-16.758373810582263</c:v>
                </c:pt>
                <c:pt idx="631">
                  <c:v>-16.954410891372607</c:v>
                </c:pt>
                <c:pt idx="632">
                  <c:v>-17.148459616082036</c:v>
                </c:pt>
                <c:pt idx="633">
                  <c:v>-17.340568742742803</c:v>
                </c:pt>
                <c:pt idx="634">
                  <c:v>-17.530784653932137</c:v>
                </c:pt>
                <c:pt idx="635">
                  <c:v>-17.719151522528378</c:v>
                </c:pt>
                <c:pt idx="636">
                  <c:v>-17.905711463940854</c:v>
                </c:pt>
                <c:pt idx="637">
                  <c:v>-18.090504676032609</c:v>
                </c:pt>
                <c:pt idx="638">
                  <c:v>-18.273569567833665</c:v>
                </c:pt>
                <c:pt idx="639">
                  <c:v>-18.454942878035126</c:v>
                </c:pt>
                <c:pt idx="640">
                  <c:v>-18.634659784158238</c:v>
                </c:pt>
                <c:pt idx="641">
                  <c:v>-18.8127540032071</c:v>
                </c:pt>
                <c:pt idx="642">
                  <c:v>-18.989257884536919</c:v>
                </c:pt>
                <c:pt idx="643">
                  <c:v>-19.164202495601383</c:v>
                </c:pt>
                <c:pt idx="644">
                  <c:v>-19.337617701181109</c:v>
                </c:pt>
                <c:pt idx="645">
                  <c:v>-19.509532236639757</c:v>
                </c:pt>
                <c:pt idx="646">
                  <c:v>-19.679973775705115</c:v>
                </c:pt>
                <c:pt idx="647">
                  <c:v>-19.848968993227199</c:v>
                </c:pt>
                <c:pt idx="648">
                  <c:v>-20.016543623325433</c:v>
                </c:pt>
                <c:pt idx="649">
                  <c:v>-20.182722513300373</c:v>
                </c:pt>
                <c:pt idx="650">
                  <c:v>-20.347529673652378</c:v>
                </c:pt>
                <c:pt idx="651">
                  <c:v>-20.510988324520191</c:v>
                </c:pt>
                <c:pt idx="652">
                  <c:v>-20.673120938824731</c:v>
                </c:pt>
                <c:pt idx="653">
                  <c:v>-20.833949282379702</c:v>
                </c:pt>
                <c:pt idx="654">
                  <c:v>-20.993494451207514</c:v>
                </c:pt>
                <c:pt idx="655">
                  <c:v>-21.151776906279586</c:v>
                </c:pt>
                <c:pt idx="656">
                  <c:v>-21.308816505881097</c:v>
                </c:pt>
                <c:pt idx="657">
                  <c:v>-21.464632535783981</c:v>
                </c:pt>
                <c:pt idx="658">
                  <c:v>-21.619243737396374</c:v>
                </c:pt>
                <c:pt idx="659">
                  <c:v>-21.772668334043072</c:v>
                </c:pt>
                <c:pt idx="660">
                  <c:v>-21.924924055518773</c:v>
                </c:pt>
                <c:pt idx="661">
                  <c:v>-22.076028161044306</c:v>
                </c:pt>
                <c:pt idx="662">
                  <c:v>-22.225997460745614</c:v>
                </c:pt>
                <c:pt idx="663">
                  <c:v>-22.374848335765357</c:v>
                </c:pt>
                <c:pt idx="664">
                  <c:v>-22.522596757108388</c:v>
                </c:pt>
                <c:pt idx="665">
                  <c:v>-22.669258303314351</c:v>
                </c:pt>
                <c:pt idx="666">
                  <c:v>-22.814848177042812</c:v>
                </c:pt>
                <c:pt idx="667">
                  <c:v>-22.959381220650119</c:v>
                </c:pt>
              </c:numCache>
            </c:numRef>
          </c:yVal>
          <c:smooth val="1"/>
          <c:extLst>
            <c:ext xmlns:c16="http://schemas.microsoft.com/office/drawing/2014/chart" uri="{C3380CC4-5D6E-409C-BE32-E72D297353CC}">
              <c16:uniqueId val="{00000000-2A10-41EA-A3AE-967165122F16}"/>
            </c:ext>
          </c:extLst>
        </c:ser>
        <c:ser>
          <c:idx val="0"/>
          <c:order val="2"/>
          <c:tx>
            <c:v>Measured Gain</c:v>
          </c:tx>
          <c:spPr>
            <a:ln w="12700">
              <a:solidFill>
                <a:srgbClr val="000080"/>
              </a:solidFill>
              <a:prstDash val="solid"/>
            </a:ln>
          </c:spPr>
          <c:marker>
            <c:symbol val="diamond"/>
            <c:size val="5"/>
            <c:spPr>
              <a:solidFill>
                <a:srgbClr val="000080"/>
              </a:solidFill>
              <a:ln>
                <a:solidFill>
                  <a:srgbClr val="000080"/>
                </a:solidFill>
                <a:prstDash val="solid"/>
              </a:ln>
            </c:spPr>
          </c:marker>
          <c:xVal>
            <c:numRef>
              <c:f>'Bode Plots Calculations'!$BT$10:$BT$409</c:f>
              <c:numCache>
                <c:formatCode>#0.0#</c:formatCode>
                <c:ptCount val="400"/>
                <c:pt idx="0">
                  <c:v>100</c:v>
                </c:pt>
                <c:pt idx="1">
                  <c:v>102.32899999999999</c:v>
                </c:pt>
                <c:pt idx="2">
                  <c:v>104.71299999999999</c:v>
                </c:pt>
                <c:pt idx="3">
                  <c:v>107.152</c:v>
                </c:pt>
                <c:pt idx="4">
                  <c:v>109.648</c:v>
                </c:pt>
                <c:pt idx="5">
                  <c:v>112.202</c:v>
                </c:pt>
                <c:pt idx="6">
                  <c:v>114.815</c:v>
                </c:pt>
                <c:pt idx="7">
                  <c:v>117.49</c:v>
                </c:pt>
                <c:pt idx="8">
                  <c:v>120.226</c:v>
                </c:pt>
                <c:pt idx="9">
                  <c:v>123.027</c:v>
                </c:pt>
                <c:pt idx="10">
                  <c:v>125.893</c:v>
                </c:pt>
                <c:pt idx="11">
                  <c:v>128.82499999999999</c:v>
                </c:pt>
                <c:pt idx="12">
                  <c:v>131.82599999999999</c:v>
                </c:pt>
                <c:pt idx="13">
                  <c:v>134.89599999999999</c:v>
                </c:pt>
                <c:pt idx="14">
                  <c:v>138.03800000000001</c:v>
                </c:pt>
                <c:pt idx="15">
                  <c:v>141.25399999999999</c:v>
                </c:pt>
                <c:pt idx="16">
                  <c:v>144.54400000000001</c:v>
                </c:pt>
                <c:pt idx="17">
                  <c:v>147.911</c:v>
                </c:pt>
                <c:pt idx="18">
                  <c:v>151.35599999999999</c:v>
                </c:pt>
                <c:pt idx="19">
                  <c:v>154.88200000000001</c:v>
                </c:pt>
                <c:pt idx="20">
                  <c:v>158.489</c:v>
                </c:pt>
                <c:pt idx="21">
                  <c:v>162.18100000000001</c:v>
                </c:pt>
                <c:pt idx="22">
                  <c:v>165.959</c:v>
                </c:pt>
                <c:pt idx="23">
                  <c:v>169.82400000000001</c:v>
                </c:pt>
                <c:pt idx="24">
                  <c:v>173.78</c:v>
                </c:pt>
                <c:pt idx="25">
                  <c:v>177.828</c:v>
                </c:pt>
                <c:pt idx="26">
                  <c:v>181.97</c:v>
                </c:pt>
                <c:pt idx="27">
                  <c:v>186.209</c:v>
                </c:pt>
                <c:pt idx="28">
                  <c:v>190.54599999999999</c:v>
                </c:pt>
                <c:pt idx="29">
                  <c:v>194.98400000000001</c:v>
                </c:pt>
                <c:pt idx="30">
                  <c:v>199.52600000000001</c:v>
                </c:pt>
                <c:pt idx="31">
                  <c:v>204.17400000000001</c:v>
                </c:pt>
                <c:pt idx="32">
                  <c:v>208.93</c:v>
                </c:pt>
                <c:pt idx="33">
                  <c:v>213.79599999999999</c:v>
                </c:pt>
                <c:pt idx="34">
                  <c:v>218.77600000000001</c:v>
                </c:pt>
                <c:pt idx="35">
                  <c:v>223.87200000000001</c:v>
                </c:pt>
                <c:pt idx="36">
                  <c:v>229.08699999999999</c:v>
                </c:pt>
                <c:pt idx="37">
                  <c:v>234.423</c:v>
                </c:pt>
                <c:pt idx="38">
                  <c:v>239.88300000000001</c:v>
                </c:pt>
                <c:pt idx="39">
                  <c:v>245.471</c:v>
                </c:pt>
                <c:pt idx="40">
                  <c:v>251.18899999999999</c:v>
                </c:pt>
                <c:pt idx="41">
                  <c:v>257.04000000000002</c:v>
                </c:pt>
                <c:pt idx="42">
                  <c:v>263.02699999999999</c:v>
                </c:pt>
                <c:pt idx="43">
                  <c:v>269.15300000000002</c:v>
                </c:pt>
                <c:pt idx="44">
                  <c:v>275.423</c:v>
                </c:pt>
                <c:pt idx="45">
                  <c:v>281.83800000000002</c:v>
                </c:pt>
                <c:pt idx="46">
                  <c:v>288.40300000000002</c:v>
                </c:pt>
                <c:pt idx="47">
                  <c:v>295.12099999999998</c:v>
                </c:pt>
                <c:pt idx="48">
                  <c:v>301.995</c:v>
                </c:pt>
                <c:pt idx="49">
                  <c:v>309.02999999999997</c:v>
                </c:pt>
                <c:pt idx="50">
                  <c:v>316.22800000000001</c:v>
                </c:pt>
                <c:pt idx="51">
                  <c:v>323.59399999999999</c:v>
                </c:pt>
                <c:pt idx="52">
                  <c:v>331.13099999999997</c:v>
                </c:pt>
                <c:pt idx="53">
                  <c:v>338.84399999999999</c:v>
                </c:pt>
                <c:pt idx="54">
                  <c:v>346.73700000000002</c:v>
                </c:pt>
                <c:pt idx="55">
                  <c:v>354.81299999999999</c:v>
                </c:pt>
                <c:pt idx="56">
                  <c:v>363.07799999999997</c:v>
                </c:pt>
                <c:pt idx="57">
                  <c:v>371.53500000000003</c:v>
                </c:pt>
                <c:pt idx="58">
                  <c:v>380.18900000000002</c:v>
                </c:pt>
                <c:pt idx="59">
                  <c:v>389.04500000000002</c:v>
                </c:pt>
                <c:pt idx="60">
                  <c:v>398.10700000000003</c:v>
                </c:pt>
                <c:pt idx="61">
                  <c:v>407.38</c:v>
                </c:pt>
                <c:pt idx="62">
                  <c:v>416.86900000000003</c:v>
                </c:pt>
                <c:pt idx="63">
                  <c:v>426.58</c:v>
                </c:pt>
                <c:pt idx="64">
                  <c:v>436.51600000000002</c:v>
                </c:pt>
                <c:pt idx="65">
                  <c:v>446.68400000000003</c:v>
                </c:pt>
                <c:pt idx="66">
                  <c:v>457.08800000000002</c:v>
                </c:pt>
                <c:pt idx="67">
                  <c:v>467.73500000000001</c:v>
                </c:pt>
                <c:pt idx="68">
                  <c:v>478.63</c:v>
                </c:pt>
                <c:pt idx="69">
                  <c:v>489.779</c:v>
                </c:pt>
                <c:pt idx="70">
                  <c:v>501.18700000000001</c:v>
                </c:pt>
                <c:pt idx="71">
                  <c:v>512.86099999999999</c:v>
                </c:pt>
                <c:pt idx="72">
                  <c:v>524.80700000000002</c:v>
                </c:pt>
                <c:pt idx="73">
                  <c:v>537.03200000000004</c:v>
                </c:pt>
                <c:pt idx="74">
                  <c:v>549.54100000000005</c:v>
                </c:pt>
                <c:pt idx="75">
                  <c:v>562.34100000000001</c:v>
                </c:pt>
                <c:pt idx="76">
                  <c:v>575.44000000000005</c:v>
                </c:pt>
                <c:pt idx="77">
                  <c:v>588.84400000000005</c:v>
                </c:pt>
                <c:pt idx="78">
                  <c:v>602.55999999999995</c:v>
                </c:pt>
                <c:pt idx="79">
                  <c:v>616.59500000000003</c:v>
                </c:pt>
                <c:pt idx="80">
                  <c:v>630.95699999999999</c:v>
                </c:pt>
                <c:pt idx="81">
                  <c:v>645.654</c:v>
                </c:pt>
                <c:pt idx="82">
                  <c:v>660.69299999999998</c:v>
                </c:pt>
                <c:pt idx="83">
                  <c:v>676.08299999999997</c:v>
                </c:pt>
                <c:pt idx="84">
                  <c:v>691.83100000000002</c:v>
                </c:pt>
                <c:pt idx="85">
                  <c:v>707.94600000000003</c:v>
                </c:pt>
                <c:pt idx="86">
                  <c:v>724.43600000000004</c:v>
                </c:pt>
                <c:pt idx="87">
                  <c:v>741.31</c:v>
                </c:pt>
                <c:pt idx="88">
                  <c:v>758.57799999999997</c:v>
                </c:pt>
                <c:pt idx="89">
                  <c:v>776.24699999999996</c:v>
                </c:pt>
                <c:pt idx="90">
                  <c:v>794.32799999999997</c:v>
                </c:pt>
                <c:pt idx="91">
                  <c:v>812.83100000000002</c:v>
                </c:pt>
                <c:pt idx="92">
                  <c:v>831.76400000000001</c:v>
                </c:pt>
                <c:pt idx="93">
                  <c:v>851.13800000000003</c:v>
                </c:pt>
                <c:pt idx="94">
                  <c:v>870.96400000000006</c:v>
                </c:pt>
                <c:pt idx="95">
                  <c:v>891.25099999999998</c:v>
                </c:pt>
                <c:pt idx="96">
                  <c:v>912.01099999999997</c:v>
                </c:pt>
                <c:pt idx="97">
                  <c:v>933.25400000000002</c:v>
                </c:pt>
                <c:pt idx="98">
                  <c:v>954.99300000000005</c:v>
                </c:pt>
                <c:pt idx="99">
                  <c:v>977.23699999999997</c:v>
                </c:pt>
                <c:pt idx="100">
                  <c:v>1000</c:v>
                </c:pt>
                <c:pt idx="101">
                  <c:v>1023.293</c:v>
                </c:pt>
                <c:pt idx="102">
                  <c:v>1047.1289999999999</c:v>
                </c:pt>
                <c:pt idx="103">
                  <c:v>1071.519</c:v>
                </c:pt>
                <c:pt idx="104">
                  <c:v>1096.4780000000001</c:v>
                </c:pt>
                <c:pt idx="105">
                  <c:v>1122.018</c:v>
                </c:pt>
                <c:pt idx="106">
                  <c:v>1148.154</c:v>
                </c:pt>
                <c:pt idx="107">
                  <c:v>1174.8979999999999</c:v>
                </c:pt>
                <c:pt idx="108">
                  <c:v>1202.2639999999999</c:v>
                </c:pt>
                <c:pt idx="109">
                  <c:v>1230.269</c:v>
                </c:pt>
                <c:pt idx="110">
                  <c:v>1258.925</c:v>
                </c:pt>
                <c:pt idx="111">
                  <c:v>1288.25</c:v>
                </c:pt>
                <c:pt idx="112">
                  <c:v>1318.2570000000001</c:v>
                </c:pt>
                <c:pt idx="113">
                  <c:v>1348.963</c:v>
                </c:pt>
                <c:pt idx="114">
                  <c:v>1380.384</c:v>
                </c:pt>
                <c:pt idx="115">
                  <c:v>1412.538</c:v>
                </c:pt>
                <c:pt idx="116">
                  <c:v>1445.44</c:v>
                </c:pt>
                <c:pt idx="117">
                  <c:v>1479.1079999999999</c:v>
                </c:pt>
                <c:pt idx="118">
                  <c:v>1513.5609999999999</c:v>
                </c:pt>
                <c:pt idx="119">
                  <c:v>1548.817</c:v>
                </c:pt>
                <c:pt idx="120">
                  <c:v>1584.893</c:v>
                </c:pt>
                <c:pt idx="121">
                  <c:v>1621.81</c:v>
                </c:pt>
                <c:pt idx="122">
                  <c:v>1659.587</c:v>
                </c:pt>
                <c:pt idx="123">
                  <c:v>1698.2439999999999</c:v>
                </c:pt>
                <c:pt idx="124">
                  <c:v>1737.8009999999999</c:v>
                </c:pt>
                <c:pt idx="125">
                  <c:v>1778.279</c:v>
                </c:pt>
                <c:pt idx="126">
                  <c:v>1819.701</c:v>
                </c:pt>
                <c:pt idx="127">
                  <c:v>1862.087</c:v>
                </c:pt>
                <c:pt idx="128">
                  <c:v>1905.461</c:v>
                </c:pt>
                <c:pt idx="129">
                  <c:v>1949.845</c:v>
                </c:pt>
                <c:pt idx="130">
                  <c:v>1995.2619999999999</c:v>
                </c:pt>
                <c:pt idx="131">
                  <c:v>2041.7380000000001</c:v>
                </c:pt>
                <c:pt idx="132">
                  <c:v>2089.2959999999998</c:v>
                </c:pt>
                <c:pt idx="133">
                  <c:v>2137.962</c:v>
                </c:pt>
                <c:pt idx="134">
                  <c:v>2187.7620000000002</c:v>
                </c:pt>
                <c:pt idx="135">
                  <c:v>2238.721</c:v>
                </c:pt>
                <c:pt idx="136">
                  <c:v>2290.8679999999999</c:v>
                </c:pt>
                <c:pt idx="137">
                  <c:v>2344.2289999999998</c:v>
                </c:pt>
                <c:pt idx="138">
                  <c:v>2398.8330000000001</c:v>
                </c:pt>
                <c:pt idx="139">
                  <c:v>2454.7089999999998</c:v>
                </c:pt>
                <c:pt idx="140">
                  <c:v>2511.886</c:v>
                </c:pt>
                <c:pt idx="141">
                  <c:v>2570.3960000000002</c:v>
                </c:pt>
                <c:pt idx="142">
                  <c:v>2630.268</c:v>
                </c:pt>
                <c:pt idx="143">
                  <c:v>2691.5349999999999</c:v>
                </c:pt>
                <c:pt idx="144">
                  <c:v>2754.2289999999998</c:v>
                </c:pt>
                <c:pt idx="145">
                  <c:v>2818.3829999999998</c:v>
                </c:pt>
                <c:pt idx="146">
                  <c:v>2884.0320000000002</c:v>
                </c:pt>
                <c:pt idx="147">
                  <c:v>2951.2089999999998</c:v>
                </c:pt>
                <c:pt idx="148">
                  <c:v>3019.9520000000002</c:v>
                </c:pt>
                <c:pt idx="149">
                  <c:v>3090.2950000000001</c:v>
                </c:pt>
                <c:pt idx="150">
                  <c:v>3162.2779999999998</c:v>
                </c:pt>
                <c:pt idx="151">
                  <c:v>3235.9369999999999</c:v>
                </c:pt>
                <c:pt idx="152">
                  <c:v>3311.3110000000001</c:v>
                </c:pt>
                <c:pt idx="153">
                  <c:v>3388.442</c:v>
                </c:pt>
                <c:pt idx="154">
                  <c:v>3467.3690000000001</c:v>
                </c:pt>
                <c:pt idx="155">
                  <c:v>3548.134</c:v>
                </c:pt>
                <c:pt idx="156">
                  <c:v>3630.7809999999999</c:v>
                </c:pt>
                <c:pt idx="157">
                  <c:v>3715.3519999999999</c:v>
                </c:pt>
                <c:pt idx="158">
                  <c:v>3801.8939999999998</c:v>
                </c:pt>
                <c:pt idx="159">
                  <c:v>3890.451</c:v>
                </c:pt>
                <c:pt idx="160">
                  <c:v>3981.0720000000001</c:v>
                </c:pt>
                <c:pt idx="161">
                  <c:v>4073.8029999999999</c:v>
                </c:pt>
                <c:pt idx="162">
                  <c:v>4168.6940000000004</c:v>
                </c:pt>
                <c:pt idx="163">
                  <c:v>4265.7950000000001</c:v>
                </c:pt>
                <c:pt idx="164">
                  <c:v>4365.1580000000004</c:v>
                </c:pt>
                <c:pt idx="165">
                  <c:v>4466.8360000000002</c:v>
                </c:pt>
                <c:pt idx="166">
                  <c:v>4570.8819999999996</c:v>
                </c:pt>
                <c:pt idx="167">
                  <c:v>4677.3509999999997</c:v>
                </c:pt>
                <c:pt idx="168">
                  <c:v>4786.3010000000004</c:v>
                </c:pt>
                <c:pt idx="169">
                  <c:v>4897.7879999999996</c:v>
                </c:pt>
                <c:pt idx="170">
                  <c:v>5011.8720000000003</c:v>
                </c:pt>
                <c:pt idx="171">
                  <c:v>5128.6139999999996</c:v>
                </c:pt>
                <c:pt idx="172">
                  <c:v>5248.0749999999998</c:v>
                </c:pt>
                <c:pt idx="173">
                  <c:v>5370.3180000000002</c:v>
                </c:pt>
                <c:pt idx="174">
                  <c:v>5495.4089999999997</c:v>
                </c:pt>
                <c:pt idx="175">
                  <c:v>5623.4129999999996</c:v>
                </c:pt>
                <c:pt idx="176">
                  <c:v>5754.3990000000003</c:v>
                </c:pt>
                <c:pt idx="177">
                  <c:v>5888.4369999999999</c:v>
                </c:pt>
                <c:pt idx="178">
                  <c:v>6025.5959999999995</c:v>
                </c:pt>
                <c:pt idx="179">
                  <c:v>6165.95</c:v>
                </c:pt>
                <c:pt idx="180">
                  <c:v>6309.5730000000003</c:v>
                </c:pt>
                <c:pt idx="181">
                  <c:v>6456.5420000000004</c:v>
                </c:pt>
                <c:pt idx="182">
                  <c:v>6606.9340000000002</c:v>
                </c:pt>
                <c:pt idx="183">
                  <c:v>6760.83</c:v>
                </c:pt>
                <c:pt idx="184">
                  <c:v>6918.31</c:v>
                </c:pt>
                <c:pt idx="185">
                  <c:v>7079.4579999999996</c:v>
                </c:pt>
                <c:pt idx="186">
                  <c:v>7244.36</c:v>
                </c:pt>
                <c:pt idx="187">
                  <c:v>7413.1019999999999</c:v>
                </c:pt>
                <c:pt idx="188">
                  <c:v>7585.7759999999998</c:v>
                </c:pt>
                <c:pt idx="189">
                  <c:v>7762.4709999999995</c:v>
                </c:pt>
                <c:pt idx="190">
                  <c:v>7943.2820000000002</c:v>
                </c:pt>
                <c:pt idx="191">
                  <c:v>8128.3050000000003</c:v>
                </c:pt>
                <c:pt idx="192">
                  <c:v>8317.6380000000008</c:v>
                </c:pt>
                <c:pt idx="193">
                  <c:v>8511.3799999999992</c:v>
                </c:pt>
                <c:pt idx="194">
                  <c:v>8709.6360000000004</c:v>
                </c:pt>
                <c:pt idx="195">
                  <c:v>8912.509</c:v>
                </c:pt>
                <c:pt idx="196">
                  <c:v>9120.1080000000002</c:v>
                </c:pt>
                <c:pt idx="197">
                  <c:v>9332.5429999999997</c:v>
                </c:pt>
                <c:pt idx="198">
                  <c:v>9549.9259999999995</c:v>
                </c:pt>
                <c:pt idx="199">
                  <c:v>9772.3719999999994</c:v>
                </c:pt>
                <c:pt idx="200">
                  <c:v>10000</c:v>
                </c:pt>
                <c:pt idx="201">
                  <c:v>10232.93</c:v>
                </c:pt>
                <c:pt idx="202">
                  <c:v>10471.285</c:v>
                </c:pt>
                <c:pt idx="203">
                  <c:v>10715.192999999999</c:v>
                </c:pt>
                <c:pt idx="204">
                  <c:v>10964.781999999999</c:v>
                </c:pt>
                <c:pt idx="205">
                  <c:v>11220.184999999999</c:v>
                </c:pt>
                <c:pt idx="206">
                  <c:v>11481.536</c:v>
                </c:pt>
                <c:pt idx="207">
                  <c:v>11748.976000000001</c:v>
                </c:pt>
                <c:pt idx="208">
                  <c:v>12022.644</c:v>
                </c:pt>
                <c:pt idx="209">
                  <c:v>12302.688</c:v>
                </c:pt>
                <c:pt idx="210">
                  <c:v>12589.254000000001</c:v>
                </c:pt>
                <c:pt idx="211">
                  <c:v>12882.495999999999</c:v>
                </c:pt>
                <c:pt idx="212">
                  <c:v>13182.566999999999</c:v>
                </c:pt>
                <c:pt idx="213">
                  <c:v>13489.629000000001</c:v>
                </c:pt>
                <c:pt idx="214">
                  <c:v>13803.843000000001</c:v>
                </c:pt>
                <c:pt idx="215">
                  <c:v>14125.375</c:v>
                </c:pt>
                <c:pt idx="216">
                  <c:v>14454.397999999999</c:v>
                </c:pt>
                <c:pt idx="217">
                  <c:v>14791.084000000001</c:v>
                </c:pt>
                <c:pt idx="218">
                  <c:v>15135.611999999999</c:v>
                </c:pt>
                <c:pt idx="219">
                  <c:v>15488.165999999999</c:v>
                </c:pt>
                <c:pt idx="220">
                  <c:v>15848.932000000001</c:v>
                </c:pt>
                <c:pt idx="221">
                  <c:v>16218.101000000001</c:v>
                </c:pt>
                <c:pt idx="222">
                  <c:v>16595.868999999999</c:v>
                </c:pt>
                <c:pt idx="223">
                  <c:v>16982.437000000002</c:v>
                </c:pt>
                <c:pt idx="224">
                  <c:v>17378.008000000002</c:v>
                </c:pt>
                <c:pt idx="225">
                  <c:v>17782.794000000002</c:v>
                </c:pt>
                <c:pt idx="226">
                  <c:v>18197.008999999998</c:v>
                </c:pt>
                <c:pt idx="227">
                  <c:v>18620.870999999999</c:v>
                </c:pt>
                <c:pt idx="228">
                  <c:v>19054.607</c:v>
                </c:pt>
                <c:pt idx="229">
                  <c:v>19498.446</c:v>
                </c:pt>
                <c:pt idx="230">
                  <c:v>19952.623</c:v>
                </c:pt>
                <c:pt idx="231">
                  <c:v>20417.379000000001</c:v>
                </c:pt>
                <c:pt idx="232">
                  <c:v>20892.960999999999</c:v>
                </c:pt>
                <c:pt idx="233">
                  <c:v>21379.620999999999</c:v>
                </c:pt>
                <c:pt idx="234">
                  <c:v>21877.616000000002</c:v>
                </c:pt>
                <c:pt idx="235">
                  <c:v>22387.210999999999</c:v>
                </c:pt>
                <c:pt idx="236">
                  <c:v>22908.677</c:v>
                </c:pt>
                <c:pt idx="237">
                  <c:v>23442.288</c:v>
                </c:pt>
                <c:pt idx="238">
                  <c:v>23988.329000000002</c:v>
                </c:pt>
                <c:pt idx="239">
                  <c:v>24547.089</c:v>
                </c:pt>
                <c:pt idx="240">
                  <c:v>25118.864000000001</c:v>
                </c:pt>
                <c:pt idx="241">
                  <c:v>25703.957999999999</c:v>
                </c:pt>
                <c:pt idx="242">
                  <c:v>26302.68</c:v>
                </c:pt>
                <c:pt idx="243">
                  <c:v>26915.348000000002</c:v>
                </c:pt>
                <c:pt idx="244">
                  <c:v>27542.287</c:v>
                </c:pt>
                <c:pt idx="245">
                  <c:v>28183.829000000002</c:v>
                </c:pt>
                <c:pt idx="246">
                  <c:v>28840.314999999999</c:v>
                </c:pt>
                <c:pt idx="247">
                  <c:v>29512.092000000001</c:v>
                </c:pt>
                <c:pt idx="248">
                  <c:v>30199.517</c:v>
                </c:pt>
                <c:pt idx="249">
                  <c:v>30902.954000000002</c:v>
                </c:pt>
                <c:pt idx="250">
                  <c:v>31622.776999999998</c:v>
                </c:pt>
                <c:pt idx="251">
                  <c:v>32359.366000000002</c:v>
                </c:pt>
                <c:pt idx="252">
                  <c:v>33113.112000000001</c:v>
                </c:pt>
                <c:pt idx="253">
                  <c:v>33884.415999999997</c:v>
                </c:pt>
                <c:pt idx="254">
                  <c:v>34673.684999999998</c:v>
                </c:pt>
                <c:pt idx="255">
                  <c:v>35481.339</c:v>
                </c:pt>
                <c:pt idx="256">
                  <c:v>36307.805</c:v>
                </c:pt>
                <c:pt idx="257">
                  <c:v>37153.523000000001</c:v>
                </c:pt>
                <c:pt idx="258">
                  <c:v>38018.94</c:v>
                </c:pt>
                <c:pt idx="259">
                  <c:v>38904.514000000003</c:v>
                </c:pt>
                <c:pt idx="260">
                  <c:v>39810.716999999997</c:v>
                </c:pt>
                <c:pt idx="261">
                  <c:v>40738.027999999998</c:v>
                </c:pt>
                <c:pt idx="262">
                  <c:v>41686.938000000002</c:v>
                </c:pt>
                <c:pt idx="263">
                  <c:v>42657.951999999997</c:v>
                </c:pt>
                <c:pt idx="264">
                  <c:v>43651.582999999999</c:v>
                </c:pt>
                <c:pt idx="265">
                  <c:v>44668.358999999997</c:v>
                </c:pt>
                <c:pt idx="266">
                  <c:v>45708.819000000003</c:v>
                </c:pt>
                <c:pt idx="267">
                  <c:v>46773.514000000003</c:v>
                </c:pt>
                <c:pt idx="268">
                  <c:v>47863.008999999998</c:v>
                </c:pt>
                <c:pt idx="269">
                  <c:v>48977.881999999998</c:v>
                </c:pt>
                <c:pt idx="270">
                  <c:v>50118.722999999998</c:v>
                </c:pt>
                <c:pt idx="271">
                  <c:v>51286.137999999999</c:v>
                </c:pt>
                <c:pt idx="272">
                  <c:v>52480.745999999999</c:v>
                </c:pt>
                <c:pt idx="273">
                  <c:v>53703.18</c:v>
                </c:pt>
                <c:pt idx="274">
                  <c:v>54954.087</c:v>
                </c:pt>
                <c:pt idx="275">
                  <c:v>56234.133000000002</c:v>
                </c:pt>
                <c:pt idx="276">
                  <c:v>57543.993999999999</c:v>
                </c:pt>
                <c:pt idx="277">
                  <c:v>58884.366000000002</c:v>
                </c:pt>
                <c:pt idx="278">
                  <c:v>60255.959000000003</c:v>
                </c:pt>
                <c:pt idx="279">
                  <c:v>61659.5</c:v>
                </c:pt>
                <c:pt idx="280">
                  <c:v>63095.733999999997</c:v>
                </c:pt>
                <c:pt idx="281">
                  <c:v>64565.423000000003</c:v>
                </c:pt>
                <c:pt idx="282">
                  <c:v>66069.345000000001</c:v>
                </c:pt>
                <c:pt idx="283">
                  <c:v>67608.297999999995</c:v>
                </c:pt>
                <c:pt idx="284">
                  <c:v>69183.096999999994</c:v>
                </c:pt>
                <c:pt idx="285">
                  <c:v>70794.577999999994</c:v>
                </c:pt>
                <c:pt idx="286">
                  <c:v>72443.596000000005</c:v>
                </c:pt>
                <c:pt idx="287">
                  <c:v>74131.024000000005</c:v>
                </c:pt>
                <c:pt idx="288">
                  <c:v>75857.758000000002</c:v>
                </c:pt>
                <c:pt idx="289">
                  <c:v>77624.712</c:v>
                </c:pt>
                <c:pt idx="290">
                  <c:v>79432.823000000004</c:v>
                </c:pt>
                <c:pt idx="291">
                  <c:v>81283.051999999996</c:v>
                </c:pt>
                <c:pt idx="292">
                  <c:v>83176.376999999993</c:v>
                </c:pt>
                <c:pt idx="293">
                  <c:v>85113.804000000004</c:v>
                </c:pt>
                <c:pt idx="294">
                  <c:v>87096.358999999997</c:v>
                </c:pt>
                <c:pt idx="295">
                  <c:v>89125.093999999997</c:v>
                </c:pt>
                <c:pt idx="296">
                  <c:v>91201.084000000003</c:v>
                </c:pt>
                <c:pt idx="297">
                  <c:v>93325.43</c:v>
                </c:pt>
                <c:pt idx="298">
                  <c:v>95499.259000000005</c:v>
                </c:pt>
                <c:pt idx="299">
                  <c:v>97723.721999999994</c:v>
                </c:pt>
                <c:pt idx="300">
                  <c:v>100000</c:v>
                </c:pt>
                <c:pt idx="301">
                  <c:v>102329.299</c:v>
                </c:pt>
                <c:pt idx="302">
                  <c:v>104712.855</c:v>
                </c:pt>
                <c:pt idx="303">
                  <c:v>107151.931</c:v>
                </c:pt>
                <c:pt idx="304">
                  <c:v>109647.82</c:v>
                </c:pt>
                <c:pt idx="305">
                  <c:v>112201.845</c:v>
                </c:pt>
                <c:pt idx="306">
                  <c:v>114815.36199999999</c:v>
                </c:pt>
                <c:pt idx="307">
                  <c:v>117489.755</c:v>
                </c:pt>
                <c:pt idx="308">
                  <c:v>120226.443</c:v>
                </c:pt>
                <c:pt idx="309">
                  <c:v>123026.87699999999</c:v>
                </c:pt>
                <c:pt idx="310">
                  <c:v>125892.541</c:v>
                </c:pt>
                <c:pt idx="311">
                  <c:v>128824.955</c:v>
                </c:pt>
                <c:pt idx="312">
                  <c:v>131825.674</c:v>
                </c:pt>
                <c:pt idx="313">
                  <c:v>134896.288</c:v>
                </c:pt>
                <c:pt idx="314">
                  <c:v>138038.42600000001</c:v>
                </c:pt>
                <c:pt idx="315">
                  <c:v>141253.75399999999</c:v>
                </c:pt>
                <c:pt idx="316">
                  <c:v>144543.97700000001</c:v>
                </c:pt>
                <c:pt idx="317">
                  <c:v>147910.83900000001</c:v>
                </c:pt>
                <c:pt idx="318">
                  <c:v>151356.125</c:v>
                </c:pt>
                <c:pt idx="319">
                  <c:v>154881.66200000001</c:v>
                </c:pt>
                <c:pt idx="320">
                  <c:v>158489.31899999999</c:v>
                </c:pt>
                <c:pt idx="321">
                  <c:v>162181.01</c:v>
                </c:pt>
                <c:pt idx="322">
                  <c:v>165958.69099999999</c:v>
                </c:pt>
                <c:pt idx="323">
                  <c:v>169824.36499999999</c:v>
                </c:pt>
                <c:pt idx="324">
                  <c:v>173780.08300000001</c:v>
                </c:pt>
                <c:pt idx="325">
                  <c:v>177827.94099999999</c:v>
                </c:pt>
                <c:pt idx="326">
                  <c:v>181970.08600000001</c:v>
                </c:pt>
                <c:pt idx="327">
                  <c:v>186208.71400000001</c:v>
                </c:pt>
                <c:pt idx="328">
                  <c:v>190546.07199999999</c:v>
                </c:pt>
                <c:pt idx="329">
                  <c:v>194984.46</c:v>
                </c:pt>
                <c:pt idx="330">
                  <c:v>199526.231</c:v>
                </c:pt>
                <c:pt idx="331">
                  <c:v>204173.79399999999</c:v>
                </c:pt>
                <c:pt idx="332">
                  <c:v>208929.61300000001</c:v>
                </c:pt>
                <c:pt idx="333">
                  <c:v>213796.209</c:v>
                </c:pt>
                <c:pt idx="334">
                  <c:v>218776.16200000001</c:v>
                </c:pt>
                <c:pt idx="335">
                  <c:v>223872.114</c:v>
                </c:pt>
                <c:pt idx="336">
                  <c:v>229086.76500000001</c:v>
                </c:pt>
                <c:pt idx="337">
                  <c:v>234422.88200000001</c:v>
                </c:pt>
                <c:pt idx="338">
                  <c:v>239883.29199999999</c:v>
                </c:pt>
                <c:pt idx="339">
                  <c:v>245470.89199999999</c:v>
                </c:pt>
                <c:pt idx="340">
                  <c:v>251188.64300000001</c:v>
                </c:pt>
                <c:pt idx="341">
                  <c:v>257039.57800000001</c:v>
                </c:pt>
                <c:pt idx="342">
                  <c:v>263026.799</c:v>
                </c:pt>
                <c:pt idx="343">
                  <c:v>269153.48</c:v>
                </c:pt>
                <c:pt idx="344">
                  <c:v>275422.87</c:v>
                </c:pt>
                <c:pt idx="345">
                  <c:v>281838.29300000001</c:v>
                </c:pt>
                <c:pt idx="346">
                  <c:v>288403.15000000002</c:v>
                </c:pt>
                <c:pt idx="347">
                  <c:v>295120.92300000001</c:v>
                </c:pt>
                <c:pt idx="348">
                  <c:v>301995.17200000002</c:v>
                </c:pt>
                <c:pt idx="349">
                  <c:v>309029.54300000001</c:v>
                </c:pt>
                <c:pt idx="350">
                  <c:v>316227.766</c:v>
                </c:pt>
                <c:pt idx="351">
                  <c:v>323593.65700000001</c:v>
                </c:pt>
                <c:pt idx="352">
                  <c:v>331131.12099999998</c:v>
                </c:pt>
                <c:pt idx="353">
                  <c:v>338844.15600000002</c:v>
                </c:pt>
                <c:pt idx="354">
                  <c:v>346736.85</c:v>
                </c:pt>
                <c:pt idx="355">
                  <c:v>354813.38900000002</c:v>
                </c:pt>
                <c:pt idx="356">
                  <c:v>363078.05499999999</c:v>
                </c:pt>
                <c:pt idx="357">
                  <c:v>371535.22899999999</c:v>
                </c:pt>
                <c:pt idx="358">
                  <c:v>380189.39600000001</c:v>
                </c:pt>
                <c:pt idx="359">
                  <c:v>389045.14500000002</c:v>
                </c:pt>
                <c:pt idx="360">
                  <c:v>398107.17099999997</c:v>
                </c:pt>
                <c:pt idx="361">
                  <c:v>407380.27799999999</c:v>
                </c:pt>
                <c:pt idx="362">
                  <c:v>416869.38299999997</c:v>
                </c:pt>
                <c:pt idx="363">
                  <c:v>426579.51899999997</c:v>
                </c:pt>
                <c:pt idx="364">
                  <c:v>436515.83199999999</c:v>
                </c:pt>
                <c:pt idx="365">
                  <c:v>446683.592</c:v>
                </c:pt>
                <c:pt idx="366">
                  <c:v>457088.19</c:v>
                </c:pt>
                <c:pt idx="367">
                  <c:v>467735.141</c:v>
                </c:pt>
                <c:pt idx="368">
                  <c:v>478630.092</c:v>
                </c:pt>
                <c:pt idx="369">
                  <c:v>489778.81900000002</c:v>
                </c:pt>
                <c:pt idx="370">
                  <c:v>501187.234</c:v>
                </c:pt>
                <c:pt idx="371">
                  <c:v>512861.38400000002</c:v>
                </c:pt>
                <c:pt idx="372">
                  <c:v>524807.46</c:v>
                </c:pt>
                <c:pt idx="373">
                  <c:v>537031.79599999997</c:v>
                </c:pt>
                <c:pt idx="374">
                  <c:v>549540.87399999995</c:v>
                </c:pt>
                <c:pt idx="375">
                  <c:v>562341.32499999995</c:v>
                </c:pt>
                <c:pt idx="376">
                  <c:v>575439.93700000003</c:v>
                </c:pt>
                <c:pt idx="377">
                  <c:v>588843.65500000003</c:v>
                </c:pt>
                <c:pt idx="378">
                  <c:v>602559.58600000001</c:v>
                </c:pt>
                <c:pt idx="379">
                  <c:v>616595.00199999998</c:v>
                </c:pt>
                <c:pt idx="380">
                  <c:v>630957.34400000004</c:v>
                </c:pt>
                <c:pt idx="381">
                  <c:v>645654.22900000005</c:v>
                </c:pt>
                <c:pt idx="382">
                  <c:v>660693.44799999997</c:v>
                </c:pt>
                <c:pt idx="383">
                  <c:v>676082.97499999998</c:v>
                </c:pt>
                <c:pt idx="384">
                  <c:v>691830.97100000002</c:v>
                </c:pt>
                <c:pt idx="385">
                  <c:v>707945.78399999999</c:v>
                </c:pt>
                <c:pt idx="386">
                  <c:v>724435.96</c:v>
                </c:pt>
                <c:pt idx="387">
                  <c:v>741310.24100000004</c:v>
                </c:pt>
                <c:pt idx="388">
                  <c:v>758577.57499999995</c:v>
                </c:pt>
                <c:pt idx="389">
                  <c:v>776247.11699999997</c:v>
                </c:pt>
                <c:pt idx="390">
                  <c:v>794328.23499999999</c:v>
                </c:pt>
                <c:pt idx="391">
                  <c:v>812830.51599999995</c:v>
                </c:pt>
                <c:pt idx="392">
                  <c:v>831763.77099999995</c:v>
                </c:pt>
                <c:pt idx="393">
                  <c:v>851138.03799999994</c:v>
                </c:pt>
                <c:pt idx="394">
                  <c:v>870963.59</c:v>
                </c:pt>
                <c:pt idx="395">
                  <c:v>891250.93799999997</c:v>
                </c:pt>
                <c:pt idx="396">
                  <c:v>912010.83900000004</c:v>
                </c:pt>
                <c:pt idx="397">
                  <c:v>933254.30099999998</c:v>
                </c:pt>
                <c:pt idx="398">
                  <c:v>954992.58600000001</c:v>
                </c:pt>
                <c:pt idx="399">
                  <c:v>977237.22100000002</c:v>
                </c:pt>
              </c:numCache>
            </c:numRef>
          </c:xVal>
          <c:yVal>
            <c:numRef>
              <c:f>'Bode Plots Calculations'!$BU$10:$BU$409</c:f>
              <c:numCache>
                <c:formatCode>#0.0#</c:formatCode>
                <c:ptCount val="400"/>
                <c:pt idx="0">
                  <c:v>35.359299999999998</c:v>
                </c:pt>
                <c:pt idx="1">
                  <c:v>34.936799999999998</c:v>
                </c:pt>
                <c:pt idx="2">
                  <c:v>34.190800000000003</c:v>
                </c:pt>
                <c:pt idx="3">
                  <c:v>34.477699999999999</c:v>
                </c:pt>
                <c:pt idx="4">
                  <c:v>34.114400000000003</c:v>
                </c:pt>
                <c:pt idx="5">
                  <c:v>34.297699999999999</c:v>
                </c:pt>
                <c:pt idx="6">
                  <c:v>33.346499999999999</c:v>
                </c:pt>
                <c:pt idx="7">
                  <c:v>33.0246</c:v>
                </c:pt>
                <c:pt idx="8">
                  <c:v>33.735999999999997</c:v>
                </c:pt>
                <c:pt idx="9">
                  <c:v>32.764899999999997</c:v>
                </c:pt>
                <c:pt idx="10">
                  <c:v>32.247199999999999</c:v>
                </c:pt>
                <c:pt idx="11">
                  <c:v>32.3142</c:v>
                </c:pt>
                <c:pt idx="12">
                  <c:v>32.155799999999999</c:v>
                </c:pt>
                <c:pt idx="13">
                  <c:v>32.875300000000003</c:v>
                </c:pt>
                <c:pt idx="14">
                  <c:v>32.538699999999999</c:v>
                </c:pt>
                <c:pt idx="15">
                  <c:v>32.377000000000002</c:v>
                </c:pt>
                <c:pt idx="16">
                  <c:v>31.499099999999999</c:v>
                </c:pt>
                <c:pt idx="17">
                  <c:v>31.4819</c:v>
                </c:pt>
                <c:pt idx="18">
                  <c:v>31.0519</c:v>
                </c:pt>
                <c:pt idx="19">
                  <c:v>31.248699999999999</c:v>
                </c:pt>
                <c:pt idx="20">
                  <c:v>31.003699999999998</c:v>
                </c:pt>
                <c:pt idx="21">
                  <c:v>30.429300000000001</c:v>
                </c:pt>
                <c:pt idx="22">
                  <c:v>29.9194</c:v>
                </c:pt>
                <c:pt idx="23">
                  <c:v>29.808900000000001</c:v>
                </c:pt>
                <c:pt idx="24">
                  <c:v>30.070900000000002</c:v>
                </c:pt>
                <c:pt idx="25">
                  <c:v>29.720099999999999</c:v>
                </c:pt>
                <c:pt idx="26">
                  <c:v>30.042100000000001</c:v>
                </c:pt>
                <c:pt idx="27">
                  <c:v>29.901800000000001</c:v>
                </c:pt>
                <c:pt idx="28">
                  <c:v>29.566700000000001</c:v>
                </c:pt>
                <c:pt idx="29">
                  <c:v>29.685600000000001</c:v>
                </c:pt>
                <c:pt idx="30">
                  <c:v>29.050999999999998</c:v>
                </c:pt>
                <c:pt idx="31">
                  <c:v>28.424299999999999</c:v>
                </c:pt>
                <c:pt idx="32">
                  <c:v>28.510899999999999</c:v>
                </c:pt>
                <c:pt idx="33">
                  <c:v>28.178999999999998</c:v>
                </c:pt>
                <c:pt idx="34">
                  <c:v>27.706399999999999</c:v>
                </c:pt>
                <c:pt idx="35">
                  <c:v>27.937100000000001</c:v>
                </c:pt>
                <c:pt idx="36">
                  <c:v>27.676300000000001</c:v>
                </c:pt>
                <c:pt idx="37">
                  <c:v>27.670300000000001</c:v>
                </c:pt>
                <c:pt idx="38">
                  <c:v>27.2761</c:v>
                </c:pt>
                <c:pt idx="39">
                  <c:v>27.075500000000002</c:v>
                </c:pt>
                <c:pt idx="40">
                  <c:v>27.043399999999998</c:v>
                </c:pt>
                <c:pt idx="41">
                  <c:v>26.677600000000002</c:v>
                </c:pt>
                <c:pt idx="42">
                  <c:v>26.270299999999999</c:v>
                </c:pt>
                <c:pt idx="43">
                  <c:v>26.235900000000001</c:v>
                </c:pt>
                <c:pt idx="44">
                  <c:v>25.845600000000001</c:v>
                </c:pt>
                <c:pt idx="45">
                  <c:v>26.1068</c:v>
                </c:pt>
                <c:pt idx="46">
                  <c:v>25.784400000000002</c:v>
                </c:pt>
                <c:pt idx="47">
                  <c:v>25.581099999999999</c:v>
                </c:pt>
                <c:pt idx="48">
                  <c:v>24.917000000000002</c:v>
                </c:pt>
                <c:pt idx="49">
                  <c:v>24.825199999999999</c:v>
                </c:pt>
                <c:pt idx="50">
                  <c:v>24.722000000000001</c:v>
                </c:pt>
                <c:pt idx="51">
                  <c:v>24.5962</c:v>
                </c:pt>
                <c:pt idx="52">
                  <c:v>24.386800000000001</c:v>
                </c:pt>
                <c:pt idx="53">
                  <c:v>24.136900000000001</c:v>
                </c:pt>
                <c:pt idx="54">
                  <c:v>24.040400000000002</c:v>
                </c:pt>
                <c:pt idx="55">
                  <c:v>23.629000000000001</c:v>
                </c:pt>
                <c:pt idx="56">
                  <c:v>23.6126</c:v>
                </c:pt>
                <c:pt idx="57">
                  <c:v>23.315999999999999</c:v>
                </c:pt>
                <c:pt idx="58">
                  <c:v>23.2133</c:v>
                </c:pt>
                <c:pt idx="59">
                  <c:v>22.955200000000001</c:v>
                </c:pt>
                <c:pt idx="60">
                  <c:v>22.738499999999998</c:v>
                </c:pt>
                <c:pt idx="61">
                  <c:v>22.7593</c:v>
                </c:pt>
                <c:pt idx="62">
                  <c:v>22.4206</c:v>
                </c:pt>
                <c:pt idx="63">
                  <c:v>22.373699999999999</c:v>
                </c:pt>
                <c:pt idx="64">
                  <c:v>22.074100000000001</c:v>
                </c:pt>
                <c:pt idx="65">
                  <c:v>21.761099999999999</c:v>
                </c:pt>
                <c:pt idx="66">
                  <c:v>21.6126</c:v>
                </c:pt>
                <c:pt idx="67">
                  <c:v>21.3672</c:v>
                </c:pt>
                <c:pt idx="68">
                  <c:v>21.195799999999998</c:v>
                </c:pt>
                <c:pt idx="69">
                  <c:v>20.944800000000001</c:v>
                </c:pt>
                <c:pt idx="70">
                  <c:v>20.7819</c:v>
                </c:pt>
                <c:pt idx="71">
                  <c:v>20.634799999999998</c:v>
                </c:pt>
                <c:pt idx="72">
                  <c:v>20.243600000000001</c:v>
                </c:pt>
                <c:pt idx="73">
                  <c:v>20.2926</c:v>
                </c:pt>
                <c:pt idx="74">
                  <c:v>19.992000000000001</c:v>
                </c:pt>
                <c:pt idx="75">
                  <c:v>19.682300000000001</c:v>
                </c:pt>
                <c:pt idx="76">
                  <c:v>19.596</c:v>
                </c:pt>
                <c:pt idx="77">
                  <c:v>19.373200000000001</c:v>
                </c:pt>
                <c:pt idx="78">
                  <c:v>19.198</c:v>
                </c:pt>
                <c:pt idx="79">
                  <c:v>18.983699999999999</c:v>
                </c:pt>
                <c:pt idx="80">
                  <c:v>18.802900000000001</c:v>
                </c:pt>
                <c:pt idx="81">
                  <c:v>18.598600000000001</c:v>
                </c:pt>
                <c:pt idx="82">
                  <c:v>18.468</c:v>
                </c:pt>
                <c:pt idx="83">
                  <c:v>18.2744</c:v>
                </c:pt>
                <c:pt idx="84">
                  <c:v>18.092600000000001</c:v>
                </c:pt>
                <c:pt idx="85">
                  <c:v>17.887</c:v>
                </c:pt>
                <c:pt idx="86">
                  <c:v>17.753599999999999</c:v>
                </c:pt>
                <c:pt idx="87">
                  <c:v>17.416399999999999</c:v>
                </c:pt>
                <c:pt idx="88">
                  <c:v>17.283200000000001</c:v>
                </c:pt>
                <c:pt idx="89">
                  <c:v>17.007100000000001</c:v>
                </c:pt>
                <c:pt idx="90">
                  <c:v>16.8354</c:v>
                </c:pt>
                <c:pt idx="91">
                  <c:v>16.6614</c:v>
                </c:pt>
                <c:pt idx="92">
                  <c:v>16.509799999999998</c:v>
                </c:pt>
                <c:pt idx="93">
                  <c:v>16.276800000000001</c:v>
                </c:pt>
                <c:pt idx="94">
                  <c:v>16.106100000000001</c:v>
                </c:pt>
                <c:pt idx="95">
                  <c:v>15.882400000000001</c:v>
                </c:pt>
                <c:pt idx="96">
                  <c:v>15.6715</c:v>
                </c:pt>
                <c:pt idx="97">
                  <c:v>15.471399999999999</c:v>
                </c:pt>
                <c:pt idx="98">
                  <c:v>15.352499999999999</c:v>
                </c:pt>
                <c:pt idx="99">
                  <c:v>15.0807</c:v>
                </c:pt>
                <c:pt idx="100">
                  <c:v>14.883800000000001</c:v>
                </c:pt>
                <c:pt idx="101">
                  <c:v>14.7437</c:v>
                </c:pt>
                <c:pt idx="102">
                  <c:v>14.586600000000001</c:v>
                </c:pt>
                <c:pt idx="103">
                  <c:v>14.3581</c:v>
                </c:pt>
                <c:pt idx="104">
                  <c:v>14.1501</c:v>
                </c:pt>
                <c:pt idx="105">
                  <c:v>13.9679</c:v>
                </c:pt>
                <c:pt idx="106">
                  <c:v>13.7508</c:v>
                </c:pt>
                <c:pt idx="107">
                  <c:v>13.6038</c:v>
                </c:pt>
                <c:pt idx="108">
                  <c:v>13.412800000000001</c:v>
                </c:pt>
                <c:pt idx="109">
                  <c:v>13.1837</c:v>
                </c:pt>
                <c:pt idx="110">
                  <c:v>13.0792</c:v>
                </c:pt>
                <c:pt idx="111">
                  <c:v>12.807</c:v>
                </c:pt>
                <c:pt idx="112">
                  <c:v>12.682600000000001</c:v>
                </c:pt>
                <c:pt idx="113">
                  <c:v>12.475899999999999</c:v>
                </c:pt>
                <c:pt idx="114">
                  <c:v>12.2584</c:v>
                </c:pt>
                <c:pt idx="115">
                  <c:v>12.0929</c:v>
                </c:pt>
                <c:pt idx="116">
                  <c:v>11.918900000000001</c:v>
                </c:pt>
                <c:pt idx="117">
                  <c:v>11.714700000000001</c:v>
                </c:pt>
                <c:pt idx="118">
                  <c:v>11.5252</c:v>
                </c:pt>
                <c:pt idx="119">
                  <c:v>11.3354</c:v>
                </c:pt>
                <c:pt idx="120">
                  <c:v>11.160399999999999</c:v>
                </c:pt>
                <c:pt idx="121">
                  <c:v>10.9787</c:v>
                </c:pt>
                <c:pt idx="122">
                  <c:v>10.7578</c:v>
                </c:pt>
                <c:pt idx="123">
                  <c:v>10.580500000000001</c:v>
                </c:pt>
                <c:pt idx="124">
                  <c:v>10.4643</c:v>
                </c:pt>
                <c:pt idx="125">
                  <c:v>10.213699999999999</c:v>
                </c:pt>
                <c:pt idx="126">
                  <c:v>10.045199999999999</c:v>
                </c:pt>
                <c:pt idx="127">
                  <c:v>9.8767200000000006</c:v>
                </c:pt>
                <c:pt idx="128">
                  <c:v>9.7134199999999993</c:v>
                </c:pt>
                <c:pt idx="129">
                  <c:v>9.5268499999999996</c:v>
                </c:pt>
                <c:pt idx="130">
                  <c:v>9.3349399999999996</c:v>
                </c:pt>
                <c:pt idx="131">
                  <c:v>9.0884699999999992</c:v>
                </c:pt>
                <c:pt idx="132">
                  <c:v>8.9698600000000006</c:v>
                </c:pt>
                <c:pt idx="133">
                  <c:v>8.68736</c:v>
                </c:pt>
                <c:pt idx="134">
                  <c:v>8.5308799999999998</c:v>
                </c:pt>
                <c:pt idx="135">
                  <c:v>8.3496900000000007</c:v>
                </c:pt>
                <c:pt idx="136">
                  <c:v>8.2818299999999994</c:v>
                </c:pt>
                <c:pt idx="137">
                  <c:v>8.0662299999999991</c:v>
                </c:pt>
                <c:pt idx="138">
                  <c:v>7.8140200000000002</c:v>
                </c:pt>
                <c:pt idx="139">
                  <c:v>7.6423899999999998</c:v>
                </c:pt>
                <c:pt idx="140">
                  <c:v>7.45716</c:v>
                </c:pt>
                <c:pt idx="141">
                  <c:v>7.31271</c:v>
                </c:pt>
                <c:pt idx="142">
                  <c:v>7.13504</c:v>
                </c:pt>
                <c:pt idx="143">
                  <c:v>6.8809300000000002</c:v>
                </c:pt>
                <c:pt idx="144">
                  <c:v>6.7009400000000001</c:v>
                </c:pt>
                <c:pt idx="145">
                  <c:v>6.5356199999999998</c:v>
                </c:pt>
                <c:pt idx="146">
                  <c:v>6.3265200000000004</c:v>
                </c:pt>
                <c:pt idx="147">
                  <c:v>6.1830800000000004</c:v>
                </c:pt>
                <c:pt idx="148">
                  <c:v>6.0130600000000003</c:v>
                </c:pt>
                <c:pt idx="149">
                  <c:v>5.8544900000000002</c:v>
                </c:pt>
                <c:pt idx="150">
                  <c:v>5.6099300000000003</c:v>
                </c:pt>
                <c:pt idx="151">
                  <c:v>5.4320899999999996</c:v>
                </c:pt>
                <c:pt idx="152">
                  <c:v>5.2356100000000003</c:v>
                </c:pt>
                <c:pt idx="153">
                  <c:v>5.0528199999999996</c:v>
                </c:pt>
                <c:pt idx="154">
                  <c:v>4.9028999999999998</c:v>
                </c:pt>
                <c:pt idx="155">
                  <c:v>4.6522600000000001</c:v>
                </c:pt>
                <c:pt idx="156">
                  <c:v>4.4950999999999999</c:v>
                </c:pt>
                <c:pt idx="157">
                  <c:v>4.3437000000000001</c:v>
                </c:pt>
                <c:pt idx="158">
                  <c:v>4.1437400000000002</c:v>
                </c:pt>
                <c:pt idx="159">
                  <c:v>3.9573</c:v>
                </c:pt>
                <c:pt idx="160">
                  <c:v>3.8980899999999998</c:v>
                </c:pt>
                <c:pt idx="161">
                  <c:v>3.5600999999999998</c:v>
                </c:pt>
                <c:pt idx="162">
                  <c:v>3.4098799999999998</c:v>
                </c:pt>
                <c:pt idx="163">
                  <c:v>3.2244999999999999</c:v>
                </c:pt>
                <c:pt idx="164">
                  <c:v>3.07782</c:v>
                </c:pt>
                <c:pt idx="165">
                  <c:v>2.9233199999999999</c:v>
                </c:pt>
                <c:pt idx="166">
                  <c:v>2.7266900000000001</c:v>
                </c:pt>
                <c:pt idx="167">
                  <c:v>2.54392</c:v>
                </c:pt>
                <c:pt idx="168">
                  <c:v>2.5307499999999998</c:v>
                </c:pt>
                <c:pt idx="169">
                  <c:v>2.1795599999999999</c:v>
                </c:pt>
                <c:pt idx="170">
                  <c:v>2.08934</c:v>
                </c:pt>
                <c:pt idx="171">
                  <c:v>1.7954699999999999</c:v>
                </c:pt>
                <c:pt idx="172">
                  <c:v>1.6024099999999999</c:v>
                </c:pt>
                <c:pt idx="173">
                  <c:v>1.48515</c:v>
                </c:pt>
                <c:pt idx="174">
                  <c:v>1.35836</c:v>
                </c:pt>
                <c:pt idx="175">
                  <c:v>1.07298</c:v>
                </c:pt>
                <c:pt idx="176">
                  <c:v>0.86915299999999995</c:v>
                </c:pt>
                <c:pt idx="177">
                  <c:v>0.80323599999999995</c:v>
                </c:pt>
                <c:pt idx="178">
                  <c:v>0.76992799999999995</c:v>
                </c:pt>
                <c:pt idx="179">
                  <c:v>0.46947800000000001</c:v>
                </c:pt>
                <c:pt idx="180">
                  <c:v>0.36985299999999999</c:v>
                </c:pt>
                <c:pt idx="181">
                  <c:v>0.12767600000000001</c:v>
                </c:pt>
                <c:pt idx="182">
                  <c:v>3.6938100000000001E-2</c:v>
                </c:pt>
                <c:pt idx="183">
                  <c:v>-4.9019100000000003E-2</c:v>
                </c:pt>
                <c:pt idx="184">
                  <c:v>-0.21798300000000001</c:v>
                </c:pt>
                <c:pt idx="185">
                  <c:v>-0.38401400000000002</c:v>
                </c:pt>
                <c:pt idx="186">
                  <c:v>-0.57486000000000004</c:v>
                </c:pt>
                <c:pt idx="187">
                  <c:v>-0.73329999999999995</c:v>
                </c:pt>
                <c:pt idx="188">
                  <c:v>-0.87090199999999995</c:v>
                </c:pt>
                <c:pt idx="189">
                  <c:v>-1.0348599999999999</c:v>
                </c:pt>
                <c:pt idx="190">
                  <c:v>-1.2307999999999999</c:v>
                </c:pt>
                <c:pt idx="191">
                  <c:v>-1.3526100000000001</c:v>
                </c:pt>
                <c:pt idx="192">
                  <c:v>-1.29555</c:v>
                </c:pt>
                <c:pt idx="193">
                  <c:v>-1.5137499999999999</c:v>
                </c:pt>
                <c:pt idx="194">
                  <c:v>-1.62094</c:v>
                </c:pt>
                <c:pt idx="195">
                  <c:v>-1.6954</c:v>
                </c:pt>
                <c:pt idx="196">
                  <c:v>-1.76502</c:v>
                </c:pt>
                <c:pt idx="197">
                  <c:v>-1.99203</c:v>
                </c:pt>
                <c:pt idx="198">
                  <c:v>-2.1278299999999999</c:v>
                </c:pt>
                <c:pt idx="199">
                  <c:v>-1.9944299999999999</c:v>
                </c:pt>
                <c:pt idx="200">
                  <c:v>-2.2209699999999999</c:v>
                </c:pt>
                <c:pt idx="201">
                  <c:v>-2.4867400000000002</c:v>
                </c:pt>
                <c:pt idx="202">
                  <c:v>-2.3517399999999999</c:v>
                </c:pt>
                <c:pt idx="203">
                  <c:v>-2.5136799999999999</c:v>
                </c:pt>
                <c:pt idx="204">
                  <c:v>-2.5043700000000002</c:v>
                </c:pt>
                <c:pt idx="205">
                  <c:v>-2.7486899999999999</c:v>
                </c:pt>
                <c:pt idx="206">
                  <c:v>-2.86917</c:v>
                </c:pt>
                <c:pt idx="207">
                  <c:v>-3.0396299999999998</c:v>
                </c:pt>
                <c:pt idx="208">
                  <c:v>-3.2097500000000001</c:v>
                </c:pt>
                <c:pt idx="209">
                  <c:v>-3.2360000000000002</c:v>
                </c:pt>
                <c:pt idx="210">
                  <c:v>-3.6465100000000001</c:v>
                </c:pt>
                <c:pt idx="211">
                  <c:v>-3.6234700000000002</c:v>
                </c:pt>
                <c:pt idx="212">
                  <c:v>-4.1132799999999996</c:v>
                </c:pt>
                <c:pt idx="213">
                  <c:v>-3.8779599999999999</c:v>
                </c:pt>
                <c:pt idx="214">
                  <c:v>-4.0306600000000001</c:v>
                </c:pt>
                <c:pt idx="215">
                  <c:v>-4.0179099999999996</c:v>
                </c:pt>
                <c:pt idx="216">
                  <c:v>-3.9652699999999999</c:v>
                </c:pt>
                <c:pt idx="217">
                  <c:v>-3.9583900000000001</c:v>
                </c:pt>
                <c:pt idx="218">
                  <c:v>-3.8792200000000001</c:v>
                </c:pt>
                <c:pt idx="219">
                  <c:v>-3.9822899999999999</c:v>
                </c:pt>
                <c:pt idx="220">
                  <c:v>-3.9450400000000001</c:v>
                </c:pt>
                <c:pt idx="221">
                  <c:v>-3.9639700000000002</c:v>
                </c:pt>
                <c:pt idx="222">
                  <c:v>-3.91065</c:v>
                </c:pt>
                <c:pt idx="223">
                  <c:v>-3.9488799999999999</c:v>
                </c:pt>
                <c:pt idx="224">
                  <c:v>-3.8028900000000001</c:v>
                </c:pt>
                <c:pt idx="225">
                  <c:v>-3.8474200000000001</c:v>
                </c:pt>
                <c:pt idx="226">
                  <c:v>-3.8303199999999999</c:v>
                </c:pt>
                <c:pt idx="227">
                  <c:v>-3.77474</c:v>
                </c:pt>
                <c:pt idx="228">
                  <c:v>-3.7312500000000002</c:v>
                </c:pt>
                <c:pt idx="229">
                  <c:v>-3.7243200000000001</c:v>
                </c:pt>
                <c:pt idx="230">
                  <c:v>-3.67421</c:v>
                </c:pt>
                <c:pt idx="231">
                  <c:v>-3.6440899999999998</c:v>
                </c:pt>
                <c:pt idx="232">
                  <c:v>-3.5620099999999999</c:v>
                </c:pt>
                <c:pt idx="233">
                  <c:v>-3.5589</c:v>
                </c:pt>
                <c:pt idx="234">
                  <c:v>-3.49654</c:v>
                </c:pt>
                <c:pt idx="235">
                  <c:v>-3.4356</c:v>
                </c:pt>
                <c:pt idx="236">
                  <c:v>-3.37297</c:v>
                </c:pt>
                <c:pt idx="237">
                  <c:v>-3.29522</c:v>
                </c:pt>
                <c:pt idx="238">
                  <c:v>-3.2437399999999998</c:v>
                </c:pt>
                <c:pt idx="239">
                  <c:v>-3.1709299999999998</c:v>
                </c:pt>
                <c:pt idx="240">
                  <c:v>-3.1069800000000001</c:v>
                </c:pt>
                <c:pt idx="241">
                  <c:v>-3.0172699999999999</c:v>
                </c:pt>
                <c:pt idx="242">
                  <c:v>-2.9494799999999999</c:v>
                </c:pt>
                <c:pt idx="243">
                  <c:v>-2.8411300000000002</c:v>
                </c:pt>
                <c:pt idx="244">
                  <c:v>-2.7366600000000001</c:v>
                </c:pt>
                <c:pt idx="245">
                  <c:v>-2.6523400000000001</c:v>
                </c:pt>
                <c:pt idx="246">
                  <c:v>-2.5506799999999998</c:v>
                </c:pt>
                <c:pt idx="247">
                  <c:v>-2.44991</c:v>
                </c:pt>
                <c:pt idx="248">
                  <c:v>-2.3553299999999999</c:v>
                </c:pt>
                <c:pt idx="249">
                  <c:v>-2.2543500000000001</c:v>
                </c:pt>
                <c:pt idx="250">
                  <c:v>-2.1282199999999998</c:v>
                </c:pt>
                <c:pt idx="251">
                  <c:v>-2.03586</c:v>
                </c:pt>
                <c:pt idx="252">
                  <c:v>-1.91717</c:v>
                </c:pt>
                <c:pt idx="253">
                  <c:v>-1.81593</c:v>
                </c:pt>
                <c:pt idx="254">
                  <c:v>-1.6807799999999999</c:v>
                </c:pt>
                <c:pt idx="255">
                  <c:v>-1.5620799999999999</c:v>
                </c:pt>
                <c:pt idx="256">
                  <c:v>-1.4274800000000001</c:v>
                </c:pt>
                <c:pt idx="257">
                  <c:v>-1.30297</c:v>
                </c:pt>
                <c:pt idx="258">
                  <c:v>-1.18652</c:v>
                </c:pt>
                <c:pt idx="259">
                  <c:v>-1.0515600000000001</c:v>
                </c:pt>
                <c:pt idx="260">
                  <c:v>-0.92721699999999996</c:v>
                </c:pt>
                <c:pt idx="261">
                  <c:v>-0.80365399999999998</c:v>
                </c:pt>
                <c:pt idx="262">
                  <c:v>-0.666377</c:v>
                </c:pt>
                <c:pt idx="263">
                  <c:v>-0.55182299999999995</c:v>
                </c:pt>
                <c:pt idx="264">
                  <c:v>-0.43071199999999998</c:v>
                </c:pt>
                <c:pt idx="265">
                  <c:v>-0.21105299999999999</c:v>
                </c:pt>
                <c:pt idx="266">
                  <c:v>0.52166999999999997</c:v>
                </c:pt>
                <c:pt idx="267">
                  <c:v>0.78233600000000003</c:v>
                </c:pt>
                <c:pt idx="268">
                  <c:v>0.81724300000000005</c:v>
                </c:pt>
                <c:pt idx="269">
                  <c:v>0.86195100000000002</c:v>
                </c:pt>
                <c:pt idx="270">
                  <c:v>0.950021</c:v>
                </c:pt>
                <c:pt idx="271">
                  <c:v>1.0492999999999999</c:v>
                </c:pt>
                <c:pt idx="272">
                  <c:v>1.1752400000000001</c:v>
                </c:pt>
                <c:pt idx="273">
                  <c:v>1.3152900000000001</c:v>
                </c:pt>
                <c:pt idx="274">
                  <c:v>1.4637500000000001</c:v>
                </c:pt>
                <c:pt idx="275">
                  <c:v>1.62296</c:v>
                </c:pt>
                <c:pt idx="276">
                  <c:v>1.78169</c:v>
                </c:pt>
                <c:pt idx="277">
                  <c:v>1.9421999999999999</c:v>
                </c:pt>
                <c:pt idx="278">
                  <c:v>2.1075200000000001</c:v>
                </c:pt>
                <c:pt idx="279">
                  <c:v>2.2781099999999999</c:v>
                </c:pt>
                <c:pt idx="280">
                  <c:v>2.4499300000000002</c:v>
                </c:pt>
                <c:pt idx="281">
                  <c:v>2.6258699999999999</c:v>
                </c:pt>
                <c:pt idx="282">
                  <c:v>2.7940900000000002</c:v>
                </c:pt>
                <c:pt idx="283">
                  <c:v>2.9581400000000002</c:v>
                </c:pt>
                <c:pt idx="284">
                  <c:v>3.15646</c:v>
                </c:pt>
                <c:pt idx="285">
                  <c:v>3.32565</c:v>
                </c:pt>
                <c:pt idx="286">
                  <c:v>3.4992100000000002</c:v>
                </c:pt>
                <c:pt idx="287">
                  <c:v>3.6540400000000002</c:v>
                </c:pt>
                <c:pt idx="288">
                  <c:v>3.8307899999999999</c:v>
                </c:pt>
                <c:pt idx="289">
                  <c:v>4.0309799999999996</c:v>
                </c:pt>
                <c:pt idx="290">
                  <c:v>4.23407</c:v>
                </c:pt>
                <c:pt idx="291">
                  <c:v>4.4202000000000004</c:v>
                </c:pt>
                <c:pt idx="292">
                  <c:v>4.5639399999999997</c:v>
                </c:pt>
                <c:pt idx="293">
                  <c:v>4.7605300000000002</c:v>
                </c:pt>
                <c:pt idx="294">
                  <c:v>4.9475499999999997</c:v>
                </c:pt>
                <c:pt idx="295">
                  <c:v>5.2143100000000002</c:v>
                </c:pt>
                <c:pt idx="296">
                  <c:v>5.4050900000000004</c:v>
                </c:pt>
                <c:pt idx="297">
                  <c:v>5.6014999999999997</c:v>
                </c:pt>
                <c:pt idx="298">
                  <c:v>5.7946099999999996</c:v>
                </c:pt>
                <c:pt idx="299">
                  <c:v>5.9855799999999997</c:v>
                </c:pt>
                <c:pt idx="300">
                  <c:v>6.1811499999999997</c:v>
                </c:pt>
                <c:pt idx="301">
                  <c:v>6.3762999999999996</c:v>
                </c:pt>
                <c:pt idx="302">
                  <c:v>6.5692300000000001</c:v>
                </c:pt>
                <c:pt idx="303">
                  <c:v>6.77081</c:v>
                </c:pt>
                <c:pt idx="304">
                  <c:v>6.9849899999999998</c:v>
                </c:pt>
                <c:pt idx="305">
                  <c:v>7.2120699999999998</c:v>
                </c:pt>
                <c:pt idx="306">
                  <c:v>7.47248</c:v>
                </c:pt>
                <c:pt idx="307">
                  <c:v>7.6753600000000004</c:v>
                </c:pt>
                <c:pt idx="308">
                  <c:v>7.9446199999999996</c:v>
                </c:pt>
                <c:pt idx="309">
                  <c:v>8.1865900000000007</c:v>
                </c:pt>
                <c:pt idx="310">
                  <c:v>8.4445800000000002</c:v>
                </c:pt>
                <c:pt idx="311">
                  <c:v>8.6780500000000007</c:v>
                </c:pt>
                <c:pt idx="312">
                  <c:v>8.8889499999999995</c:v>
                </c:pt>
                <c:pt idx="313">
                  <c:v>9.0986999999999991</c:v>
                </c:pt>
                <c:pt idx="314">
                  <c:v>9.3196600000000007</c:v>
                </c:pt>
                <c:pt idx="315">
                  <c:v>9.5290400000000002</c:v>
                </c:pt>
                <c:pt idx="316">
                  <c:v>9.7312899999999996</c:v>
                </c:pt>
                <c:pt idx="317">
                  <c:v>9.9010099999999994</c:v>
                </c:pt>
                <c:pt idx="318">
                  <c:v>10.0764</c:v>
                </c:pt>
                <c:pt idx="319">
                  <c:v>10.266</c:v>
                </c:pt>
                <c:pt idx="320">
                  <c:v>10.4788</c:v>
                </c:pt>
                <c:pt idx="321">
                  <c:v>10.741899999999999</c:v>
                </c:pt>
                <c:pt idx="322">
                  <c:v>11.0235</c:v>
                </c:pt>
                <c:pt idx="323">
                  <c:v>11.234299999999999</c:v>
                </c:pt>
                <c:pt idx="324">
                  <c:v>11.3918</c:v>
                </c:pt>
                <c:pt idx="325">
                  <c:v>11.612500000000001</c:v>
                </c:pt>
                <c:pt idx="326">
                  <c:v>11.8933</c:v>
                </c:pt>
                <c:pt idx="327">
                  <c:v>12.027799999999999</c:v>
                </c:pt>
                <c:pt idx="328">
                  <c:v>12.182600000000001</c:v>
                </c:pt>
                <c:pt idx="329">
                  <c:v>12.458399999999999</c:v>
                </c:pt>
                <c:pt idx="330">
                  <c:v>12.6511</c:v>
                </c:pt>
                <c:pt idx="331">
                  <c:v>12.903600000000001</c:v>
                </c:pt>
                <c:pt idx="332">
                  <c:v>13.1541</c:v>
                </c:pt>
                <c:pt idx="333">
                  <c:v>13.368399999999999</c:v>
                </c:pt>
                <c:pt idx="334">
                  <c:v>13.6015</c:v>
                </c:pt>
                <c:pt idx="335">
                  <c:v>13.8704</c:v>
                </c:pt>
                <c:pt idx="336">
                  <c:v>14.1297</c:v>
                </c:pt>
                <c:pt idx="337">
                  <c:v>14.451599999999999</c:v>
                </c:pt>
                <c:pt idx="338">
                  <c:v>14.4628</c:v>
                </c:pt>
                <c:pt idx="339">
                  <c:v>14.575900000000001</c:v>
                </c:pt>
                <c:pt idx="340">
                  <c:v>14.7446</c:v>
                </c:pt>
                <c:pt idx="341">
                  <c:v>14.891</c:v>
                </c:pt>
                <c:pt idx="342">
                  <c:v>14.9779</c:v>
                </c:pt>
                <c:pt idx="343">
                  <c:v>15.0854</c:v>
                </c:pt>
                <c:pt idx="344">
                  <c:v>15.1145</c:v>
                </c:pt>
                <c:pt idx="345">
                  <c:v>15.1486</c:v>
                </c:pt>
                <c:pt idx="346">
                  <c:v>14.961</c:v>
                </c:pt>
                <c:pt idx="347">
                  <c:v>14.946199999999999</c:v>
                </c:pt>
                <c:pt idx="348">
                  <c:v>15.1762</c:v>
                </c:pt>
                <c:pt idx="349">
                  <c:v>15.284700000000001</c:v>
                </c:pt>
                <c:pt idx="350">
                  <c:v>15.331799999999999</c:v>
                </c:pt>
                <c:pt idx="351">
                  <c:v>15.3347</c:v>
                </c:pt>
                <c:pt idx="352">
                  <c:v>15.331</c:v>
                </c:pt>
                <c:pt idx="353">
                  <c:v>15.2844</c:v>
                </c:pt>
                <c:pt idx="354">
                  <c:v>15.295400000000001</c:v>
                </c:pt>
                <c:pt idx="355">
                  <c:v>15.3028</c:v>
                </c:pt>
                <c:pt idx="356">
                  <c:v>15.049200000000001</c:v>
                </c:pt>
                <c:pt idx="357">
                  <c:v>14.9002</c:v>
                </c:pt>
                <c:pt idx="358">
                  <c:v>14.938000000000001</c:v>
                </c:pt>
                <c:pt idx="359">
                  <c:v>14.7561</c:v>
                </c:pt>
                <c:pt idx="360">
                  <c:v>14.525499999999999</c:v>
                </c:pt>
                <c:pt idx="361">
                  <c:v>14.4298</c:v>
                </c:pt>
                <c:pt idx="362">
                  <c:v>14.126799999999999</c:v>
                </c:pt>
                <c:pt idx="363">
                  <c:v>14.106299999999999</c:v>
                </c:pt>
                <c:pt idx="364">
                  <c:v>13.8226</c:v>
                </c:pt>
                <c:pt idx="365">
                  <c:v>13.599500000000001</c:v>
                </c:pt>
                <c:pt idx="366">
                  <c:v>13.3674</c:v>
                </c:pt>
                <c:pt idx="367">
                  <c:v>13.1959</c:v>
                </c:pt>
                <c:pt idx="368">
                  <c:v>13.0069</c:v>
                </c:pt>
                <c:pt idx="369">
                  <c:v>12.7394</c:v>
                </c:pt>
                <c:pt idx="370">
                  <c:v>12.4757</c:v>
                </c:pt>
                <c:pt idx="371">
                  <c:v>12.1639</c:v>
                </c:pt>
                <c:pt idx="372">
                  <c:v>11.9579</c:v>
                </c:pt>
                <c:pt idx="373">
                  <c:v>11.690200000000001</c:v>
                </c:pt>
                <c:pt idx="374">
                  <c:v>11.575799999999999</c:v>
                </c:pt>
                <c:pt idx="375">
                  <c:v>11.314</c:v>
                </c:pt>
                <c:pt idx="376">
                  <c:v>11.0791</c:v>
                </c:pt>
                <c:pt idx="377">
                  <c:v>10.8666</c:v>
                </c:pt>
                <c:pt idx="378">
                  <c:v>10.6013</c:v>
                </c:pt>
                <c:pt idx="379">
                  <c:v>10.4749</c:v>
                </c:pt>
                <c:pt idx="380">
                  <c:v>10.283799999999999</c:v>
                </c:pt>
                <c:pt idx="381">
                  <c:v>9.9821899999999992</c:v>
                </c:pt>
                <c:pt idx="382">
                  <c:v>9.7520900000000008</c:v>
                </c:pt>
                <c:pt idx="383">
                  <c:v>9.5117999999999991</c:v>
                </c:pt>
                <c:pt idx="384">
                  <c:v>9.28308</c:v>
                </c:pt>
                <c:pt idx="385">
                  <c:v>9.1002899999999993</c:v>
                </c:pt>
                <c:pt idx="386">
                  <c:v>8.7908299999999997</c:v>
                </c:pt>
                <c:pt idx="387">
                  <c:v>8.6150300000000009</c:v>
                </c:pt>
                <c:pt idx="388">
                  <c:v>8.3056699999999992</c:v>
                </c:pt>
                <c:pt idx="389">
                  <c:v>7.9999099999999999</c:v>
                </c:pt>
                <c:pt idx="390">
                  <c:v>7.7399399999999998</c:v>
                </c:pt>
                <c:pt idx="391">
                  <c:v>7.5259600000000004</c:v>
                </c:pt>
                <c:pt idx="392">
                  <c:v>7.3913599999999997</c:v>
                </c:pt>
                <c:pt idx="393">
                  <c:v>7.3125499999999999</c:v>
                </c:pt>
                <c:pt idx="394">
                  <c:v>7.1463099999999997</c:v>
                </c:pt>
                <c:pt idx="395">
                  <c:v>6.8612700000000002</c:v>
                </c:pt>
                <c:pt idx="396">
                  <c:v>6.4708399999999999</c:v>
                </c:pt>
                <c:pt idx="397">
                  <c:v>6.2453099999999999</c:v>
                </c:pt>
                <c:pt idx="398">
                  <c:v>6.1328699999999996</c:v>
                </c:pt>
                <c:pt idx="399">
                  <c:v>5.7547600000000001</c:v>
                </c:pt>
              </c:numCache>
            </c:numRef>
          </c:yVal>
          <c:smooth val="1"/>
          <c:extLst>
            <c:ext xmlns:c16="http://schemas.microsoft.com/office/drawing/2014/chart" uri="{C3380CC4-5D6E-409C-BE32-E72D297353CC}">
              <c16:uniqueId val="{00000001-2A10-41EA-A3AE-967165122F16}"/>
            </c:ext>
          </c:extLst>
        </c:ser>
        <c:dLbls>
          <c:showLegendKey val="0"/>
          <c:showVal val="0"/>
          <c:showCatName val="0"/>
          <c:showSerName val="0"/>
          <c:showPercent val="0"/>
          <c:showBubbleSize val="0"/>
        </c:dLbls>
        <c:axId val="176934912"/>
        <c:axId val="176937216"/>
      </c:scatterChart>
      <c:scatterChart>
        <c:scatterStyle val="lineMarker"/>
        <c:varyColors val="0"/>
        <c:ser>
          <c:idx val="3"/>
          <c:order val="1"/>
          <c:tx>
            <c:v>Theoretical Phase</c:v>
          </c:tx>
          <c:spPr>
            <a:ln w="38100">
              <a:solidFill>
                <a:srgbClr val="660066"/>
              </a:solidFill>
              <a:prstDash val="solid"/>
            </a:ln>
          </c:spPr>
          <c:marker>
            <c:symbol val="none"/>
          </c:marker>
          <c:xVal>
            <c:numRef>
              <c:f>'Bode Plots Calculations'!$A$9:$A$676</c:f>
              <c:numCache>
                <c:formatCode>General</c:formatCode>
                <c:ptCount val="668"/>
                <c:pt idx="0">
                  <c:v>1</c:v>
                </c:pt>
                <c:pt idx="1">
                  <c:v>2</c:v>
                </c:pt>
                <c:pt idx="2">
                  <c:v>3</c:v>
                </c:pt>
                <c:pt idx="3">
                  <c:v>4</c:v>
                </c:pt>
                <c:pt idx="4">
                  <c:v>5</c:v>
                </c:pt>
                <c:pt idx="5">
                  <c:v>6</c:v>
                </c:pt>
                <c:pt idx="6">
                  <c:v>7</c:v>
                </c:pt>
                <c:pt idx="7">
                  <c:v>8</c:v>
                </c:pt>
                <c:pt idx="8">
                  <c:v>9</c:v>
                </c:pt>
                <c:pt idx="9">
                  <c:v>10</c:v>
                </c:pt>
                <c:pt idx="10">
                  <c:v>20</c:v>
                </c:pt>
                <c:pt idx="11">
                  <c:v>30</c:v>
                </c:pt>
                <c:pt idx="12">
                  <c:v>40</c:v>
                </c:pt>
                <c:pt idx="13">
                  <c:v>50</c:v>
                </c:pt>
                <c:pt idx="14">
                  <c:v>60</c:v>
                </c:pt>
                <c:pt idx="15">
                  <c:v>70</c:v>
                </c:pt>
                <c:pt idx="16">
                  <c:v>80</c:v>
                </c:pt>
                <c:pt idx="17">
                  <c:v>90</c:v>
                </c:pt>
                <c:pt idx="18">
                  <c:v>100</c:v>
                </c:pt>
                <c:pt idx="19">
                  <c:v>200</c:v>
                </c:pt>
                <c:pt idx="20">
                  <c:v>300</c:v>
                </c:pt>
                <c:pt idx="21">
                  <c:v>400</c:v>
                </c:pt>
                <c:pt idx="22">
                  <c:v>500</c:v>
                </c:pt>
                <c:pt idx="23">
                  <c:v>600</c:v>
                </c:pt>
                <c:pt idx="24">
                  <c:v>700</c:v>
                </c:pt>
                <c:pt idx="25">
                  <c:v>800</c:v>
                </c:pt>
                <c:pt idx="26">
                  <c:v>900</c:v>
                </c:pt>
                <c:pt idx="27">
                  <c:v>1000</c:v>
                </c:pt>
                <c:pt idx="28">
                  <c:v>1500</c:v>
                </c:pt>
                <c:pt idx="29">
                  <c:v>2000</c:v>
                </c:pt>
                <c:pt idx="30">
                  <c:v>2500</c:v>
                </c:pt>
                <c:pt idx="31">
                  <c:v>3000</c:v>
                </c:pt>
                <c:pt idx="32">
                  <c:v>3500</c:v>
                </c:pt>
                <c:pt idx="33">
                  <c:v>4000</c:v>
                </c:pt>
                <c:pt idx="34">
                  <c:v>4500</c:v>
                </c:pt>
                <c:pt idx="35">
                  <c:v>5000</c:v>
                </c:pt>
                <c:pt idx="36">
                  <c:v>5500</c:v>
                </c:pt>
                <c:pt idx="37">
                  <c:v>6000</c:v>
                </c:pt>
                <c:pt idx="38">
                  <c:v>6500</c:v>
                </c:pt>
                <c:pt idx="39">
                  <c:v>7000</c:v>
                </c:pt>
                <c:pt idx="40">
                  <c:v>7500</c:v>
                </c:pt>
                <c:pt idx="41">
                  <c:v>8000</c:v>
                </c:pt>
                <c:pt idx="42">
                  <c:v>8500</c:v>
                </c:pt>
                <c:pt idx="43">
                  <c:v>9000</c:v>
                </c:pt>
                <c:pt idx="44">
                  <c:v>9500</c:v>
                </c:pt>
                <c:pt idx="45">
                  <c:v>10000</c:v>
                </c:pt>
                <c:pt idx="46">
                  <c:v>10500</c:v>
                </c:pt>
                <c:pt idx="47">
                  <c:v>11000</c:v>
                </c:pt>
                <c:pt idx="48">
                  <c:v>11500</c:v>
                </c:pt>
                <c:pt idx="49">
                  <c:v>12000</c:v>
                </c:pt>
                <c:pt idx="50">
                  <c:v>12500</c:v>
                </c:pt>
                <c:pt idx="51">
                  <c:v>13000</c:v>
                </c:pt>
                <c:pt idx="52">
                  <c:v>13500</c:v>
                </c:pt>
                <c:pt idx="53">
                  <c:v>14000</c:v>
                </c:pt>
                <c:pt idx="54">
                  <c:v>14500</c:v>
                </c:pt>
                <c:pt idx="55">
                  <c:v>15000</c:v>
                </c:pt>
                <c:pt idx="56">
                  <c:v>15500</c:v>
                </c:pt>
                <c:pt idx="57">
                  <c:v>16000</c:v>
                </c:pt>
                <c:pt idx="58">
                  <c:v>16500</c:v>
                </c:pt>
                <c:pt idx="59">
                  <c:v>17000</c:v>
                </c:pt>
                <c:pt idx="60">
                  <c:v>17500</c:v>
                </c:pt>
                <c:pt idx="61">
                  <c:v>18000</c:v>
                </c:pt>
                <c:pt idx="62">
                  <c:v>18500</c:v>
                </c:pt>
                <c:pt idx="63">
                  <c:v>19000</c:v>
                </c:pt>
                <c:pt idx="64">
                  <c:v>19500</c:v>
                </c:pt>
                <c:pt idx="65">
                  <c:v>20000</c:v>
                </c:pt>
                <c:pt idx="66">
                  <c:v>20500</c:v>
                </c:pt>
                <c:pt idx="67">
                  <c:v>21000</c:v>
                </c:pt>
                <c:pt idx="68">
                  <c:v>21500</c:v>
                </c:pt>
                <c:pt idx="69">
                  <c:v>22000</c:v>
                </c:pt>
                <c:pt idx="70">
                  <c:v>22500</c:v>
                </c:pt>
                <c:pt idx="71">
                  <c:v>23000</c:v>
                </c:pt>
                <c:pt idx="72">
                  <c:v>23500</c:v>
                </c:pt>
                <c:pt idx="73">
                  <c:v>24000</c:v>
                </c:pt>
                <c:pt idx="74">
                  <c:v>24500</c:v>
                </c:pt>
                <c:pt idx="75">
                  <c:v>25000</c:v>
                </c:pt>
                <c:pt idx="76">
                  <c:v>25500</c:v>
                </c:pt>
                <c:pt idx="77">
                  <c:v>26000</c:v>
                </c:pt>
                <c:pt idx="78">
                  <c:v>26500</c:v>
                </c:pt>
                <c:pt idx="79">
                  <c:v>27000</c:v>
                </c:pt>
                <c:pt idx="80">
                  <c:v>27500</c:v>
                </c:pt>
                <c:pt idx="81">
                  <c:v>28000</c:v>
                </c:pt>
                <c:pt idx="82">
                  <c:v>28500</c:v>
                </c:pt>
                <c:pt idx="83">
                  <c:v>29000</c:v>
                </c:pt>
                <c:pt idx="84">
                  <c:v>29500</c:v>
                </c:pt>
                <c:pt idx="85">
                  <c:v>30000</c:v>
                </c:pt>
                <c:pt idx="86">
                  <c:v>30500</c:v>
                </c:pt>
                <c:pt idx="87">
                  <c:v>31000</c:v>
                </c:pt>
                <c:pt idx="88">
                  <c:v>31500</c:v>
                </c:pt>
                <c:pt idx="89">
                  <c:v>32000</c:v>
                </c:pt>
                <c:pt idx="90">
                  <c:v>32500</c:v>
                </c:pt>
                <c:pt idx="91">
                  <c:v>33000</c:v>
                </c:pt>
                <c:pt idx="92">
                  <c:v>33500</c:v>
                </c:pt>
                <c:pt idx="93">
                  <c:v>34000</c:v>
                </c:pt>
                <c:pt idx="94">
                  <c:v>34500</c:v>
                </c:pt>
                <c:pt idx="95">
                  <c:v>35000</c:v>
                </c:pt>
                <c:pt idx="96">
                  <c:v>35500</c:v>
                </c:pt>
                <c:pt idx="97">
                  <c:v>36000</c:v>
                </c:pt>
                <c:pt idx="98">
                  <c:v>36500</c:v>
                </c:pt>
                <c:pt idx="99">
                  <c:v>37000</c:v>
                </c:pt>
                <c:pt idx="100">
                  <c:v>37500</c:v>
                </c:pt>
                <c:pt idx="101">
                  <c:v>38000</c:v>
                </c:pt>
                <c:pt idx="102">
                  <c:v>38500</c:v>
                </c:pt>
                <c:pt idx="103">
                  <c:v>39000</c:v>
                </c:pt>
                <c:pt idx="104">
                  <c:v>39500</c:v>
                </c:pt>
                <c:pt idx="105">
                  <c:v>40000</c:v>
                </c:pt>
                <c:pt idx="106">
                  <c:v>40500</c:v>
                </c:pt>
                <c:pt idx="107">
                  <c:v>41000</c:v>
                </c:pt>
                <c:pt idx="108">
                  <c:v>41500</c:v>
                </c:pt>
                <c:pt idx="109">
                  <c:v>42000</c:v>
                </c:pt>
                <c:pt idx="110">
                  <c:v>42500</c:v>
                </c:pt>
                <c:pt idx="111">
                  <c:v>43000</c:v>
                </c:pt>
                <c:pt idx="112">
                  <c:v>43500</c:v>
                </c:pt>
                <c:pt idx="113">
                  <c:v>44000</c:v>
                </c:pt>
                <c:pt idx="114">
                  <c:v>44500</c:v>
                </c:pt>
                <c:pt idx="115">
                  <c:v>45000</c:v>
                </c:pt>
                <c:pt idx="116">
                  <c:v>45500</c:v>
                </c:pt>
                <c:pt idx="117">
                  <c:v>46000</c:v>
                </c:pt>
                <c:pt idx="118">
                  <c:v>46500</c:v>
                </c:pt>
                <c:pt idx="119">
                  <c:v>47000</c:v>
                </c:pt>
                <c:pt idx="120">
                  <c:v>47500</c:v>
                </c:pt>
                <c:pt idx="121">
                  <c:v>48000</c:v>
                </c:pt>
                <c:pt idx="122">
                  <c:v>48500</c:v>
                </c:pt>
                <c:pt idx="123">
                  <c:v>49000</c:v>
                </c:pt>
                <c:pt idx="124">
                  <c:v>49500</c:v>
                </c:pt>
                <c:pt idx="125">
                  <c:v>50000</c:v>
                </c:pt>
                <c:pt idx="126">
                  <c:v>50500</c:v>
                </c:pt>
                <c:pt idx="127">
                  <c:v>51000</c:v>
                </c:pt>
                <c:pt idx="128">
                  <c:v>51500</c:v>
                </c:pt>
                <c:pt idx="129">
                  <c:v>52000</c:v>
                </c:pt>
                <c:pt idx="130">
                  <c:v>52500</c:v>
                </c:pt>
                <c:pt idx="131">
                  <c:v>53000</c:v>
                </c:pt>
                <c:pt idx="132">
                  <c:v>53500</c:v>
                </c:pt>
                <c:pt idx="133">
                  <c:v>54000</c:v>
                </c:pt>
                <c:pt idx="134">
                  <c:v>54500</c:v>
                </c:pt>
                <c:pt idx="135">
                  <c:v>55000</c:v>
                </c:pt>
                <c:pt idx="136">
                  <c:v>55500</c:v>
                </c:pt>
                <c:pt idx="137">
                  <c:v>56000</c:v>
                </c:pt>
                <c:pt idx="138">
                  <c:v>56500</c:v>
                </c:pt>
                <c:pt idx="139">
                  <c:v>57000</c:v>
                </c:pt>
                <c:pt idx="140">
                  <c:v>57500</c:v>
                </c:pt>
                <c:pt idx="141">
                  <c:v>58000</c:v>
                </c:pt>
                <c:pt idx="142">
                  <c:v>58500</c:v>
                </c:pt>
                <c:pt idx="143">
                  <c:v>59000</c:v>
                </c:pt>
                <c:pt idx="144">
                  <c:v>59500</c:v>
                </c:pt>
                <c:pt idx="145">
                  <c:v>60000</c:v>
                </c:pt>
                <c:pt idx="146">
                  <c:v>60500</c:v>
                </c:pt>
                <c:pt idx="147">
                  <c:v>61000</c:v>
                </c:pt>
                <c:pt idx="148">
                  <c:v>61500</c:v>
                </c:pt>
                <c:pt idx="149">
                  <c:v>62000</c:v>
                </c:pt>
                <c:pt idx="150">
                  <c:v>62500</c:v>
                </c:pt>
                <c:pt idx="151">
                  <c:v>63000</c:v>
                </c:pt>
                <c:pt idx="152">
                  <c:v>63500</c:v>
                </c:pt>
                <c:pt idx="153">
                  <c:v>64000</c:v>
                </c:pt>
                <c:pt idx="154">
                  <c:v>64500</c:v>
                </c:pt>
                <c:pt idx="155">
                  <c:v>65000</c:v>
                </c:pt>
                <c:pt idx="156">
                  <c:v>65500</c:v>
                </c:pt>
                <c:pt idx="157">
                  <c:v>66000</c:v>
                </c:pt>
                <c:pt idx="158">
                  <c:v>66500</c:v>
                </c:pt>
                <c:pt idx="159">
                  <c:v>67000</c:v>
                </c:pt>
                <c:pt idx="160">
                  <c:v>67500</c:v>
                </c:pt>
                <c:pt idx="161">
                  <c:v>68000</c:v>
                </c:pt>
                <c:pt idx="162">
                  <c:v>68500</c:v>
                </c:pt>
                <c:pt idx="163">
                  <c:v>69000</c:v>
                </c:pt>
                <c:pt idx="164">
                  <c:v>69500</c:v>
                </c:pt>
                <c:pt idx="165">
                  <c:v>70000</c:v>
                </c:pt>
                <c:pt idx="166">
                  <c:v>70500</c:v>
                </c:pt>
                <c:pt idx="167">
                  <c:v>71000</c:v>
                </c:pt>
                <c:pt idx="168">
                  <c:v>71500</c:v>
                </c:pt>
                <c:pt idx="169">
                  <c:v>72000</c:v>
                </c:pt>
                <c:pt idx="170">
                  <c:v>72500</c:v>
                </c:pt>
                <c:pt idx="171">
                  <c:v>73000</c:v>
                </c:pt>
                <c:pt idx="172">
                  <c:v>73500</c:v>
                </c:pt>
                <c:pt idx="173">
                  <c:v>74000</c:v>
                </c:pt>
                <c:pt idx="174">
                  <c:v>74500</c:v>
                </c:pt>
                <c:pt idx="175">
                  <c:v>75000</c:v>
                </c:pt>
                <c:pt idx="176">
                  <c:v>75500</c:v>
                </c:pt>
                <c:pt idx="177">
                  <c:v>76000</c:v>
                </c:pt>
                <c:pt idx="178">
                  <c:v>76500</c:v>
                </c:pt>
                <c:pt idx="179">
                  <c:v>77000</c:v>
                </c:pt>
                <c:pt idx="180">
                  <c:v>77500</c:v>
                </c:pt>
                <c:pt idx="181">
                  <c:v>78000</c:v>
                </c:pt>
                <c:pt idx="182">
                  <c:v>78500</c:v>
                </c:pt>
                <c:pt idx="183">
                  <c:v>79000</c:v>
                </c:pt>
                <c:pt idx="184">
                  <c:v>79500</c:v>
                </c:pt>
                <c:pt idx="185">
                  <c:v>80000</c:v>
                </c:pt>
                <c:pt idx="186">
                  <c:v>80500</c:v>
                </c:pt>
                <c:pt idx="187">
                  <c:v>81000</c:v>
                </c:pt>
                <c:pt idx="188">
                  <c:v>81500</c:v>
                </c:pt>
                <c:pt idx="189">
                  <c:v>82000</c:v>
                </c:pt>
                <c:pt idx="190">
                  <c:v>82500</c:v>
                </c:pt>
                <c:pt idx="191">
                  <c:v>83000</c:v>
                </c:pt>
                <c:pt idx="192">
                  <c:v>83500</c:v>
                </c:pt>
                <c:pt idx="193">
                  <c:v>84000</c:v>
                </c:pt>
                <c:pt idx="194">
                  <c:v>84500</c:v>
                </c:pt>
                <c:pt idx="195">
                  <c:v>85000</c:v>
                </c:pt>
                <c:pt idx="196">
                  <c:v>85500</c:v>
                </c:pt>
                <c:pt idx="197">
                  <c:v>86000</c:v>
                </c:pt>
                <c:pt idx="198">
                  <c:v>86500</c:v>
                </c:pt>
                <c:pt idx="199">
                  <c:v>87000</c:v>
                </c:pt>
                <c:pt idx="200">
                  <c:v>87500</c:v>
                </c:pt>
                <c:pt idx="201">
                  <c:v>88000</c:v>
                </c:pt>
                <c:pt idx="202">
                  <c:v>88500</c:v>
                </c:pt>
                <c:pt idx="203">
                  <c:v>89000</c:v>
                </c:pt>
                <c:pt idx="204">
                  <c:v>89500</c:v>
                </c:pt>
                <c:pt idx="205">
                  <c:v>90000</c:v>
                </c:pt>
                <c:pt idx="206">
                  <c:v>90500</c:v>
                </c:pt>
                <c:pt idx="207">
                  <c:v>91000</c:v>
                </c:pt>
                <c:pt idx="208">
                  <c:v>91500</c:v>
                </c:pt>
                <c:pt idx="209">
                  <c:v>92000</c:v>
                </c:pt>
                <c:pt idx="210">
                  <c:v>92500</c:v>
                </c:pt>
                <c:pt idx="211">
                  <c:v>93000</c:v>
                </c:pt>
                <c:pt idx="212">
                  <c:v>93500</c:v>
                </c:pt>
                <c:pt idx="213">
                  <c:v>94000</c:v>
                </c:pt>
                <c:pt idx="214">
                  <c:v>94500</c:v>
                </c:pt>
                <c:pt idx="215">
                  <c:v>95000</c:v>
                </c:pt>
                <c:pt idx="216">
                  <c:v>95500</c:v>
                </c:pt>
                <c:pt idx="217">
                  <c:v>96000</c:v>
                </c:pt>
                <c:pt idx="218">
                  <c:v>96500</c:v>
                </c:pt>
                <c:pt idx="219">
                  <c:v>97000</c:v>
                </c:pt>
                <c:pt idx="220">
                  <c:v>97500</c:v>
                </c:pt>
                <c:pt idx="221">
                  <c:v>98000</c:v>
                </c:pt>
                <c:pt idx="222">
                  <c:v>98500</c:v>
                </c:pt>
                <c:pt idx="223">
                  <c:v>99000</c:v>
                </c:pt>
                <c:pt idx="224">
                  <c:v>99500</c:v>
                </c:pt>
                <c:pt idx="225">
                  <c:v>100000</c:v>
                </c:pt>
                <c:pt idx="226">
                  <c:v>105000</c:v>
                </c:pt>
                <c:pt idx="227">
                  <c:v>110000</c:v>
                </c:pt>
                <c:pt idx="228">
                  <c:v>115000</c:v>
                </c:pt>
                <c:pt idx="229">
                  <c:v>120000</c:v>
                </c:pt>
                <c:pt idx="230">
                  <c:v>125000</c:v>
                </c:pt>
                <c:pt idx="231">
                  <c:v>130000</c:v>
                </c:pt>
                <c:pt idx="232">
                  <c:v>135000</c:v>
                </c:pt>
                <c:pt idx="233">
                  <c:v>140000</c:v>
                </c:pt>
                <c:pt idx="234">
                  <c:v>145000</c:v>
                </c:pt>
                <c:pt idx="235">
                  <c:v>150000</c:v>
                </c:pt>
                <c:pt idx="236">
                  <c:v>155000</c:v>
                </c:pt>
                <c:pt idx="237">
                  <c:v>160000</c:v>
                </c:pt>
                <c:pt idx="238">
                  <c:v>165000</c:v>
                </c:pt>
                <c:pt idx="239">
                  <c:v>170000</c:v>
                </c:pt>
                <c:pt idx="240">
                  <c:v>175000</c:v>
                </c:pt>
                <c:pt idx="241">
                  <c:v>180000</c:v>
                </c:pt>
                <c:pt idx="242">
                  <c:v>185000</c:v>
                </c:pt>
                <c:pt idx="243">
                  <c:v>190000</c:v>
                </c:pt>
                <c:pt idx="244">
                  <c:v>195000</c:v>
                </c:pt>
                <c:pt idx="245">
                  <c:v>200000</c:v>
                </c:pt>
                <c:pt idx="246">
                  <c:v>205000</c:v>
                </c:pt>
                <c:pt idx="247">
                  <c:v>210000</c:v>
                </c:pt>
                <c:pt idx="248">
                  <c:v>215000</c:v>
                </c:pt>
                <c:pt idx="249">
                  <c:v>220000</c:v>
                </c:pt>
                <c:pt idx="250">
                  <c:v>225000</c:v>
                </c:pt>
                <c:pt idx="251">
                  <c:v>230000</c:v>
                </c:pt>
                <c:pt idx="252">
                  <c:v>235000</c:v>
                </c:pt>
                <c:pt idx="253">
                  <c:v>240000</c:v>
                </c:pt>
                <c:pt idx="254">
                  <c:v>245000</c:v>
                </c:pt>
                <c:pt idx="255">
                  <c:v>250000</c:v>
                </c:pt>
                <c:pt idx="256">
                  <c:v>255000</c:v>
                </c:pt>
                <c:pt idx="257">
                  <c:v>260000</c:v>
                </c:pt>
                <c:pt idx="258">
                  <c:v>265000</c:v>
                </c:pt>
                <c:pt idx="259">
                  <c:v>270000</c:v>
                </c:pt>
                <c:pt idx="260">
                  <c:v>275000</c:v>
                </c:pt>
                <c:pt idx="261">
                  <c:v>280000</c:v>
                </c:pt>
                <c:pt idx="262">
                  <c:v>285000</c:v>
                </c:pt>
                <c:pt idx="263">
                  <c:v>290000</c:v>
                </c:pt>
                <c:pt idx="264">
                  <c:v>295000</c:v>
                </c:pt>
                <c:pt idx="265">
                  <c:v>300000</c:v>
                </c:pt>
                <c:pt idx="266">
                  <c:v>305000</c:v>
                </c:pt>
                <c:pt idx="267">
                  <c:v>310000</c:v>
                </c:pt>
                <c:pt idx="268">
                  <c:v>315000</c:v>
                </c:pt>
                <c:pt idx="269">
                  <c:v>320000</c:v>
                </c:pt>
                <c:pt idx="270">
                  <c:v>325000</c:v>
                </c:pt>
                <c:pt idx="271">
                  <c:v>330000</c:v>
                </c:pt>
                <c:pt idx="272">
                  <c:v>335000</c:v>
                </c:pt>
                <c:pt idx="273">
                  <c:v>340000</c:v>
                </c:pt>
                <c:pt idx="274">
                  <c:v>345000</c:v>
                </c:pt>
                <c:pt idx="275">
                  <c:v>350000</c:v>
                </c:pt>
                <c:pt idx="276">
                  <c:v>355000</c:v>
                </c:pt>
                <c:pt idx="277">
                  <c:v>360000</c:v>
                </c:pt>
                <c:pt idx="278">
                  <c:v>365000</c:v>
                </c:pt>
                <c:pt idx="279">
                  <c:v>370000</c:v>
                </c:pt>
                <c:pt idx="280">
                  <c:v>375000</c:v>
                </c:pt>
                <c:pt idx="281">
                  <c:v>380000</c:v>
                </c:pt>
                <c:pt idx="282">
                  <c:v>385000</c:v>
                </c:pt>
                <c:pt idx="283">
                  <c:v>390000</c:v>
                </c:pt>
                <c:pt idx="284">
                  <c:v>395000</c:v>
                </c:pt>
                <c:pt idx="285">
                  <c:v>400000</c:v>
                </c:pt>
                <c:pt idx="286">
                  <c:v>405000</c:v>
                </c:pt>
                <c:pt idx="287">
                  <c:v>410000</c:v>
                </c:pt>
                <c:pt idx="288">
                  <c:v>415000</c:v>
                </c:pt>
                <c:pt idx="289">
                  <c:v>420000</c:v>
                </c:pt>
                <c:pt idx="290">
                  <c:v>425000</c:v>
                </c:pt>
                <c:pt idx="291">
                  <c:v>430000</c:v>
                </c:pt>
                <c:pt idx="292">
                  <c:v>435000</c:v>
                </c:pt>
                <c:pt idx="293">
                  <c:v>440000</c:v>
                </c:pt>
                <c:pt idx="294">
                  <c:v>445000</c:v>
                </c:pt>
                <c:pt idx="295">
                  <c:v>450000</c:v>
                </c:pt>
                <c:pt idx="296">
                  <c:v>455000</c:v>
                </c:pt>
                <c:pt idx="297">
                  <c:v>460000</c:v>
                </c:pt>
                <c:pt idx="298">
                  <c:v>465000</c:v>
                </c:pt>
                <c:pt idx="299">
                  <c:v>470000</c:v>
                </c:pt>
                <c:pt idx="300">
                  <c:v>475000</c:v>
                </c:pt>
                <c:pt idx="301">
                  <c:v>480000</c:v>
                </c:pt>
                <c:pt idx="302">
                  <c:v>485000</c:v>
                </c:pt>
                <c:pt idx="303">
                  <c:v>490000</c:v>
                </c:pt>
                <c:pt idx="304">
                  <c:v>495000</c:v>
                </c:pt>
                <c:pt idx="305">
                  <c:v>500000</c:v>
                </c:pt>
                <c:pt idx="306">
                  <c:v>505000</c:v>
                </c:pt>
                <c:pt idx="307">
                  <c:v>510000</c:v>
                </c:pt>
                <c:pt idx="308">
                  <c:v>515000</c:v>
                </c:pt>
                <c:pt idx="309">
                  <c:v>520000</c:v>
                </c:pt>
                <c:pt idx="310">
                  <c:v>525000</c:v>
                </c:pt>
                <c:pt idx="311">
                  <c:v>530000</c:v>
                </c:pt>
                <c:pt idx="312">
                  <c:v>535000</c:v>
                </c:pt>
                <c:pt idx="313">
                  <c:v>540000</c:v>
                </c:pt>
                <c:pt idx="314">
                  <c:v>545000</c:v>
                </c:pt>
                <c:pt idx="315">
                  <c:v>550000</c:v>
                </c:pt>
                <c:pt idx="316">
                  <c:v>555000</c:v>
                </c:pt>
                <c:pt idx="317">
                  <c:v>560000</c:v>
                </c:pt>
                <c:pt idx="318">
                  <c:v>565000</c:v>
                </c:pt>
                <c:pt idx="319">
                  <c:v>570000</c:v>
                </c:pt>
                <c:pt idx="320">
                  <c:v>575000</c:v>
                </c:pt>
                <c:pt idx="321">
                  <c:v>580000</c:v>
                </c:pt>
                <c:pt idx="322">
                  <c:v>585000</c:v>
                </c:pt>
                <c:pt idx="323">
                  <c:v>590000</c:v>
                </c:pt>
                <c:pt idx="324">
                  <c:v>595000</c:v>
                </c:pt>
                <c:pt idx="325">
                  <c:v>600000</c:v>
                </c:pt>
                <c:pt idx="326">
                  <c:v>605000</c:v>
                </c:pt>
                <c:pt idx="327">
                  <c:v>610000</c:v>
                </c:pt>
                <c:pt idx="328">
                  <c:v>615000</c:v>
                </c:pt>
                <c:pt idx="329">
                  <c:v>620000</c:v>
                </c:pt>
                <c:pt idx="330">
                  <c:v>625000</c:v>
                </c:pt>
                <c:pt idx="331">
                  <c:v>630000</c:v>
                </c:pt>
                <c:pt idx="332">
                  <c:v>635000</c:v>
                </c:pt>
                <c:pt idx="333">
                  <c:v>640000</c:v>
                </c:pt>
                <c:pt idx="334">
                  <c:v>645000</c:v>
                </c:pt>
                <c:pt idx="335">
                  <c:v>650000</c:v>
                </c:pt>
                <c:pt idx="336">
                  <c:v>655000</c:v>
                </c:pt>
                <c:pt idx="337">
                  <c:v>660000</c:v>
                </c:pt>
                <c:pt idx="338">
                  <c:v>665000</c:v>
                </c:pt>
                <c:pt idx="339">
                  <c:v>670000</c:v>
                </c:pt>
                <c:pt idx="340">
                  <c:v>675000</c:v>
                </c:pt>
                <c:pt idx="341">
                  <c:v>680000</c:v>
                </c:pt>
                <c:pt idx="342">
                  <c:v>685000</c:v>
                </c:pt>
                <c:pt idx="343">
                  <c:v>690000</c:v>
                </c:pt>
                <c:pt idx="344">
                  <c:v>695000</c:v>
                </c:pt>
                <c:pt idx="345">
                  <c:v>700000</c:v>
                </c:pt>
                <c:pt idx="346">
                  <c:v>705000</c:v>
                </c:pt>
                <c:pt idx="347">
                  <c:v>710000</c:v>
                </c:pt>
                <c:pt idx="348">
                  <c:v>715000</c:v>
                </c:pt>
                <c:pt idx="349">
                  <c:v>720000</c:v>
                </c:pt>
                <c:pt idx="350">
                  <c:v>725000</c:v>
                </c:pt>
                <c:pt idx="351">
                  <c:v>730000</c:v>
                </c:pt>
                <c:pt idx="352">
                  <c:v>735000</c:v>
                </c:pt>
                <c:pt idx="353">
                  <c:v>740000</c:v>
                </c:pt>
                <c:pt idx="354">
                  <c:v>745000</c:v>
                </c:pt>
                <c:pt idx="355">
                  <c:v>750000</c:v>
                </c:pt>
                <c:pt idx="356">
                  <c:v>755000</c:v>
                </c:pt>
                <c:pt idx="357">
                  <c:v>760000</c:v>
                </c:pt>
                <c:pt idx="358">
                  <c:v>765000</c:v>
                </c:pt>
                <c:pt idx="359">
                  <c:v>770000</c:v>
                </c:pt>
                <c:pt idx="360">
                  <c:v>775000</c:v>
                </c:pt>
                <c:pt idx="361">
                  <c:v>780000</c:v>
                </c:pt>
                <c:pt idx="362">
                  <c:v>785000</c:v>
                </c:pt>
                <c:pt idx="363">
                  <c:v>790000</c:v>
                </c:pt>
                <c:pt idx="364">
                  <c:v>795000</c:v>
                </c:pt>
                <c:pt idx="365">
                  <c:v>800000</c:v>
                </c:pt>
                <c:pt idx="366">
                  <c:v>805000</c:v>
                </c:pt>
                <c:pt idx="367">
                  <c:v>810000</c:v>
                </c:pt>
                <c:pt idx="368">
                  <c:v>815000</c:v>
                </c:pt>
                <c:pt idx="369">
                  <c:v>820000</c:v>
                </c:pt>
                <c:pt idx="370">
                  <c:v>825000</c:v>
                </c:pt>
                <c:pt idx="371">
                  <c:v>830000</c:v>
                </c:pt>
                <c:pt idx="372">
                  <c:v>835000</c:v>
                </c:pt>
                <c:pt idx="373">
                  <c:v>840000</c:v>
                </c:pt>
                <c:pt idx="374">
                  <c:v>845000</c:v>
                </c:pt>
                <c:pt idx="375">
                  <c:v>850000</c:v>
                </c:pt>
                <c:pt idx="376">
                  <c:v>855000</c:v>
                </c:pt>
                <c:pt idx="377">
                  <c:v>860000</c:v>
                </c:pt>
                <c:pt idx="378">
                  <c:v>865000</c:v>
                </c:pt>
                <c:pt idx="379">
                  <c:v>870000</c:v>
                </c:pt>
                <c:pt idx="380">
                  <c:v>875000</c:v>
                </c:pt>
                <c:pt idx="381">
                  <c:v>880000</c:v>
                </c:pt>
                <c:pt idx="382">
                  <c:v>885000</c:v>
                </c:pt>
                <c:pt idx="383">
                  <c:v>890000</c:v>
                </c:pt>
                <c:pt idx="384">
                  <c:v>895000</c:v>
                </c:pt>
                <c:pt idx="385">
                  <c:v>900000</c:v>
                </c:pt>
                <c:pt idx="386">
                  <c:v>905000</c:v>
                </c:pt>
                <c:pt idx="387">
                  <c:v>910000</c:v>
                </c:pt>
                <c:pt idx="388">
                  <c:v>915000</c:v>
                </c:pt>
                <c:pt idx="389">
                  <c:v>920000</c:v>
                </c:pt>
                <c:pt idx="390">
                  <c:v>925000</c:v>
                </c:pt>
                <c:pt idx="391">
                  <c:v>930000</c:v>
                </c:pt>
                <c:pt idx="392">
                  <c:v>935000</c:v>
                </c:pt>
                <c:pt idx="393">
                  <c:v>940000</c:v>
                </c:pt>
                <c:pt idx="394">
                  <c:v>945000</c:v>
                </c:pt>
                <c:pt idx="395">
                  <c:v>950000</c:v>
                </c:pt>
                <c:pt idx="396">
                  <c:v>955000</c:v>
                </c:pt>
                <c:pt idx="397">
                  <c:v>960000</c:v>
                </c:pt>
                <c:pt idx="398">
                  <c:v>965000</c:v>
                </c:pt>
                <c:pt idx="399">
                  <c:v>970000</c:v>
                </c:pt>
                <c:pt idx="400">
                  <c:v>975000</c:v>
                </c:pt>
                <c:pt idx="401">
                  <c:v>980000</c:v>
                </c:pt>
                <c:pt idx="402">
                  <c:v>985000</c:v>
                </c:pt>
                <c:pt idx="403">
                  <c:v>990000</c:v>
                </c:pt>
                <c:pt idx="404">
                  <c:v>995000</c:v>
                </c:pt>
                <c:pt idx="405">
                  <c:v>1000000</c:v>
                </c:pt>
                <c:pt idx="406">
                  <c:v>1005000</c:v>
                </c:pt>
                <c:pt idx="407">
                  <c:v>1010000</c:v>
                </c:pt>
                <c:pt idx="408">
                  <c:v>1015000</c:v>
                </c:pt>
                <c:pt idx="409">
                  <c:v>1020000</c:v>
                </c:pt>
                <c:pt idx="410">
                  <c:v>1025000</c:v>
                </c:pt>
                <c:pt idx="411">
                  <c:v>1030000</c:v>
                </c:pt>
                <c:pt idx="412">
                  <c:v>1035000</c:v>
                </c:pt>
                <c:pt idx="413">
                  <c:v>1040000</c:v>
                </c:pt>
                <c:pt idx="414">
                  <c:v>1045000</c:v>
                </c:pt>
                <c:pt idx="415">
                  <c:v>1050000</c:v>
                </c:pt>
                <c:pt idx="416">
                  <c:v>1055000</c:v>
                </c:pt>
                <c:pt idx="417">
                  <c:v>1060000</c:v>
                </c:pt>
                <c:pt idx="418">
                  <c:v>1065000</c:v>
                </c:pt>
                <c:pt idx="419">
                  <c:v>1070000</c:v>
                </c:pt>
                <c:pt idx="420">
                  <c:v>1075000</c:v>
                </c:pt>
                <c:pt idx="421">
                  <c:v>1080000</c:v>
                </c:pt>
                <c:pt idx="422">
                  <c:v>1085000</c:v>
                </c:pt>
                <c:pt idx="423">
                  <c:v>1090000</c:v>
                </c:pt>
                <c:pt idx="424">
                  <c:v>1095000</c:v>
                </c:pt>
                <c:pt idx="425">
                  <c:v>1100000</c:v>
                </c:pt>
                <c:pt idx="426">
                  <c:v>1105000</c:v>
                </c:pt>
                <c:pt idx="427">
                  <c:v>1110000</c:v>
                </c:pt>
                <c:pt idx="428">
                  <c:v>1115000</c:v>
                </c:pt>
                <c:pt idx="429">
                  <c:v>1120000</c:v>
                </c:pt>
                <c:pt idx="430">
                  <c:v>1125000</c:v>
                </c:pt>
                <c:pt idx="431">
                  <c:v>1130000</c:v>
                </c:pt>
                <c:pt idx="432">
                  <c:v>1135000</c:v>
                </c:pt>
                <c:pt idx="433">
                  <c:v>1140000</c:v>
                </c:pt>
                <c:pt idx="434">
                  <c:v>1145000</c:v>
                </c:pt>
                <c:pt idx="435">
                  <c:v>1150000</c:v>
                </c:pt>
                <c:pt idx="436">
                  <c:v>1155000</c:v>
                </c:pt>
                <c:pt idx="437">
                  <c:v>1160000</c:v>
                </c:pt>
                <c:pt idx="438">
                  <c:v>1165000</c:v>
                </c:pt>
                <c:pt idx="439">
                  <c:v>1170000</c:v>
                </c:pt>
                <c:pt idx="440">
                  <c:v>1175000</c:v>
                </c:pt>
                <c:pt idx="441">
                  <c:v>1180000</c:v>
                </c:pt>
                <c:pt idx="442">
                  <c:v>1185000</c:v>
                </c:pt>
                <c:pt idx="443">
                  <c:v>1190000</c:v>
                </c:pt>
                <c:pt idx="444">
                  <c:v>1195000</c:v>
                </c:pt>
                <c:pt idx="445">
                  <c:v>1200000</c:v>
                </c:pt>
                <c:pt idx="446">
                  <c:v>1205000</c:v>
                </c:pt>
                <c:pt idx="447">
                  <c:v>1210000</c:v>
                </c:pt>
                <c:pt idx="448">
                  <c:v>1215000</c:v>
                </c:pt>
                <c:pt idx="449">
                  <c:v>1220000</c:v>
                </c:pt>
                <c:pt idx="450">
                  <c:v>1225000</c:v>
                </c:pt>
                <c:pt idx="451">
                  <c:v>1230000</c:v>
                </c:pt>
                <c:pt idx="452">
                  <c:v>1235000</c:v>
                </c:pt>
                <c:pt idx="453">
                  <c:v>1240000</c:v>
                </c:pt>
                <c:pt idx="454">
                  <c:v>1245000</c:v>
                </c:pt>
                <c:pt idx="455">
                  <c:v>1250000</c:v>
                </c:pt>
                <c:pt idx="456">
                  <c:v>1255000</c:v>
                </c:pt>
                <c:pt idx="457">
                  <c:v>1260000</c:v>
                </c:pt>
                <c:pt idx="458">
                  <c:v>1265000</c:v>
                </c:pt>
                <c:pt idx="459">
                  <c:v>1270000</c:v>
                </c:pt>
                <c:pt idx="460">
                  <c:v>1275000</c:v>
                </c:pt>
                <c:pt idx="461">
                  <c:v>1280000</c:v>
                </c:pt>
                <c:pt idx="462">
                  <c:v>1285000</c:v>
                </c:pt>
                <c:pt idx="463">
                  <c:v>1290000</c:v>
                </c:pt>
                <c:pt idx="464">
                  <c:v>1295000</c:v>
                </c:pt>
                <c:pt idx="465">
                  <c:v>1300000</c:v>
                </c:pt>
                <c:pt idx="466">
                  <c:v>1305000</c:v>
                </c:pt>
                <c:pt idx="467">
                  <c:v>1310000</c:v>
                </c:pt>
                <c:pt idx="468">
                  <c:v>1315000</c:v>
                </c:pt>
                <c:pt idx="469">
                  <c:v>1320000</c:v>
                </c:pt>
                <c:pt idx="470">
                  <c:v>1325000</c:v>
                </c:pt>
                <c:pt idx="471">
                  <c:v>1330000</c:v>
                </c:pt>
                <c:pt idx="472">
                  <c:v>1335000</c:v>
                </c:pt>
                <c:pt idx="473">
                  <c:v>1340000</c:v>
                </c:pt>
                <c:pt idx="474">
                  <c:v>1345000</c:v>
                </c:pt>
                <c:pt idx="475">
                  <c:v>1350000</c:v>
                </c:pt>
                <c:pt idx="476">
                  <c:v>1355000</c:v>
                </c:pt>
                <c:pt idx="477">
                  <c:v>1360000</c:v>
                </c:pt>
                <c:pt idx="478">
                  <c:v>1365000</c:v>
                </c:pt>
                <c:pt idx="479">
                  <c:v>1370000</c:v>
                </c:pt>
                <c:pt idx="480">
                  <c:v>1375000</c:v>
                </c:pt>
                <c:pt idx="481">
                  <c:v>1380000</c:v>
                </c:pt>
                <c:pt idx="482">
                  <c:v>1385000</c:v>
                </c:pt>
                <c:pt idx="483">
                  <c:v>1390000</c:v>
                </c:pt>
                <c:pt idx="484">
                  <c:v>1395000</c:v>
                </c:pt>
                <c:pt idx="485">
                  <c:v>1400000</c:v>
                </c:pt>
                <c:pt idx="486">
                  <c:v>1405000</c:v>
                </c:pt>
                <c:pt idx="487">
                  <c:v>1410000</c:v>
                </c:pt>
                <c:pt idx="488">
                  <c:v>1415000</c:v>
                </c:pt>
                <c:pt idx="489">
                  <c:v>1420000</c:v>
                </c:pt>
                <c:pt idx="490">
                  <c:v>1425000</c:v>
                </c:pt>
                <c:pt idx="491">
                  <c:v>1430000</c:v>
                </c:pt>
                <c:pt idx="492">
                  <c:v>1435000</c:v>
                </c:pt>
                <c:pt idx="493">
                  <c:v>1440000</c:v>
                </c:pt>
                <c:pt idx="494">
                  <c:v>1445000</c:v>
                </c:pt>
                <c:pt idx="495">
                  <c:v>1450000</c:v>
                </c:pt>
                <c:pt idx="496">
                  <c:v>1455000</c:v>
                </c:pt>
                <c:pt idx="497">
                  <c:v>1460000</c:v>
                </c:pt>
                <c:pt idx="498">
                  <c:v>1465000</c:v>
                </c:pt>
                <c:pt idx="499">
                  <c:v>1470000</c:v>
                </c:pt>
                <c:pt idx="500">
                  <c:v>1475000</c:v>
                </c:pt>
                <c:pt idx="501">
                  <c:v>1480000</c:v>
                </c:pt>
                <c:pt idx="502">
                  <c:v>1485000</c:v>
                </c:pt>
                <c:pt idx="503">
                  <c:v>1490000</c:v>
                </c:pt>
                <c:pt idx="504">
                  <c:v>1495000</c:v>
                </c:pt>
                <c:pt idx="505">
                  <c:v>1500000</c:v>
                </c:pt>
                <c:pt idx="506">
                  <c:v>1505000</c:v>
                </c:pt>
                <c:pt idx="507">
                  <c:v>1510000</c:v>
                </c:pt>
                <c:pt idx="508">
                  <c:v>1515000</c:v>
                </c:pt>
                <c:pt idx="509">
                  <c:v>1520000</c:v>
                </c:pt>
                <c:pt idx="510">
                  <c:v>1525000</c:v>
                </c:pt>
                <c:pt idx="511">
                  <c:v>1530000</c:v>
                </c:pt>
                <c:pt idx="512">
                  <c:v>1535000</c:v>
                </c:pt>
                <c:pt idx="513">
                  <c:v>1540000</c:v>
                </c:pt>
                <c:pt idx="514">
                  <c:v>1545000</c:v>
                </c:pt>
                <c:pt idx="515">
                  <c:v>1550000</c:v>
                </c:pt>
                <c:pt idx="516">
                  <c:v>1555000</c:v>
                </c:pt>
                <c:pt idx="517">
                  <c:v>1560000</c:v>
                </c:pt>
                <c:pt idx="518">
                  <c:v>1565000</c:v>
                </c:pt>
                <c:pt idx="519">
                  <c:v>1570000</c:v>
                </c:pt>
                <c:pt idx="520">
                  <c:v>1575000</c:v>
                </c:pt>
                <c:pt idx="521">
                  <c:v>1580000</c:v>
                </c:pt>
                <c:pt idx="522">
                  <c:v>1585000</c:v>
                </c:pt>
                <c:pt idx="523">
                  <c:v>1590000</c:v>
                </c:pt>
                <c:pt idx="524">
                  <c:v>1595000</c:v>
                </c:pt>
                <c:pt idx="525">
                  <c:v>1600000</c:v>
                </c:pt>
                <c:pt idx="526">
                  <c:v>1605000</c:v>
                </c:pt>
                <c:pt idx="527">
                  <c:v>1610000</c:v>
                </c:pt>
                <c:pt idx="528">
                  <c:v>1615000</c:v>
                </c:pt>
                <c:pt idx="529">
                  <c:v>1620000</c:v>
                </c:pt>
                <c:pt idx="530">
                  <c:v>1625000</c:v>
                </c:pt>
                <c:pt idx="531">
                  <c:v>1630000</c:v>
                </c:pt>
                <c:pt idx="532">
                  <c:v>1635000</c:v>
                </c:pt>
                <c:pt idx="533">
                  <c:v>1640000</c:v>
                </c:pt>
                <c:pt idx="534">
                  <c:v>1645000</c:v>
                </c:pt>
                <c:pt idx="535">
                  <c:v>1650000</c:v>
                </c:pt>
                <c:pt idx="536">
                  <c:v>1655000</c:v>
                </c:pt>
                <c:pt idx="537">
                  <c:v>1660000</c:v>
                </c:pt>
                <c:pt idx="538">
                  <c:v>1665000</c:v>
                </c:pt>
                <c:pt idx="539">
                  <c:v>1670000</c:v>
                </c:pt>
                <c:pt idx="540">
                  <c:v>1675000</c:v>
                </c:pt>
                <c:pt idx="541">
                  <c:v>1680000</c:v>
                </c:pt>
                <c:pt idx="542">
                  <c:v>1685000</c:v>
                </c:pt>
                <c:pt idx="543">
                  <c:v>1690000</c:v>
                </c:pt>
                <c:pt idx="544">
                  <c:v>1695000</c:v>
                </c:pt>
                <c:pt idx="545">
                  <c:v>1700000</c:v>
                </c:pt>
                <c:pt idx="546">
                  <c:v>1705000</c:v>
                </c:pt>
                <c:pt idx="547">
                  <c:v>1710000</c:v>
                </c:pt>
                <c:pt idx="548">
                  <c:v>1715000</c:v>
                </c:pt>
                <c:pt idx="549">
                  <c:v>1720000</c:v>
                </c:pt>
                <c:pt idx="550">
                  <c:v>1725000</c:v>
                </c:pt>
                <c:pt idx="551">
                  <c:v>1730000</c:v>
                </c:pt>
                <c:pt idx="552">
                  <c:v>1735000</c:v>
                </c:pt>
                <c:pt idx="553">
                  <c:v>1740000</c:v>
                </c:pt>
                <c:pt idx="554">
                  <c:v>1745000</c:v>
                </c:pt>
                <c:pt idx="555">
                  <c:v>1750000</c:v>
                </c:pt>
                <c:pt idx="556">
                  <c:v>1755000</c:v>
                </c:pt>
                <c:pt idx="557">
                  <c:v>1760000</c:v>
                </c:pt>
                <c:pt idx="558">
                  <c:v>1765000</c:v>
                </c:pt>
                <c:pt idx="559">
                  <c:v>1770000</c:v>
                </c:pt>
                <c:pt idx="560">
                  <c:v>1775000</c:v>
                </c:pt>
                <c:pt idx="561">
                  <c:v>1780000</c:v>
                </c:pt>
                <c:pt idx="562">
                  <c:v>1785000</c:v>
                </c:pt>
                <c:pt idx="563">
                  <c:v>1790000</c:v>
                </c:pt>
                <c:pt idx="564">
                  <c:v>1795000</c:v>
                </c:pt>
                <c:pt idx="565">
                  <c:v>1800000</c:v>
                </c:pt>
                <c:pt idx="566">
                  <c:v>1805000</c:v>
                </c:pt>
                <c:pt idx="567">
                  <c:v>1810000</c:v>
                </c:pt>
                <c:pt idx="568">
                  <c:v>1815000</c:v>
                </c:pt>
                <c:pt idx="569">
                  <c:v>1820000</c:v>
                </c:pt>
                <c:pt idx="570">
                  <c:v>1825000</c:v>
                </c:pt>
                <c:pt idx="571">
                  <c:v>1830000</c:v>
                </c:pt>
                <c:pt idx="572">
                  <c:v>1835000</c:v>
                </c:pt>
                <c:pt idx="573">
                  <c:v>1840000</c:v>
                </c:pt>
                <c:pt idx="574">
                  <c:v>1845000</c:v>
                </c:pt>
                <c:pt idx="575">
                  <c:v>1850000</c:v>
                </c:pt>
                <c:pt idx="576">
                  <c:v>1855000</c:v>
                </c:pt>
                <c:pt idx="577">
                  <c:v>1860000</c:v>
                </c:pt>
                <c:pt idx="578">
                  <c:v>1865000</c:v>
                </c:pt>
                <c:pt idx="579">
                  <c:v>1870000</c:v>
                </c:pt>
                <c:pt idx="580">
                  <c:v>1875000</c:v>
                </c:pt>
                <c:pt idx="581">
                  <c:v>1880000</c:v>
                </c:pt>
                <c:pt idx="582">
                  <c:v>1885000</c:v>
                </c:pt>
                <c:pt idx="583">
                  <c:v>1890000</c:v>
                </c:pt>
                <c:pt idx="584">
                  <c:v>1895000</c:v>
                </c:pt>
                <c:pt idx="585">
                  <c:v>1900000</c:v>
                </c:pt>
                <c:pt idx="586">
                  <c:v>1905000</c:v>
                </c:pt>
                <c:pt idx="587">
                  <c:v>1910000</c:v>
                </c:pt>
                <c:pt idx="588">
                  <c:v>1915000</c:v>
                </c:pt>
                <c:pt idx="589">
                  <c:v>1920000</c:v>
                </c:pt>
                <c:pt idx="590">
                  <c:v>1925000</c:v>
                </c:pt>
                <c:pt idx="591">
                  <c:v>1930000</c:v>
                </c:pt>
                <c:pt idx="592">
                  <c:v>1935000</c:v>
                </c:pt>
                <c:pt idx="593">
                  <c:v>1940000</c:v>
                </c:pt>
                <c:pt idx="594">
                  <c:v>1945000</c:v>
                </c:pt>
                <c:pt idx="595">
                  <c:v>1950000</c:v>
                </c:pt>
                <c:pt idx="596">
                  <c:v>1955000</c:v>
                </c:pt>
                <c:pt idx="597">
                  <c:v>1960000</c:v>
                </c:pt>
                <c:pt idx="598">
                  <c:v>1965000</c:v>
                </c:pt>
                <c:pt idx="599">
                  <c:v>1970000</c:v>
                </c:pt>
                <c:pt idx="600">
                  <c:v>1975000</c:v>
                </c:pt>
                <c:pt idx="601">
                  <c:v>1980000</c:v>
                </c:pt>
                <c:pt idx="602">
                  <c:v>1985000</c:v>
                </c:pt>
                <c:pt idx="603">
                  <c:v>1990000</c:v>
                </c:pt>
                <c:pt idx="604">
                  <c:v>1995000</c:v>
                </c:pt>
                <c:pt idx="605">
                  <c:v>2000000</c:v>
                </c:pt>
                <c:pt idx="606">
                  <c:v>2250000</c:v>
                </c:pt>
                <c:pt idx="607">
                  <c:v>2500000</c:v>
                </c:pt>
                <c:pt idx="608">
                  <c:v>2750000</c:v>
                </c:pt>
                <c:pt idx="609">
                  <c:v>3000000</c:v>
                </c:pt>
                <c:pt idx="610">
                  <c:v>3250000</c:v>
                </c:pt>
                <c:pt idx="611">
                  <c:v>3500000</c:v>
                </c:pt>
                <c:pt idx="612">
                  <c:v>3750000</c:v>
                </c:pt>
                <c:pt idx="613">
                  <c:v>4000000</c:v>
                </c:pt>
                <c:pt idx="614">
                  <c:v>4250000</c:v>
                </c:pt>
                <c:pt idx="615">
                  <c:v>4500000</c:v>
                </c:pt>
                <c:pt idx="616">
                  <c:v>4750000</c:v>
                </c:pt>
                <c:pt idx="617">
                  <c:v>5000000</c:v>
                </c:pt>
                <c:pt idx="618">
                  <c:v>5100000</c:v>
                </c:pt>
                <c:pt idx="619">
                  <c:v>5200000</c:v>
                </c:pt>
                <c:pt idx="620">
                  <c:v>5300000</c:v>
                </c:pt>
                <c:pt idx="621">
                  <c:v>5400000</c:v>
                </c:pt>
                <c:pt idx="622">
                  <c:v>5500000</c:v>
                </c:pt>
                <c:pt idx="623">
                  <c:v>5600000</c:v>
                </c:pt>
                <c:pt idx="624">
                  <c:v>5700000</c:v>
                </c:pt>
                <c:pt idx="625">
                  <c:v>5800000</c:v>
                </c:pt>
                <c:pt idx="626">
                  <c:v>5900000</c:v>
                </c:pt>
                <c:pt idx="627">
                  <c:v>6000000</c:v>
                </c:pt>
                <c:pt idx="628">
                  <c:v>6100000</c:v>
                </c:pt>
                <c:pt idx="629">
                  <c:v>6200000</c:v>
                </c:pt>
                <c:pt idx="630">
                  <c:v>6300000</c:v>
                </c:pt>
                <c:pt idx="631">
                  <c:v>6400000</c:v>
                </c:pt>
                <c:pt idx="632">
                  <c:v>6500000</c:v>
                </c:pt>
                <c:pt idx="633">
                  <c:v>6600000</c:v>
                </c:pt>
                <c:pt idx="634">
                  <c:v>6700000</c:v>
                </c:pt>
                <c:pt idx="635">
                  <c:v>6800000</c:v>
                </c:pt>
                <c:pt idx="636">
                  <c:v>6900000</c:v>
                </c:pt>
                <c:pt idx="637">
                  <c:v>7000000</c:v>
                </c:pt>
                <c:pt idx="638">
                  <c:v>7100000</c:v>
                </c:pt>
                <c:pt idx="639">
                  <c:v>7200000</c:v>
                </c:pt>
                <c:pt idx="640">
                  <c:v>7300000</c:v>
                </c:pt>
                <c:pt idx="641">
                  <c:v>7400000</c:v>
                </c:pt>
                <c:pt idx="642">
                  <c:v>7500000</c:v>
                </c:pt>
                <c:pt idx="643">
                  <c:v>7600000</c:v>
                </c:pt>
                <c:pt idx="644">
                  <c:v>7700000</c:v>
                </c:pt>
                <c:pt idx="645">
                  <c:v>7800000</c:v>
                </c:pt>
                <c:pt idx="646">
                  <c:v>7900000</c:v>
                </c:pt>
                <c:pt idx="647">
                  <c:v>8000000</c:v>
                </c:pt>
                <c:pt idx="648">
                  <c:v>8100000</c:v>
                </c:pt>
                <c:pt idx="649">
                  <c:v>8200000</c:v>
                </c:pt>
                <c:pt idx="650">
                  <c:v>8300000</c:v>
                </c:pt>
                <c:pt idx="651">
                  <c:v>8400000</c:v>
                </c:pt>
                <c:pt idx="652">
                  <c:v>8500000</c:v>
                </c:pt>
                <c:pt idx="653">
                  <c:v>8600000</c:v>
                </c:pt>
                <c:pt idx="654">
                  <c:v>8700000</c:v>
                </c:pt>
                <c:pt idx="655">
                  <c:v>8800000</c:v>
                </c:pt>
                <c:pt idx="656">
                  <c:v>8900000</c:v>
                </c:pt>
                <c:pt idx="657">
                  <c:v>9000000</c:v>
                </c:pt>
                <c:pt idx="658">
                  <c:v>9100000</c:v>
                </c:pt>
                <c:pt idx="659">
                  <c:v>9200000</c:v>
                </c:pt>
                <c:pt idx="660">
                  <c:v>9300000</c:v>
                </c:pt>
                <c:pt idx="661">
                  <c:v>9400000</c:v>
                </c:pt>
                <c:pt idx="662">
                  <c:v>9500000</c:v>
                </c:pt>
                <c:pt idx="663">
                  <c:v>9600000</c:v>
                </c:pt>
                <c:pt idx="664">
                  <c:v>9700000</c:v>
                </c:pt>
                <c:pt idx="665">
                  <c:v>9800000</c:v>
                </c:pt>
                <c:pt idx="666">
                  <c:v>9900000</c:v>
                </c:pt>
                <c:pt idx="667">
                  <c:v>10000000</c:v>
                </c:pt>
              </c:numCache>
            </c:numRef>
          </c:xVal>
          <c:yVal>
            <c:numRef>
              <c:f>'Bode Plots Calculations'!$BD$9:$BD$676</c:f>
              <c:numCache>
                <c:formatCode>General</c:formatCode>
                <c:ptCount val="668"/>
                <c:pt idx="0">
                  <c:v>-261.75612547758141</c:v>
                </c:pt>
                <c:pt idx="1">
                  <c:v>-265.76518272716453</c:v>
                </c:pt>
                <c:pt idx="2">
                  <c:v>-267.07204709730212</c:v>
                </c:pt>
                <c:pt idx="3">
                  <c:v>-267.69611652013856</c:v>
                </c:pt>
                <c:pt idx="4">
                  <c:v>-268.04634452077585</c:v>
                </c:pt>
                <c:pt idx="5">
                  <c:v>-268.25950280026905</c:v>
                </c:pt>
                <c:pt idx="6">
                  <c:v>-268.39429191732017</c:v>
                </c:pt>
                <c:pt idx="7">
                  <c:v>-268.48008455775175</c:v>
                </c:pt>
                <c:pt idx="8">
                  <c:v>-268.5332063749297</c:v>
                </c:pt>
                <c:pt idx="9">
                  <c:v>-268.56345570412839</c:v>
                </c:pt>
                <c:pt idx="10">
                  <c:v>-268.3627029529863</c:v>
                </c:pt>
                <c:pt idx="11">
                  <c:v>-267.8875619090071</c:v>
                </c:pt>
                <c:pt idx="12">
                  <c:v>-267.34405356496563</c:v>
                </c:pt>
                <c:pt idx="13">
                  <c:v>-266.77346277814615</c:v>
                </c:pt>
                <c:pt idx="14">
                  <c:v>-266.18961417215934</c:v>
                </c:pt>
                <c:pt idx="15">
                  <c:v>-265.59848590056777</c:v>
                </c:pt>
                <c:pt idx="16">
                  <c:v>-265.00311323372563</c:v>
                </c:pt>
                <c:pt idx="17">
                  <c:v>-264.40522305844775</c:v>
                </c:pt>
                <c:pt idx="18">
                  <c:v>-263.80588763030499</c:v>
                </c:pt>
                <c:pt idx="19">
                  <c:v>-257.82795739849962</c:v>
                </c:pt>
                <c:pt idx="20">
                  <c:v>-251.99857818568466</c:v>
                </c:pt>
                <c:pt idx="21">
                  <c:v>-246.40555035828669</c:v>
                </c:pt>
                <c:pt idx="22">
                  <c:v>-241.10041970619972</c:v>
                </c:pt>
                <c:pt idx="23">
                  <c:v>-236.11211438368272</c:v>
                </c:pt>
                <c:pt idx="24">
                  <c:v>-231.45137730194779</c:v>
                </c:pt>
                <c:pt idx="25">
                  <c:v>-227.11504768751377</c:v>
                </c:pt>
                <c:pt idx="26">
                  <c:v>-223.09025926397203</c:v>
                </c:pt>
                <c:pt idx="27">
                  <c:v>-219.35809805851011</c:v>
                </c:pt>
                <c:pt idx="28">
                  <c:v>-204.300820019989</c:v>
                </c:pt>
                <c:pt idx="29">
                  <c:v>-193.43700809541394</c:v>
                </c:pt>
                <c:pt idx="30">
                  <c:v>-185.08466424650516</c:v>
                </c:pt>
                <c:pt idx="31">
                  <c:v>-178.31892132503751</c:v>
                </c:pt>
                <c:pt idx="32">
                  <c:v>-172.63071311055629</c:v>
                </c:pt>
                <c:pt idx="33">
                  <c:v>-167.72558435370269</c:v>
                </c:pt>
                <c:pt idx="34">
                  <c:v>-163.42251991616493</c:v>
                </c:pt>
                <c:pt idx="35">
                  <c:v>-159.60311920840525</c:v>
                </c:pt>
                <c:pt idx="36">
                  <c:v>-156.18521065755013</c:v>
                </c:pt>
                <c:pt idx="37">
                  <c:v>-153.10861599501334</c:v>
                </c:pt>
                <c:pt idx="38">
                  <c:v>-150.32717597894913</c:v>
                </c:pt>
                <c:pt idx="39">
                  <c:v>-147.80411916349033</c:v>
                </c:pt>
                <c:pt idx="40">
                  <c:v>-145.50927315281908</c:v>
                </c:pt>
                <c:pt idx="41">
                  <c:v>-143.41732070987217</c:v>
                </c:pt>
                <c:pt idx="42">
                  <c:v>-141.50666453828285</c:v>
                </c:pt>
                <c:pt idx="43">
                  <c:v>-139.75865639515479</c:v>
                </c:pt>
                <c:pt idx="44">
                  <c:v>-138.15705072158374</c:v>
                </c:pt>
                <c:pt idx="45">
                  <c:v>-136.68760117421672</c:v>
                </c:pt>
                <c:pt idx="46">
                  <c:v>-135.33775143024297</c:v>
                </c:pt>
                <c:pt idx="47">
                  <c:v>-134.09639063613017</c:v>
                </c:pt>
                <c:pt idx="48">
                  <c:v>-132.953654975917</c:v>
                </c:pt>
                <c:pt idx="49">
                  <c:v>-131.90076342788433</c:v>
                </c:pt>
                <c:pt idx="50">
                  <c:v>-130.9298797606595</c:v>
                </c:pt>
                <c:pt idx="51">
                  <c:v>-130.03399527439731</c:v>
                </c:pt>
                <c:pt idx="52">
                  <c:v>-129.20682834282596</c:v>
                </c:pt>
                <c:pt idx="53">
                  <c:v>-128.44273781947973</c:v>
                </c:pt>
                <c:pt idx="54">
                  <c:v>-127.73664804823565</c:v>
                </c:pt>
                <c:pt idx="55">
                  <c:v>-127.08398368951751</c:v>
                </c:pt>
                <c:pt idx="56">
                  <c:v>-126.48061291394799</c:v>
                </c:pt>
                <c:pt idx="57">
                  <c:v>-125.92279776996249</c:v>
                </c:pt>
                <c:pt idx="58">
                  <c:v>-125.40715072864384</c:v>
                </c:pt>
                <c:pt idx="59">
                  <c:v>-124.93059656511664</c:v>
                </c:pt>
                <c:pt idx="60">
                  <c:v>-124.49033886235065</c:v>
                </c:pt>
                <c:pt idx="61">
                  <c:v>-124.08383052748169</c:v>
                </c:pt>
                <c:pt idx="62">
                  <c:v>-123.70874779775178</c:v>
                </c:pt>
                <c:pt idx="63">
                  <c:v>-123.36296728642117</c:v>
                </c:pt>
                <c:pt idx="64">
                  <c:v>-123.04454568109146</c:v>
                </c:pt>
                <c:pt idx="65">
                  <c:v>-122.75170175975722</c:v>
                </c:pt>
                <c:pt idx="66">
                  <c:v>-122.48280043509203</c:v>
                </c:pt>
                <c:pt idx="67">
                  <c:v>-122.23633857619795</c:v>
                </c:pt>
                <c:pt idx="68">
                  <c:v>-122.01093239029331</c:v>
                </c:pt>
                <c:pt idx="69">
                  <c:v>-121.80530617540441</c:v>
                </c:pt>
                <c:pt idx="70">
                  <c:v>-121.61828227974877</c:v>
                </c:pt>
                <c:pt idx="71">
                  <c:v>-121.44877212472799</c:v>
                </c:pt>
                <c:pt idx="72">
                  <c:v>-121.29576816677285</c:v>
                </c:pt>
                <c:pt idx="73">
                  <c:v>-121.15833668912214</c:v>
                </c:pt>
                <c:pt idx="74">
                  <c:v>-121.0356113283171</c:v>
                </c:pt>
                <c:pt idx="75">
                  <c:v>-120.9267872520618</c:v>
                </c:pt>
                <c:pt idx="76">
                  <c:v>-120.83111591538841</c:v>
                </c:pt>
                <c:pt idx="77">
                  <c:v>-120.74790033100038</c:v>
                </c:pt>
                <c:pt idx="78">
                  <c:v>-120.67649079743066</c:v>
                </c:pt>
                <c:pt idx="79">
                  <c:v>-120.61628103540643</c:v>
                </c:pt>
                <c:pt idx="80">
                  <c:v>-120.56670468870112</c:v>
                </c:pt>
                <c:pt idx="81">
                  <c:v>-120.52723215088659</c:v>
                </c:pt>
                <c:pt idx="82">
                  <c:v>-120.49736768388516</c:v>
                </c:pt>
                <c:pt idx="83">
                  <c:v>-120.47664679814409</c:v>
                </c:pt>
                <c:pt idx="84">
                  <c:v>-120.46463386768889</c:v>
                </c:pt>
                <c:pt idx="85">
                  <c:v>-120.46091995632554</c:v>
                </c:pt>
                <c:pt idx="86">
                  <c:v>-120.4651208339054</c:v>
                </c:pt>
                <c:pt idx="87">
                  <c:v>-120.47687516389166</c:v>
                </c:pt>
                <c:pt idx="88">
                  <c:v>-120.49584284551355</c:v>
                </c:pt>
                <c:pt idx="89">
                  <c:v>-120.52170349559765</c:v>
                </c:pt>
                <c:pt idx="90">
                  <c:v>-120.5541550567588</c:v>
                </c:pt>
                <c:pt idx="91">
                  <c:v>-120.59291252003922</c:v>
                </c:pt>
                <c:pt idx="92">
                  <c:v>-120.63770675133036</c:v>
                </c:pt>
                <c:pt idx="93">
                  <c:v>-120.68828341201458</c:v>
                </c:pt>
                <c:pt idx="94">
                  <c:v>-120.74440196524262</c:v>
                </c:pt>
                <c:pt idx="95">
                  <c:v>-120.80583476013132</c:v>
                </c:pt>
                <c:pt idx="96">
                  <c:v>-120.87236618694027</c:v>
                </c:pt>
                <c:pt idx="97">
                  <c:v>-120.94379189697267</c:v>
                </c:pt>
                <c:pt idx="98">
                  <c:v>-121.01991808156062</c:v>
                </c:pt>
                <c:pt idx="99">
                  <c:v>-121.10056080504174</c:v>
                </c:pt>
                <c:pt idx="100">
                  <c:v>-121.18554538712374</c:v>
                </c:pt>
                <c:pt idx="101">
                  <c:v>-121.27470583047116</c:v>
                </c:pt>
                <c:pt idx="102">
                  <c:v>-121.36788428974066</c:v>
                </c:pt>
                <c:pt idx="103">
                  <c:v>-121.46493057864259</c:v>
                </c:pt>
                <c:pt idx="104">
                  <c:v>-121.56570171192266</c:v>
                </c:pt>
                <c:pt idx="105">
                  <c:v>-121.67006147944025</c:v>
                </c:pt>
                <c:pt idx="106">
                  <c:v>-121.7778800497759</c:v>
                </c:pt>
                <c:pt idx="107">
                  <c:v>-121.88903360102972</c:v>
                </c:pt>
                <c:pt idx="108">
                  <c:v>-122.00340397667983</c:v>
                </c:pt>
                <c:pt idx="109">
                  <c:v>-122.12087836455683</c:v>
                </c:pt>
                <c:pt idx="110">
                  <c:v>-122.24134899715887</c:v>
                </c:pt>
                <c:pt idx="111">
                  <c:v>-122.36471287168555</c:v>
                </c:pt>
                <c:pt idx="112">
                  <c:v>-122.49087148830537</c:v>
                </c:pt>
                <c:pt idx="113">
                  <c:v>-122.61973060529866</c:v>
                </c:pt>
                <c:pt idx="114">
                  <c:v>-122.75120000983003</c:v>
                </c:pt>
                <c:pt idx="115">
                  <c:v>-122.88519330320841</c:v>
                </c:pt>
                <c:pt idx="116">
                  <c:v>-123.02162769958554</c:v>
                </c:pt>
                <c:pt idx="117">
                  <c:v>-123.16042383712971</c:v>
                </c:pt>
                <c:pt idx="118">
                  <c:v>-123.30150560078935</c:v>
                </c:pt>
                <c:pt idx="119">
                  <c:v>-123.44479995583018</c:v>
                </c:pt>
                <c:pt idx="120">
                  <c:v>-123.59023679139592</c:v>
                </c:pt>
                <c:pt idx="121">
                  <c:v>-123.73774877340068</c:v>
                </c:pt>
                <c:pt idx="122">
                  <c:v>-123.88727120611377</c:v>
                </c:pt>
                <c:pt idx="123">
                  <c:v>-124.03874190184865</c:v>
                </c:pt>
                <c:pt idx="124">
                  <c:v>-124.19210105821139</c:v>
                </c:pt>
                <c:pt idx="125">
                  <c:v>-124.34729114240554</c:v>
                </c:pt>
                <c:pt idx="126">
                  <c:v>-124.5042567821275</c:v>
                </c:pt>
                <c:pt idx="127">
                  <c:v>-124.66294466262245</c:v>
                </c:pt>
                <c:pt idx="128">
                  <c:v>-124.82330342950036</c:v>
                </c:pt>
                <c:pt idx="129">
                  <c:v>-124.98528359694325</c:v>
                </c:pt>
                <c:pt idx="130">
                  <c:v>-125.14883746095961</c:v>
                </c:pt>
                <c:pt idx="131">
                  <c:v>-125.3139190173676</c:v>
                </c:pt>
                <c:pt idx="132">
                  <c:v>-125.48048388421093</c:v>
                </c:pt>
                <c:pt idx="133">
                  <c:v>-125.64848922833281</c:v>
                </c:pt>
                <c:pt idx="134">
                  <c:v>-125.81789369585115</c:v>
                </c:pt>
                <c:pt idx="135">
                  <c:v>-125.988657346298</c:v>
                </c:pt>
                <c:pt idx="136">
                  <c:v>-126.16074159020076</c:v>
                </c:pt>
                <c:pt idx="137">
                  <c:v>-126.33410912989885</c:v>
                </c:pt>
                <c:pt idx="138">
                  <c:v>-126.50872390340353</c:v>
                </c:pt>
                <c:pt idx="139">
                  <c:v>-126.68455103112046</c:v>
                </c:pt>
                <c:pt idx="140">
                  <c:v>-126.86155676526846</c:v>
                </c:pt>
                <c:pt idx="141">
                  <c:v>-127.03970844183678</c:v>
                </c:pt>
                <c:pt idx="142">
                  <c:v>-127.21897443493532</c:v>
                </c:pt>
                <c:pt idx="143">
                  <c:v>-127.39932411340068</c:v>
                </c:pt>
                <c:pt idx="144">
                  <c:v>-127.58072779953022</c:v>
                </c:pt>
                <c:pt idx="145">
                  <c:v>-127.76315672982429</c:v>
                </c:pt>
                <c:pt idx="146">
                  <c:v>-127.94658301762465</c:v>
                </c:pt>
                <c:pt idx="147">
                  <c:v>-128.1309796175438</c:v>
                </c:pt>
                <c:pt idx="148">
                  <c:v>-128.31632029158709</c:v>
                </c:pt>
                <c:pt idx="149">
                  <c:v>-128.50257957687487</c:v>
                </c:pt>
                <c:pt idx="150">
                  <c:v>-128.68973275487841</c:v>
                </c:pt>
                <c:pt idx="151">
                  <c:v>-128.87775582208798</c:v>
                </c:pt>
                <c:pt idx="152">
                  <c:v>-129.06662546203668</c:v>
                </c:pt>
                <c:pt idx="153">
                  <c:v>-129.25631901860888</c:v>
                </c:pt>
                <c:pt idx="154">
                  <c:v>-129.4468144705645</c:v>
                </c:pt>
                <c:pt idx="155">
                  <c:v>-129.63809040721716</c:v>
                </c:pt>
                <c:pt idx="156">
                  <c:v>-129.83012600520539</c:v>
                </c:pt>
                <c:pt idx="157">
                  <c:v>-130.02290100630131</c:v>
                </c:pt>
                <c:pt idx="158">
                  <c:v>-130.21639569620328</c:v>
                </c:pt>
                <c:pt idx="159">
                  <c:v>-130.41059088426346</c:v>
                </c:pt>
                <c:pt idx="160">
                  <c:v>-130.60546788410258</c:v>
                </c:pt>
                <c:pt idx="161">
                  <c:v>-130.80100849506758</c:v>
                </c:pt>
                <c:pt idx="162">
                  <c:v>-130.99719498449096</c:v>
                </c:pt>
                <c:pt idx="163">
                  <c:v>-131.1940100707117</c:v>
                </c:pt>
                <c:pt idx="164">
                  <c:v>-131.3914369068207</c:v>
                </c:pt>
                <c:pt idx="165">
                  <c:v>-131.58945906509598</c:v>
                </c:pt>
                <c:pt idx="166">
                  <c:v>-131.78806052209339</c:v>
                </c:pt>
                <c:pt idx="167">
                  <c:v>-131.98722564436244</c:v>
                </c:pt>
                <c:pt idx="168">
                  <c:v>-132.18693917475696</c:v>
                </c:pt>
                <c:pt idx="169">
                  <c:v>-132.38718621931258</c:v>
                </c:pt>
                <c:pt idx="170">
                  <c:v>-132.58795223466456</c:v>
                </c:pt>
                <c:pt idx="171">
                  <c:v>-132.78922301598038</c:v>
                </c:pt>
                <c:pt idx="172">
                  <c:v>-132.99098468538375</c:v>
                </c:pt>
                <c:pt idx="173">
                  <c:v>-133.19322368084698</c:v>
                </c:pt>
                <c:pt idx="174">
                  <c:v>-133.39592674553091</c:v>
                </c:pt>
                <c:pt idx="175">
                  <c:v>-133.59908091755094</c:v>
                </c:pt>
                <c:pt idx="176">
                  <c:v>-133.80267352015136</c:v>
                </c:pt>
                <c:pt idx="177">
                  <c:v>-134.00669215226856</c:v>
                </c:pt>
                <c:pt idx="178">
                  <c:v>-134.21112467946625</c:v>
                </c:pt>
                <c:pt idx="179">
                  <c:v>-134.4159592252262</c:v>
                </c:pt>
                <c:pt idx="180">
                  <c:v>-134.62118416257888</c:v>
                </c:pt>
                <c:pt idx="181">
                  <c:v>-134.82678810605876</c:v>
                </c:pt>
                <c:pt idx="182">
                  <c:v>-135.03275990397083</c:v>
                </c:pt>
                <c:pt idx="183">
                  <c:v>-135.23908863095431</c:v>
                </c:pt>
                <c:pt idx="184">
                  <c:v>-135.44576358083114</c:v>
                </c:pt>
                <c:pt idx="185">
                  <c:v>-135.6527742597269</c:v>
                </c:pt>
                <c:pt idx="186">
                  <c:v>-135.86011037945266</c:v>
                </c:pt>
                <c:pt idx="187">
                  <c:v>-136.06776185113677</c:v>
                </c:pt>
                <c:pt idx="188">
                  <c:v>-136.27571877909622</c:v>
                </c:pt>
                <c:pt idx="189">
                  <c:v>-136.48397145493743</c:v>
                </c:pt>
                <c:pt idx="190">
                  <c:v>-136.6925103518769</c:v>
                </c:pt>
                <c:pt idx="191">
                  <c:v>-136.90132611927302</c:v>
                </c:pt>
                <c:pt idx="192">
                  <c:v>-137.11040957735992</c:v>
                </c:pt>
                <c:pt idx="193">
                  <c:v>-137.31975171217542</c:v>
                </c:pt>
                <c:pt idx="194">
                  <c:v>-137.52934367067542</c:v>
                </c:pt>
                <c:pt idx="195">
                  <c:v>-137.73917675602647</c:v>
                </c:pt>
                <c:pt idx="196">
                  <c:v>-137.9492424230703</c:v>
                </c:pt>
                <c:pt idx="197">
                  <c:v>-138.159532273953</c:v>
                </c:pt>
                <c:pt idx="198">
                  <c:v>-138.37003805391186</c:v>
                </c:pt>
                <c:pt idx="199">
                  <c:v>-138.58075164721481</c:v>
                </c:pt>
                <c:pt idx="200">
                  <c:v>-138.79166507324555</c:v>
                </c:pt>
                <c:pt idx="201">
                  <c:v>-139.00277048272878</c:v>
                </c:pt>
                <c:pt idx="202">
                  <c:v>-139.21406015409036</c:v>
                </c:pt>
                <c:pt idx="203">
                  <c:v>-139.42552648994737</c:v>
                </c:pt>
                <c:pt idx="204">
                  <c:v>-139.63716201372227</c:v>
                </c:pt>
                <c:pt idx="205">
                  <c:v>-139.84895936637747</c:v>
                </c:pt>
                <c:pt idx="206">
                  <c:v>-140.06091130326473</c:v>
                </c:pt>
                <c:pt idx="207">
                  <c:v>-140.2730106910858</c:v>
                </c:pt>
                <c:pt idx="208">
                  <c:v>-140.48525050495982</c:v>
                </c:pt>
                <c:pt idx="209">
                  <c:v>-140.69762382559307</c:v>
                </c:pt>
                <c:pt idx="210">
                  <c:v>-140.91012383654828</c:v>
                </c:pt>
                <c:pt idx="211">
                  <c:v>-141.12274382160848</c:v>
                </c:pt>
                <c:pt idx="212">
                  <c:v>-141.33547716223293</c:v>
                </c:pt>
                <c:pt idx="213">
                  <c:v>-141.54831733510144</c:v>
                </c:pt>
                <c:pt idx="214">
                  <c:v>-141.76125790974331</c:v>
                </c:pt>
                <c:pt idx="215">
                  <c:v>-141.97429254624862</c:v>
                </c:pt>
                <c:pt idx="216">
                  <c:v>-142.18741499305844</c:v>
                </c:pt>
                <c:pt idx="217">
                  <c:v>-142.40061908483082</c:v>
                </c:pt>
                <c:pt idx="218">
                  <c:v>-142.61389874038053</c:v>
                </c:pt>
                <c:pt idx="219">
                  <c:v>-142.82724796068928</c:v>
                </c:pt>
                <c:pt idx="220">
                  <c:v>-143.04066082698395</c:v>
                </c:pt>
                <c:pt idx="221">
                  <c:v>-143.25413149888084</c:v>
                </c:pt>
                <c:pt idx="222">
                  <c:v>-143.4676542125932</c:v>
                </c:pt>
                <c:pt idx="223">
                  <c:v>-143.68122327919951</c:v>
                </c:pt>
                <c:pt idx="224">
                  <c:v>-143.89483308297142</c:v>
                </c:pt>
                <c:pt idx="225">
                  <c:v>-144.10847807975779</c:v>
                </c:pt>
                <c:pt idx="226">
                  <c:v>-146.2456921560935</c:v>
                </c:pt>
                <c:pt idx="227">
                  <c:v>-148.38080456285039</c:v>
                </c:pt>
                <c:pt idx="228">
                  <c:v>-150.50925071138991</c:v>
                </c:pt>
                <c:pt idx="229">
                  <c:v>-152.62694068664982</c:v>
                </c:pt>
                <c:pt idx="230">
                  <c:v>-154.73019435873505</c:v>
                </c:pt>
                <c:pt idx="231">
                  <c:v>-156.81569481358736</c:v>
                </c:pt>
                <c:pt idx="232">
                  <c:v>-158.88045455494256</c:v>
                </c:pt>
                <c:pt idx="233">
                  <c:v>-160.92179046401887</c:v>
                </c:pt>
                <c:pt idx="234">
                  <c:v>-162.93730460208019</c:v>
                </c:pt>
                <c:pt idx="235">
                  <c:v>-164.92486874533643</c:v>
                </c:pt>
                <c:pt idx="236">
                  <c:v>-166.88261114133911</c:v>
                </c:pt>
                <c:pt idx="237">
                  <c:v>-168.8089044290403</c:v>
                </c:pt>
                <c:pt idx="238">
                  <c:v>-170.70235400914004</c:v>
                </c:pt>
                <c:pt idx="239">
                  <c:v>-172.56178641302779</c:v>
                </c:pt>
                <c:pt idx="240">
                  <c:v>-174.38623741557436</c:v>
                </c:pt>
                <c:pt idx="241">
                  <c:v>-176.17493978248854</c:v>
                </c:pt>
                <c:pt idx="242">
                  <c:v>-177.92731064707439</c:v>
                </c:pt>
                <c:pt idx="243">
                  <c:v>-179.64293858218636</c:v>
                </c:pt>
                <c:pt idx="244">
                  <c:v>-181.321570477774</c:v>
                </c:pt>
                <c:pt idx="245">
                  <c:v>-182.96309835839682</c:v>
                </c:pt>
                <c:pt idx="246">
                  <c:v>-184.56754628339573</c:v>
                </c:pt>
                <c:pt idx="247">
                  <c:v>-186.13505746921072</c:v>
                </c:pt>
                <c:pt idx="248">
                  <c:v>-187.66588176213571</c:v>
                </c:pt>
                <c:pt idx="249">
                  <c:v>-189.16036357348472</c:v>
                </c:pt>
                <c:pt idx="250">
                  <c:v>-190.61893036999825</c:v>
                </c:pt>
                <c:pt idx="251">
                  <c:v>-192.04208179214129</c:v>
                </c:pt>
                <c:pt idx="252">
                  <c:v>-193.43037945303996</c:v>
                </c:pt>
                <c:pt idx="253">
                  <c:v>-194.78443745211925</c:v>
                </c:pt>
                <c:pt idx="254">
                  <c:v>-196.1049136206351</c:v>
                </c:pt>
                <c:pt idx="255">
                  <c:v>-197.39250150158654</c:v>
                </c:pt>
                <c:pt idx="256">
                  <c:v>-198.64792305409168</c:v>
                </c:pt>
                <c:pt idx="257">
                  <c:v>-199.87192206220186</c:v>
                </c:pt>
                <c:pt idx="258">
                  <c:v>-201.06525822019915</c:v>
                </c:pt>
                <c:pt idx="259">
                  <c:v>-202.22870186048846</c:v>
                </c:pt>
                <c:pt idx="260">
                  <c:v>-203.36302928603357</c:v>
                </c:pt>
                <c:pt idx="261">
                  <c:v>-204.46901866665647</c:v>
                </c:pt>
                <c:pt idx="262">
                  <c:v>-205.54744645717733</c:v>
                </c:pt>
                <c:pt idx="263">
                  <c:v>-206.5990842950913</c:v>
                </c:pt>
                <c:pt idx="264">
                  <c:v>-207.62469633604118</c:v>
                </c:pt>
                <c:pt idx="265">
                  <c:v>-208.62503698656306</c:v>
                </c:pt>
                <c:pt idx="266">
                  <c:v>-209.60084899528951</c:v>
                </c:pt>
                <c:pt idx="267">
                  <c:v>-210.55286186584789</c:v>
                </c:pt>
                <c:pt idx="268">
                  <c:v>-211.48179055697102</c:v>
                </c:pt>
                <c:pt idx="269">
                  <c:v>-212.38833443774854</c:v>
                </c:pt>
                <c:pt idx="270">
                  <c:v>-213.27317646840825</c:v>
                </c:pt>
                <c:pt idx="271">
                  <c:v>-214.1369825794693</c:v>
                </c:pt>
                <c:pt idx="272">
                  <c:v>-214.98040122450379</c:v>
                </c:pt>
                <c:pt idx="273">
                  <c:v>-215.80406308405009</c:v>
                </c:pt>
                <c:pt idx="274">
                  <c:v>-216.60858090040858</c:v>
                </c:pt>
                <c:pt idx="275">
                  <c:v>-217.39454942511196</c:v>
                </c:pt>
                <c:pt idx="276">
                  <c:v>-218.16254546277958</c:v>
                </c:pt>
                <c:pt idx="277">
                  <c:v>-218.9131279968405</c:v>
                </c:pt>
                <c:pt idx="278">
                  <c:v>-219.64683838424099</c:v>
                </c:pt>
                <c:pt idx="279">
                  <c:v>-220.36420060774032</c:v>
                </c:pt>
                <c:pt idx="280">
                  <c:v>-221.0657215757538</c:v>
                </c:pt>
                <c:pt idx="281">
                  <c:v>-221.75189146092492</c:v>
                </c:pt>
                <c:pt idx="282">
                  <c:v>-222.42318406971251</c:v>
                </c:pt>
                <c:pt idx="283">
                  <c:v>-223.08005723626667</c:v>
                </c:pt>
                <c:pt idx="284">
                  <c:v>-223.72295323475467</c:v>
                </c:pt>
                <c:pt idx="285">
                  <c:v>-224.35229920508422</c:v>
                </c:pt>
                <c:pt idx="286">
                  <c:v>-224.96850758767425</c:v>
                </c:pt>
                <c:pt idx="287">
                  <c:v>-225.57197656354305</c:v>
                </c:pt>
                <c:pt idx="288">
                  <c:v>-226.16309049653378</c:v>
                </c:pt>
                <c:pt idx="289">
                  <c:v>-226.7422203749789</c:v>
                </c:pt>
                <c:pt idx="290">
                  <c:v>-227.3097242505325</c:v>
                </c:pt>
                <c:pt idx="291">
                  <c:v>-227.8659476722699</c:v>
                </c:pt>
                <c:pt idx="292">
                  <c:v>-228.41122411448134</c:v>
                </c:pt>
                <c:pt idx="293">
                  <c:v>-228.94587539686907</c:v>
                </c:pt>
                <c:pt idx="294">
                  <c:v>-229.47021209610622</c:v>
                </c:pt>
                <c:pt idx="295">
                  <c:v>-229.98453394792773</c:v>
                </c:pt>
                <c:pt idx="296">
                  <c:v>-230.48913023911089</c:v>
                </c:pt>
                <c:pt idx="297">
                  <c:v>-230.98428018886113</c:v>
                </c:pt>
                <c:pt idx="298">
                  <c:v>-231.47025331925681</c:v>
                </c:pt>
                <c:pt idx="299">
                  <c:v>-231.94730981452278</c:v>
                </c:pt>
                <c:pt idx="300">
                  <c:v>-232.41570086900362</c:v>
                </c:pt>
                <c:pt idx="301">
                  <c:v>-232.87566902379075</c:v>
                </c:pt>
                <c:pt idx="302">
                  <c:v>-233.32744849202973</c:v>
                </c:pt>
                <c:pt idx="303">
                  <c:v>-233.77126547299292</c:v>
                </c:pt>
                <c:pt idx="304">
                  <c:v>-234.20733845505305</c:v>
                </c:pt>
                <c:pt idx="305">
                  <c:v>-234.63587850773274</c:v>
                </c:pt>
                <c:pt idx="306">
                  <c:v>-235.05708956303971</c:v>
                </c:pt>
                <c:pt idx="307">
                  <c:v>-235.47116868632216</c:v>
                </c:pt>
                <c:pt idx="308">
                  <c:v>-235.87830633690089</c:v>
                </c:pt>
                <c:pt idx="309">
                  <c:v>-236.27868661875038</c:v>
                </c:pt>
                <c:pt idx="310">
                  <c:v>-236.67248752151221</c:v>
                </c:pt>
                <c:pt idx="311">
                  <c:v>-237.05988115213364</c:v>
                </c:pt>
                <c:pt idx="312">
                  <c:v>-237.44103395742749</c:v>
                </c:pt>
                <c:pt idx="313">
                  <c:v>-237.81610693785427</c:v>
                </c:pt>
                <c:pt idx="314">
                  <c:v>-238.18525585282572</c:v>
                </c:pt>
                <c:pt idx="315">
                  <c:v>-238.54863141782903</c:v>
                </c:pt>
                <c:pt idx="316">
                  <c:v>-238.90637949366706</c:v>
                </c:pt>
                <c:pt idx="317">
                  <c:v>-239.25864126810723</c:v>
                </c:pt>
                <c:pt idx="318">
                  <c:v>-239.60555343022367</c:v>
                </c:pt>
                <c:pt idx="319">
                  <c:v>-239.94724833771477</c:v>
                </c:pt>
                <c:pt idx="320">
                  <c:v>-240.28385417746878</c:v>
                </c:pt>
                <c:pt idx="321">
                  <c:v>-240.61549511964444</c:v>
                </c:pt>
                <c:pt idx="322">
                  <c:v>-240.94229146552516</c:v>
                </c:pt>
                <c:pt idx="323">
                  <c:v>-241.26435978939844</c:v>
                </c:pt>
                <c:pt idx="324">
                  <c:v>-241.58181307470335</c:v>
                </c:pt>
                <c:pt idx="325">
                  <c:v>-241.89476084468106</c:v>
                </c:pt>
                <c:pt idx="326">
                  <c:v>-242.20330928775559</c:v>
                </c:pt>
                <c:pt idx="327">
                  <c:v>-242.50756137786325</c:v>
                </c:pt>
                <c:pt idx="328">
                  <c:v>-242.80761698994192</c:v>
                </c:pt>
                <c:pt idx="329">
                  <c:v>-243.10357301078244</c:v>
                </c:pt>
                <c:pt idx="330">
                  <c:v>-243.39552344543782</c:v>
                </c:pt>
                <c:pt idx="331">
                  <c:v>-243.68355951937659</c:v>
                </c:pt>
                <c:pt idx="332">
                  <c:v>-243.96776977656114</c:v>
                </c:pt>
                <c:pt idx="333">
                  <c:v>-244.24824017362312</c:v>
                </c:pt>
                <c:pt idx="334">
                  <c:v>-244.52505417030127</c:v>
                </c:pt>
                <c:pt idx="335">
                  <c:v>-244.7982928163006</c:v>
                </c:pt>
                <c:pt idx="336">
                  <c:v>-245.06803483472459</c:v>
                </c:pt>
                <c:pt idx="337">
                  <c:v>-245.3343567022265</c:v>
                </c:pt>
                <c:pt idx="338">
                  <c:v>-245.59733272601824</c:v>
                </c:pt>
                <c:pt idx="339">
                  <c:v>-245.85703511787116</c:v>
                </c:pt>
                <c:pt idx="340">
                  <c:v>-246.11353406523551</c:v>
                </c:pt>
                <c:pt idx="341">
                  <c:v>-246.36689779960136</c:v>
                </c:pt>
                <c:pt idx="342">
                  <c:v>-246.61719266221743</c:v>
                </c:pt>
                <c:pt idx="343">
                  <c:v>-246.86448316727916</c:v>
                </c:pt>
                <c:pt idx="344">
                  <c:v>-247.10883206269369</c:v>
                </c:pt>
                <c:pt idx="345">
                  <c:v>-247.35030038852295</c:v>
                </c:pt>
                <c:pt idx="346">
                  <c:v>-247.588947533203</c:v>
                </c:pt>
                <c:pt idx="347">
                  <c:v>-247.82483128763238</c:v>
                </c:pt>
                <c:pt idx="348">
                  <c:v>-248.05800789721954</c:v>
                </c:pt>
                <c:pt idx="349">
                  <c:v>-248.2885321119735</c:v>
                </c:pt>
                <c:pt idx="350">
                  <c:v>-248.51645723471984</c:v>
                </c:pt>
                <c:pt idx="351">
                  <c:v>-248.74183516751992</c:v>
                </c:pt>
                <c:pt idx="352">
                  <c:v>-248.96471645636734</c:v>
                </c:pt>
                <c:pt idx="353">
                  <c:v>-249.18515033423301</c:v>
                </c:pt>
                <c:pt idx="354">
                  <c:v>-249.40318476252673</c:v>
                </c:pt>
                <c:pt idx="355">
                  <c:v>-249.61886647104055</c:v>
                </c:pt>
                <c:pt idx="356">
                  <c:v>-249.83224099643542</c:v>
                </c:pt>
                <c:pt idx="357">
                  <c:v>-250.04335271933087</c:v>
                </c:pt>
                <c:pt idx="358">
                  <c:v>-250.25224490005488</c:v>
                </c:pt>
                <c:pt idx="359">
                  <c:v>-250.45895971310699</c:v>
                </c:pt>
                <c:pt idx="360">
                  <c:v>-250.66353828038814</c:v>
                </c:pt>
                <c:pt idx="361">
                  <c:v>-250.86602070324554</c:v>
                </c:pt>
                <c:pt idx="362">
                  <c:v>-251.06644609338053</c:v>
                </c:pt>
                <c:pt idx="363">
                  <c:v>-251.264852602665</c:v>
                </c:pt>
                <c:pt idx="364">
                  <c:v>-251.46127745190938</c:v>
                </c:pt>
                <c:pt idx="365">
                  <c:v>-251.65575695862401</c:v>
                </c:pt>
                <c:pt idx="366">
                  <c:v>-251.84832656381354</c:v>
                </c:pt>
                <c:pt idx="367">
                  <c:v>-252.03902085784216</c:v>
                </c:pt>
                <c:pt idx="368">
                  <c:v>-252.22787360540636</c:v>
                </c:pt>
                <c:pt idx="369">
                  <c:v>-252.41491776965006</c:v>
                </c:pt>
                <c:pt idx="370">
                  <c:v>-252.60018553545478</c:v>
                </c:pt>
                <c:pt idx="371">
                  <c:v>-252.78370833193782</c:v>
                </c:pt>
                <c:pt idx="372">
                  <c:v>-252.96551685418788</c:v>
                </c:pt>
                <c:pt idx="373">
                  <c:v>-253.14564108426845</c:v>
                </c:pt>
                <c:pt idx="374">
                  <c:v>-253.32411031151582</c:v>
                </c:pt>
                <c:pt idx="375">
                  <c:v>-253.50095315215964</c:v>
                </c:pt>
                <c:pt idx="376">
                  <c:v>-253.676197568291</c:v>
                </c:pt>
                <c:pt idx="377">
                  <c:v>-253.84987088620306</c:v>
                </c:pt>
                <c:pt idx="378">
                  <c:v>-254.02199981412738</c:v>
                </c:pt>
                <c:pt idx="379">
                  <c:v>-254.19261045938924</c:v>
                </c:pt>
                <c:pt idx="380">
                  <c:v>-254.36172834500292</c:v>
                </c:pt>
                <c:pt idx="381">
                  <c:v>-254.52937842572817</c:v>
                </c:pt>
                <c:pt idx="382">
                  <c:v>-254.69558510360784</c:v>
                </c:pt>
                <c:pt idx="383">
                  <c:v>-254.86037224300532</c:v>
                </c:pt>
                <c:pt idx="384">
                  <c:v>-255.02376318516053</c:v>
                </c:pt>
                <c:pt idx="385">
                  <c:v>-255.18578076228221</c:v>
                </c:pt>
                <c:pt idx="386">
                  <c:v>-255.34644731119249</c:v>
                </c:pt>
                <c:pt idx="387">
                  <c:v>-255.50578468654118</c:v>
                </c:pt>
                <c:pt idx="388">
                  <c:v>-255.6638142736042</c:v>
                </c:pt>
                <c:pt idx="389">
                  <c:v>-255.82055700068207</c:v>
                </c:pt>
                <c:pt idx="390">
                  <c:v>-255.97603335111131</c:v>
                </c:pt>
                <c:pt idx="391">
                  <c:v>-256.13026337490464</c:v>
                </c:pt>
                <c:pt idx="392">
                  <c:v>-256.28326670003099</c:v>
                </c:pt>
                <c:pt idx="393">
                  <c:v>-256.43506254334932</c:v>
                </c:pt>
                <c:pt idx="394">
                  <c:v>-256.58566972120832</c:v>
                </c:pt>
                <c:pt idx="395">
                  <c:v>-256.73510665972299</c:v>
                </c:pt>
                <c:pt idx="396">
                  <c:v>-256.88339140474022</c:v>
                </c:pt>
                <c:pt idx="397">
                  <c:v>-257.03054163150341</c:v>
                </c:pt>
                <c:pt idx="398">
                  <c:v>-257.17657465402721</c:v>
                </c:pt>
                <c:pt idx="399">
                  <c:v>-257.32150743419191</c:v>
                </c:pt>
                <c:pt idx="400">
                  <c:v>-257.46535659056696</c:v>
                </c:pt>
                <c:pt idx="401">
                  <c:v>-257.60813840697341</c:v>
                </c:pt>
                <c:pt idx="402">
                  <c:v>-257.74986884079379</c:v>
                </c:pt>
                <c:pt idx="403">
                  <c:v>-257.89056353103769</c:v>
                </c:pt>
                <c:pt idx="404">
                  <c:v>-258.03023780617207</c:v>
                </c:pt>
                <c:pt idx="405">
                  <c:v>-258.16890669172324</c:v>
                </c:pt>
                <c:pt idx="406">
                  <c:v>-258.30658491765928</c:v>
                </c:pt>
                <c:pt idx="407">
                  <c:v>-258.44328692555843</c:v>
                </c:pt>
                <c:pt idx="408">
                  <c:v>-258.57902687557282</c:v>
                </c:pt>
                <c:pt idx="409">
                  <c:v>-258.71381865319256</c:v>
                </c:pt>
                <c:pt idx="410">
                  <c:v>-258.847675875817</c:v>
                </c:pt>
                <c:pt idx="411">
                  <c:v>-258.98061189914057</c:v>
                </c:pt>
                <c:pt idx="412">
                  <c:v>-259.11263982335748</c:v>
                </c:pt>
                <c:pt idx="413">
                  <c:v>-259.24377249919308</c:v>
                </c:pt>
                <c:pt idx="414">
                  <c:v>-259.37402253376581</c:v>
                </c:pt>
                <c:pt idx="415">
                  <c:v>-259.5034022962862</c:v>
                </c:pt>
                <c:pt idx="416">
                  <c:v>-259.63192392359758</c:v>
                </c:pt>
                <c:pt idx="417">
                  <c:v>-259.75959932556435</c:v>
                </c:pt>
                <c:pt idx="418">
                  <c:v>-259.88644019031153</c:v>
                </c:pt>
                <c:pt idx="419">
                  <c:v>-260.01245798932109</c:v>
                </c:pt>
                <c:pt idx="420">
                  <c:v>-260.13766398238948</c:v>
                </c:pt>
                <c:pt idx="421">
                  <c:v>-260.26206922245041</c:v>
                </c:pt>
                <c:pt idx="422">
                  <c:v>-260.38568456026752</c:v>
                </c:pt>
                <c:pt idx="423">
                  <c:v>-260.50852064900039</c:v>
                </c:pt>
                <c:pt idx="424">
                  <c:v>-260.63058794864833</c:v>
                </c:pt>
                <c:pt idx="425">
                  <c:v>-260.75189673037619</c:v>
                </c:pt>
                <c:pt idx="426">
                  <c:v>-260.87245708072373</c:v>
                </c:pt>
                <c:pt idx="427">
                  <c:v>-260.99227890570535</c:v>
                </c:pt>
                <c:pt idx="428">
                  <c:v>-261.11137193480027</c:v>
                </c:pt>
                <c:pt idx="429">
                  <c:v>-261.22974572483906</c:v>
                </c:pt>
                <c:pt idx="430">
                  <c:v>-261.34740966378786</c:v>
                </c:pt>
                <c:pt idx="431">
                  <c:v>-261.46437297443447</c:v>
                </c:pt>
                <c:pt idx="432">
                  <c:v>-261.58064471797888</c:v>
                </c:pt>
                <c:pt idx="433">
                  <c:v>-261.69623379753068</c:v>
                </c:pt>
                <c:pt idx="434">
                  <c:v>-261.81114896151735</c:v>
                </c:pt>
                <c:pt idx="435">
                  <c:v>-261.92539880700411</c:v>
                </c:pt>
                <c:pt idx="436">
                  <c:v>-262.03899178293051</c:v>
                </c:pt>
                <c:pt idx="437">
                  <c:v>-262.1519361932634</c:v>
                </c:pt>
                <c:pt idx="438">
                  <c:v>-262.26424020007119</c:v>
                </c:pt>
                <c:pt idx="439">
                  <c:v>-262.37591182652</c:v>
                </c:pt>
                <c:pt idx="440">
                  <c:v>-262.48695895979506</c:v>
                </c:pt>
                <c:pt idx="441">
                  <c:v>-262.59738935394853</c:v>
                </c:pt>
                <c:pt idx="442">
                  <c:v>-262.70721063267717</c:v>
                </c:pt>
                <c:pt idx="443">
                  <c:v>-262.81643029203042</c:v>
                </c:pt>
                <c:pt idx="444">
                  <c:v>-262.92505570305184</c:v>
                </c:pt>
                <c:pt idx="445">
                  <c:v>-263.03309411435578</c:v>
                </c:pt>
                <c:pt idx="446">
                  <c:v>-263.1405526546406</c:v>
                </c:pt>
                <c:pt idx="447">
                  <c:v>-263.24743833514049</c:v>
                </c:pt>
                <c:pt idx="448">
                  <c:v>-263.35375805201812</c:v>
                </c:pt>
                <c:pt idx="449">
                  <c:v>-263.45951858869876</c:v>
                </c:pt>
                <c:pt idx="450">
                  <c:v>-263.56472661814837</c:v>
                </c:pt>
                <c:pt idx="451">
                  <c:v>-263.66938870509711</c:v>
                </c:pt>
                <c:pt idx="452">
                  <c:v>-263.77351130820904</c:v>
                </c:pt>
                <c:pt idx="453">
                  <c:v>-263.8771007822009</c:v>
                </c:pt>
                <c:pt idx="454">
                  <c:v>-263.98016337990953</c:v>
                </c:pt>
                <c:pt idx="455">
                  <c:v>-264.08270525431141</c:v>
                </c:pt>
                <c:pt idx="456">
                  <c:v>-264.18473246049359</c:v>
                </c:pt>
                <c:pt idx="457">
                  <c:v>-264.28625095757934</c:v>
                </c:pt>
                <c:pt idx="458">
                  <c:v>-264.38726661060747</c:v>
                </c:pt>
                <c:pt idx="459">
                  <c:v>-264.4877851923693</c:v>
                </c:pt>
                <c:pt idx="460">
                  <c:v>-264.58781238520157</c:v>
                </c:pt>
                <c:pt idx="461">
                  <c:v>-264.68735378273891</c:v>
                </c:pt>
                <c:pt idx="462">
                  <c:v>-264.78641489162533</c:v>
                </c:pt>
                <c:pt idx="463">
                  <c:v>-264.88500113318645</c:v>
                </c:pt>
                <c:pt idx="464">
                  <c:v>-264.98311784506387</c:v>
                </c:pt>
                <c:pt idx="465">
                  <c:v>-265.08077028281161</c:v>
                </c:pt>
                <c:pt idx="466">
                  <c:v>-265.17796362145691</c:v>
                </c:pt>
                <c:pt idx="467">
                  <c:v>-265.27470295702528</c:v>
                </c:pt>
                <c:pt idx="468">
                  <c:v>-265.37099330803159</c:v>
                </c:pt>
                <c:pt idx="469">
                  <c:v>-265.46683961693697</c:v>
                </c:pt>
                <c:pt idx="470">
                  <c:v>-265.5622467515737</c:v>
                </c:pt>
                <c:pt idx="471">
                  <c:v>-265.65721950653824</c:v>
                </c:pt>
                <c:pt idx="472">
                  <c:v>-265.75176260455316</c:v>
                </c:pt>
                <c:pt idx="473">
                  <c:v>-265.84588069779863</c:v>
                </c:pt>
                <c:pt idx="474">
                  <c:v>-265.93957836921516</c:v>
                </c:pt>
                <c:pt idx="475">
                  <c:v>-266.03286013377726</c:v>
                </c:pt>
                <c:pt idx="476">
                  <c:v>-266.1257304397393</c:v>
                </c:pt>
                <c:pt idx="477">
                  <c:v>-266.21819366985403</c:v>
                </c:pt>
                <c:pt idx="478">
                  <c:v>-266.31025414256499</c:v>
                </c:pt>
                <c:pt idx="479">
                  <c:v>-266.40191611317249</c:v>
                </c:pt>
                <c:pt idx="480">
                  <c:v>-266.49318377497491</c:v>
                </c:pt>
                <c:pt idx="481">
                  <c:v>-266.58406126038528</c:v>
                </c:pt>
                <c:pt idx="482">
                  <c:v>-266.67455264202374</c:v>
                </c:pt>
                <c:pt idx="483">
                  <c:v>-266.7646619337869</c:v>
                </c:pt>
                <c:pt idx="484">
                  <c:v>-266.85439309189405</c:v>
                </c:pt>
                <c:pt idx="485">
                  <c:v>-266.94375001591169</c:v>
                </c:pt>
                <c:pt idx="486">
                  <c:v>-267.0327365497559</c:v>
                </c:pt>
                <c:pt idx="487">
                  <c:v>-267.12135648267395</c:v>
                </c:pt>
                <c:pt idx="488">
                  <c:v>-267.20961355020472</c:v>
                </c:pt>
                <c:pt idx="489">
                  <c:v>-267.2975114351201</c:v>
                </c:pt>
                <c:pt idx="490">
                  <c:v>-267.3850537683453</c:v>
                </c:pt>
                <c:pt idx="491">
                  <c:v>-267.472244129861</c:v>
                </c:pt>
                <c:pt idx="492">
                  <c:v>-267.55908604958694</c:v>
                </c:pt>
                <c:pt idx="493">
                  <c:v>-267.64558300824638</c:v>
                </c:pt>
                <c:pt idx="494">
                  <c:v>-267.73173843821348</c:v>
                </c:pt>
                <c:pt idx="495">
                  <c:v>-267.81755572434309</c:v>
                </c:pt>
                <c:pt idx="496">
                  <c:v>-267.90303820478346</c:v>
                </c:pt>
                <c:pt idx="497">
                  <c:v>-267.9881891717726</c:v>
                </c:pt>
                <c:pt idx="498">
                  <c:v>-268.07301187241819</c:v>
                </c:pt>
                <c:pt idx="499">
                  <c:v>-268.1575095094621</c:v>
                </c:pt>
                <c:pt idx="500">
                  <c:v>-268.24168524202889</c:v>
                </c:pt>
                <c:pt idx="501">
                  <c:v>-268.32554218635994</c:v>
                </c:pt>
                <c:pt idx="502">
                  <c:v>-268.40908341653233</c:v>
                </c:pt>
                <c:pt idx="503">
                  <c:v>-268.49231196516348</c:v>
                </c:pt>
                <c:pt idx="504">
                  <c:v>-268.57523082410216</c:v>
                </c:pt>
                <c:pt idx="505">
                  <c:v>-268.6578429451049</c:v>
                </c:pt>
                <c:pt idx="506">
                  <c:v>-268.74015124050021</c:v>
                </c:pt>
                <c:pt idx="507">
                  <c:v>-268.82215858383847</c:v>
                </c:pt>
                <c:pt idx="508">
                  <c:v>-268.9038678105299</c:v>
                </c:pt>
                <c:pt idx="509">
                  <c:v>-268.98528171846976</c:v>
                </c:pt>
                <c:pt idx="510">
                  <c:v>-269.06640306865131</c:v>
                </c:pt>
                <c:pt idx="511">
                  <c:v>-269.14723458576668</c:v>
                </c:pt>
                <c:pt idx="512">
                  <c:v>-269.22777895879648</c:v>
                </c:pt>
                <c:pt idx="513">
                  <c:v>-269.30803884158775</c:v>
                </c:pt>
                <c:pt idx="514">
                  <c:v>-269.38801685342042</c:v>
                </c:pt>
                <c:pt idx="515">
                  <c:v>-269.46771557956384</c:v>
                </c:pt>
                <c:pt idx="516">
                  <c:v>-269.54713757182157</c:v>
                </c:pt>
                <c:pt idx="517">
                  <c:v>-269.62628534906639</c:v>
                </c:pt>
                <c:pt idx="518">
                  <c:v>-269.70516139776498</c:v>
                </c:pt>
                <c:pt idx="519">
                  <c:v>-269.78376817249256</c:v>
                </c:pt>
                <c:pt idx="520">
                  <c:v>-269.86210809643796</c:v>
                </c:pt>
                <c:pt idx="521">
                  <c:v>-269.940183561899</c:v>
                </c:pt>
                <c:pt idx="522">
                  <c:v>-270.0179969307685</c:v>
                </c:pt>
                <c:pt idx="523">
                  <c:v>-270.09555053501151</c:v>
                </c:pt>
                <c:pt idx="524">
                  <c:v>-270.17284667713307</c:v>
                </c:pt>
                <c:pt idx="525">
                  <c:v>-270.249887630638</c:v>
                </c:pt>
                <c:pt idx="526">
                  <c:v>-270.32667564048108</c:v>
                </c:pt>
                <c:pt idx="527">
                  <c:v>-270.4032129235103</c:v>
                </c:pt>
                <c:pt idx="528">
                  <c:v>-270.47950166890058</c:v>
                </c:pt>
                <c:pt idx="529">
                  <c:v>-270.55554403858019</c:v>
                </c:pt>
                <c:pt idx="530">
                  <c:v>-270.63134216764939</c:v>
                </c:pt>
                <c:pt idx="531">
                  <c:v>-270.70689816479114</c:v>
                </c:pt>
                <c:pt idx="532">
                  <c:v>-270.7822141126743</c:v>
                </c:pt>
                <c:pt idx="533">
                  <c:v>-270.85729206834992</c:v>
                </c:pt>
                <c:pt idx="534">
                  <c:v>-270.93213406363975</c:v>
                </c:pt>
                <c:pt idx="535">
                  <c:v>-271.00674210551813</c:v>
                </c:pt>
                <c:pt idx="536">
                  <c:v>-271.08111817648683</c:v>
                </c:pt>
                <c:pt idx="537">
                  <c:v>-271.15526423494327</c:v>
                </c:pt>
                <c:pt idx="538">
                  <c:v>-271.2291822155421</c:v>
                </c:pt>
                <c:pt idx="539">
                  <c:v>-271.30287402955014</c:v>
                </c:pt>
                <c:pt idx="540">
                  <c:v>-271.37634156519522</c:v>
                </c:pt>
                <c:pt idx="541">
                  <c:v>-271.44958668800871</c:v>
                </c:pt>
                <c:pt idx="542">
                  <c:v>-271.52261124116228</c:v>
                </c:pt>
                <c:pt idx="543">
                  <c:v>-271.59541704579783</c:v>
                </c:pt>
                <c:pt idx="544">
                  <c:v>-271.66800590135301</c:v>
                </c:pt>
                <c:pt idx="545">
                  <c:v>-271.74037958587968</c:v>
                </c:pt>
                <c:pt idx="546">
                  <c:v>-271.81253985635749</c:v>
                </c:pt>
                <c:pt idx="547">
                  <c:v>-271.88448844900199</c:v>
                </c:pt>
                <c:pt idx="548">
                  <c:v>-271.95622707956704</c:v>
                </c:pt>
                <c:pt idx="549">
                  <c:v>-272.02775744364237</c:v>
                </c:pt>
                <c:pt idx="550">
                  <c:v>-272.09908121694565</c:v>
                </c:pt>
                <c:pt idx="551">
                  <c:v>-272.1702000556096</c:v>
                </c:pt>
                <c:pt idx="552">
                  <c:v>-272.24111559646457</c:v>
                </c:pt>
                <c:pt idx="553">
                  <c:v>-272.3118294573153</c:v>
                </c:pt>
                <c:pt idx="554">
                  <c:v>-272.38234323721412</c:v>
                </c:pt>
                <c:pt idx="555">
                  <c:v>-272.45265851672866</c:v>
                </c:pt>
                <c:pt idx="556">
                  <c:v>-272.52277685820536</c:v>
                </c:pt>
                <c:pt idx="557">
                  <c:v>-272.59269980602829</c:v>
                </c:pt>
                <c:pt idx="558">
                  <c:v>-272.66242888687395</c:v>
                </c:pt>
                <c:pt idx="559">
                  <c:v>-272.73196560996121</c:v>
                </c:pt>
                <c:pt idx="560">
                  <c:v>-272.80131146729764</c:v>
                </c:pt>
                <c:pt idx="561">
                  <c:v>-272.8704679339213</c:v>
                </c:pt>
                <c:pt idx="562">
                  <c:v>-272.93943646813887</c:v>
                </c:pt>
                <c:pt idx="563">
                  <c:v>-273.00821851175914</c:v>
                </c:pt>
                <c:pt idx="564">
                  <c:v>-273.07681549032321</c:v>
                </c:pt>
                <c:pt idx="565">
                  <c:v>-273.1452288133309</c:v>
                </c:pt>
                <c:pt idx="566">
                  <c:v>-273.2134598744629</c:v>
                </c:pt>
                <c:pt idx="567">
                  <c:v>-273.28151005179973</c:v>
                </c:pt>
                <c:pt idx="568">
                  <c:v>-273.34938070803673</c:v>
                </c:pt>
                <c:pt idx="569">
                  <c:v>-273.4170731906961</c:v>
                </c:pt>
                <c:pt idx="570">
                  <c:v>-273.48458883233457</c:v>
                </c:pt>
                <c:pt idx="571">
                  <c:v>-273.55192895074845</c:v>
                </c:pt>
                <c:pt idx="572">
                  <c:v>-273.61909484917527</c:v>
                </c:pt>
                <c:pt idx="573">
                  <c:v>-273.68608781649147</c:v>
                </c:pt>
                <c:pt idx="574">
                  <c:v>-273.7529091274078</c:v>
                </c:pt>
                <c:pt idx="575">
                  <c:v>-273.8195600426609</c:v>
                </c:pt>
                <c:pt idx="576">
                  <c:v>-273.88604180920203</c:v>
                </c:pt>
                <c:pt idx="577">
                  <c:v>-273.95235566038298</c:v>
                </c:pt>
                <c:pt idx="578">
                  <c:v>-274.01850281613844</c:v>
                </c:pt>
                <c:pt idx="579">
                  <c:v>-274.08448448316619</c:v>
                </c:pt>
                <c:pt idx="580">
                  <c:v>-274.15030185510346</c:v>
                </c:pt>
                <c:pt idx="581">
                  <c:v>-274.2159561127018</c:v>
                </c:pt>
                <c:pt idx="582">
                  <c:v>-274.28144842399774</c:v>
                </c:pt>
                <c:pt idx="583">
                  <c:v>-274.3467799444818</c:v>
                </c:pt>
                <c:pt idx="584">
                  <c:v>-274.41195181726442</c:v>
                </c:pt>
                <c:pt idx="585">
                  <c:v>-274.47696517323925</c:v>
                </c:pt>
                <c:pt idx="586">
                  <c:v>-274.54182113124398</c:v>
                </c:pt>
                <c:pt idx="587">
                  <c:v>-274.60652079821875</c:v>
                </c:pt>
                <c:pt idx="588">
                  <c:v>-274.67106526936175</c:v>
                </c:pt>
                <c:pt idx="589">
                  <c:v>-274.73545562828281</c:v>
                </c:pt>
                <c:pt idx="590">
                  <c:v>-274.79969294715431</c:v>
                </c:pt>
                <c:pt idx="591">
                  <c:v>-274.86377828685966</c:v>
                </c:pt>
                <c:pt idx="592">
                  <c:v>-274.92771269714018</c:v>
                </c:pt>
                <c:pt idx="593">
                  <c:v>-274.99149721673871</c:v>
                </c:pt>
                <c:pt idx="594">
                  <c:v>-275.05513287354165</c:v>
                </c:pt>
                <c:pt idx="595">
                  <c:v>-275.11862068471885</c:v>
                </c:pt>
                <c:pt idx="596">
                  <c:v>-275.18196165686106</c:v>
                </c:pt>
                <c:pt idx="597">
                  <c:v>-275.24515678611533</c:v>
                </c:pt>
                <c:pt idx="598">
                  <c:v>-275.3082070583186</c:v>
                </c:pt>
                <c:pt idx="599">
                  <c:v>-275.37111344912893</c:v>
                </c:pt>
                <c:pt idx="600">
                  <c:v>-275.43387692415513</c:v>
                </c:pt>
                <c:pt idx="601">
                  <c:v>-275.49649843908389</c:v>
                </c:pt>
                <c:pt idx="602">
                  <c:v>-275.55897893980568</c:v>
                </c:pt>
                <c:pt idx="603">
                  <c:v>-275.62131936253809</c:v>
                </c:pt>
                <c:pt idx="604">
                  <c:v>-275.68352063394775</c:v>
                </c:pt>
                <c:pt idx="605">
                  <c:v>-275.74558367127037</c:v>
                </c:pt>
                <c:pt idx="606">
                  <c:v>-278.69032948371159</c:v>
                </c:pt>
                <c:pt idx="607">
                  <c:v>-281.37831783356802</c:v>
                </c:pt>
                <c:pt idx="608">
                  <c:v>-283.86713963826014</c:v>
                </c:pt>
                <c:pt idx="609">
                  <c:v>-286.19480156965096</c:v>
                </c:pt>
                <c:pt idx="610">
                  <c:v>-288.38739622774665</c:v>
                </c:pt>
                <c:pt idx="611">
                  <c:v>-290.46347708708089</c:v>
                </c:pt>
                <c:pt idx="612">
                  <c:v>-292.43667272949324</c:v>
                </c:pt>
                <c:pt idx="613">
                  <c:v>-294.31730912678557</c:v>
                </c:pt>
                <c:pt idx="614">
                  <c:v>-296.11344784173912</c:v>
                </c:pt>
                <c:pt idx="615">
                  <c:v>-297.83156731508325</c:v>
                </c:pt>
                <c:pt idx="616">
                  <c:v>-299.47701914540681</c:v>
                </c:pt>
                <c:pt idx="617">
                  <c:v>-301.05433876342317</c:v>
                </c:pt>
                <c:pt idx="618">
                  <c:v>-301.73394613972062</c:v>
                </c:pt>
                <c:pt idx="619">
                  <c:v>-302.40128968076499</c:v>
                </c:pt>
                <c:pt idx="620">
                  <c:v>-303.05671166163552</c:v>
                </c:pt>
                <c:pt idx="621">
                  <c:v>-303.70053572446449</c:v>
                </c:pt>
                <c:pt idx="622">
                  <c:v>-304.33306864802603</c:v>
                </c:pt>
                <c:pt idx="623">
                  <c:v>-304.95460190873655</c:v>
                </c:pt>
                <c:pt idx="624">
                  <c:v>-305.56541305988287</c:v>
                </c:pt>
                <c:pt idx="625">
                  <c:v>-306.16576695217634</c:v>
                </c:pt>
                <c:pt idx="626">
                  <c:v>-306.7559168155791</c:v>
                </c:pt>
                <c:pt idx="627">
                  <c:v>-307.33610521965949</c:v>
                </c:pt>
                <c:pt idx="628">
                  <c:v>-307.90656492743864</c:v>
                </c:pt>
                <c:pt idx="629">
                  <c:v>-308.46751965572594</c:v>
                </c:pt>
                <c:pt idx="630">
                  <c:v>-309.01918475325323</c:v>
                </c:pt>
                <c:pt idx="631">
                  <c:v>-309.56176780646581</c:v>
                </c:pt>
                <c:pt idx="632">
                  <c:v>-310.09546918157628</c:v>
                </c:pt>
                <c:pt idx="633">
                  <c:v>-310.6204825104038</c:v>
                </c:pt>
                <c:pt idx="634">
                  <c:v>-311.13699512658729</c:v>
                </c:pt>
                <c:pt idx="635">
                  <c:v>-311.64518845794265</c:v>
                </c:pt>
                <c:pt idx="636">
                  <c:v>-312.14523838003106</c:v>
                </c:pt>
                <c:pt idx="637">
                  <c:v>-312.63731553538889</c:v>
                </c:pt>
                <c:pt idx="638">
                  <c:v>-313.12158562233088</c:v>
                </c:pt>
                <c:pt idx="639">
                  <c:v>-313.59820965677204</c:v>
                </c:pt>
                <c:pt idx="640">
                  <c:v>-314.06734421010094</c:v>
                </c:pt>
                <c:pt idx="641">
                  <c:v>-314.52914162578003</c:v>
                </c:pt>
                <c:pt idx="642">
                  <c:v>-314.98375021703157</c:v>
                </c:pt>
                <c:pt idx="643">
                  <c:v>-315.43131444769335</c:v>
                </c:pt>
                <c:pt idx="644">
                  <c:v>-315.87197509808334</c:v>
                </c:pt>
                <c:pt idx="645">
                  <c:v>-316.30586941750039</c:v>
                </c:pt>
                <c:pt idx="646">
                  <c:v>-316.73313126479917</c:v>
                </c:pt>
                <c:pt idx="647">
                  <c:v>-317.15389123831108</c:v>
                </c:pt>
                <c:pt idx="648">
                  <c:v>-317.56827679623927</c:v>
                </c:pt>
                <c:pt idx="649">
                  <c:v>-317.976412368524</c:v>
                </c:pt>
                <c:pt idx="650">
                  <c:v>-318.37841946106158</c:v>
                </c:pt>
                <c:pt idx="651">
                  <c:v>-318.77441675306181</c:v>
                </c:pt>
                <c:pt idx="652">
                  <c:v>-319.16452018823668</c:v>
                </c:pt>
                <c:pt idx="653">
                  <c:v>-319.54884306043658</c:v>
                </c:pt>
                <c:pt idx="654">
                  <c:v>-319.92749609428063</c:v>
                </c:pt>
                <c:pt idx="655">
                  <c:v>-320.30058752126536</c:v>
                </c:pt>
                <c:pt idx="656">
                  <c:v>-320.66822315178251</c:v>
                </c:pt>
                <c:pt idx="657">
                  <c:v>-321.03050644342812</c:v>
                </c:pt>
                <c:pt idx="658">
                  <c:v>-321.38753856594241</c:v>
                </c:pt>
                <c:pt idx="659">
                  <c:v>-321.73941846308219</c:v>
                </c:pt>
                <c:pt idx="660">
                  <c:v>-322.08624291169474</c:v>
                </c:pt>
                <c:pt idx="661">
                  <c:v>-322.42810657823105</c:v>
                </c:pt>
                <c:pt idx="662">
                  <c:v>-322.76510207291102</c:v>
                </c:pt>
                <c:pt idx="663">
                  <c:v>-323.09732000173096</c:v>
                </c:pt>
                <c:pt idx="664">
                  <c:v>-323.42484901648021</c:v>
                </c:pt>
                <c:pt idx="665">
                  <c:v>-323.74777586291884</c:v>
                </c:pt>
                <c:pt idx="666">
                  <c:v>-324.06618542724948</c:v>
                </c:pt>
                <c:pt idx="667">
                  <c:v>-324.3801607810035</c:v>
                </c:pt>
              </c:numCache>
            </c:numRef>
          </c:yVal>
          <c:smooth val="0"/>
          <c:extLst>
            <c:ext xmlns:c16="http://schemas.microsoft.com/office/drawing/2014/chart" uri="{C3380CC4-5D6E-409C-BE32-E72D297353CC}">
              <c16:uniqueId val="{00000002-2A10-41EA-A3AE-967165122F16}"/>
            </c:ext>
          </c:extLst>
        </c:ser>
        <c:ser>
          <c:idx val="1"/>
          <c:order val="3"/>
          <c:tx>
            <c:v>Measured Phase</c:v>
          </c:tx>
          <c:spPr>
            <a:ln w="12700">
              <a:solidFill>
                <a:srgbClr val="FF00FF"/>
              </a:solidFill>
              <a:prstDash val="solid"/>
            </a:ln>
          </c:spPr>
          <c:marker>
            <c:symbol val="square"/>
            <c:size val="5"/>
            <c:spPr>
              <a:solidFill>
                <a:srgbClr val="FF00FF"/>
              </a:solidFill>
              <a:ln>
                <a:solidFill>
                  <a:srgbClr val="FF00FF"/>
                </a:solidFill>
                <a:prstDash val="solid"/>
              </a:ln>
            </c:spPr>
          </c:marker>
          <c:xVal>
            <c:numRef>
              <c:f>'Bode Plots Calculations'!$BT$10:$BT$409</c:f>
              <c:numCache>
                <c:formatCode>#0.0#</c:formatCode>
                <c:ptCount val="400"/>
                <c:pt idx="0">
                  <c:v>100</c:v>
                </c:pt>
                <c:pt idx="1">
                  <c:v>102.32899999999999</c:v>
                </c:pt>
                <c:pt idx="2">
                  <c:v>104.71299999999999</c:v>
                </c:pt>
                <c:pt idx="3">
                  <c:v>107.152</c:v>
                </c:pt>
                <c:pt idx="4">
                  <c:v>109.648</c:v>
                </c:pt>
                <c:pt idx="5">
                  <c:v>112.202</c:v>
                </c:pt>
                <c:pt idx="6">
                  <c:v>114.815</c:v>
                </c:pt>
                <c:pt idx="7">
                  <c:v>117.49</c:v>
                </c:pt>
                <c:pt idx="8">
                  <c:v>120.226</c:v>
                </c:pt>
                <c:pt idx="9">
                  <c:v>123.027</c:v>
                </c:pt>
                <c:pt idx="10">
                  <c:v>125.893</c:v>
                </c:pt>
                <c:pt idx="11">
                  <c:v>128.82499999999999</c:v>
                </c:pt>
                <c:pt idx="12">
                  <c:v>131.82599999999999</c:v>
                </c:pt>
                <c:pt idx="13">
                  <c:v>134.89599999999999</c:v>
                </c:pt>
                <c:pt idx="14">
                  <c:v>138.03800000000001</c:v>
                </c:pt>
                <c:pt idx="15">
                  <c:v>141.25399999999999</c:v>
                </c:pt>
                <c:pt idx="16">
                  <c:v>144.54400000000001</c:v>
                </c:pt>
                <c:pt idx="17">
                  <c:v>147.911</c:v>
                </c:pt>
                <c:pt idx="18">
                  <c:v>151.35599999999999</c:v>
                </c:pt>
                <c:pt idx="19">
                  <c:v>154.88200000000001</c:v>
                </c:pt>
                <c:pt idx="20">
                  <c:v>158.489</c:v>
                </c:pt>
                <c:pt idx="21">
                  <c:v>162.18100000000001</c:v>
                </c:pt>
                <c:pt idx="22">
                  <c:v>165.959</c:v>
                </c:pt>
                <c:pt idx="23">
                  <c:v>169.82400000000001</c:v>
                </c:pt>
                <c:pt idx="24">
                  <c:v>173.78</c:v>
                </c:pt>
                <c:pt idx="25">
                  <c:v>177.828</c:v>
                </c:pt>
                <c:pt idx="26">
                  <c:v>181.97</c:v>
                </c:pt>
                <c:pt idx="27">
                  <c:v>186.209</c:v>
                </c:pt>
                <c:pt idx="28">
                  <c:v>190.54599999999999</c:v>
                </c:pt>
                <c:pt idx="29">
                  <c:v>194.98400000000001</c:v>
                </c:pt>
                <c:pt idx="30">
                  <c:v>199.52600000000001</c:v>
                </c:pt>
                <c:pt idx="31">
                  <c:v>204.17400000000001</c:v>
                </c:pt>
                <c:pt idx="32">
                  <c:v>208.93</c:v>
                </c:pt>
                <c:pt idx="33">
                  <c:v>213.79599999999999</c:v>
                </c:pt>
                <c:pt idx="34">
                  <c:v>218.77600000000001</c:v>
                </c:pt>
                <c:pt idx="35">
                  <c:v>223.87200000000001</c:v>
                </c:pt>
                <c:pt idx="36">
                  <c:v>229.08699999999999</c:v>
                </c:pt>
                <c:pt idx="37">
                  <c:v>234.423</c:v>
                </c:pt>
                <c:pt idx="38">
                  <c:v>239.88300000000001</c:v>
                </c:pt>
                <c:pt idx="39">
                  <c:v>245.471</c:v>
                </c:pt>
                <c:pt idx="40">
                  <c:v>251.18899999999999</c:v>
                </c:pt>
                <c:pt idx="41">
                  <c:v>257.04000000000002</c:v>
                </c:pt>
                <c:pt idx="42">
                  <c:v>263.02699999999999</c:v>
                </c:pt>
                <c:pt idx="43">
                  <c:v>269.15300000000002</c:v>
                </c:pt>
                <c:pt idx="44">
                  <c:v>275.423</c:v>
                </c:pt>
                <c:pt idx="45">
                  <c:v>281.83800000000002</c:v>
                </c:pt>
                <c:pt idx="46">
                  <c:v>288.40300000000002</c:v>
                </c:pt>
                <c:pt idx="47">
                  <c:v>295.12099999999998</c:v>
                </c:pt>
                <c:pt idx="48">
                  <c:v>301.995</c:v>
                </c:pt>
                <c:pt idx="49">
                  <c:v>309.02999999999997</c:v>
                </c:pt>
                <c:pt idx="50">
                  <c:v>316.22800000000001</c:v>
                </c:pt>
                <c:pt idx="51">
                  <c:v>323.59399999999999</c:v>
                </c:pt>
                <c:pt idx="52">
                  <c:v>331.13099999999997</c:v>
                </c:pt>
                <c:pt idx="53">
                  <c:v>338.84399999999999</c:v>
                </c:pt>
                <c:pt idx="54">
                  <c:v>346.73700000000002</c:v>
                </c:pt>
                <c:pt idx="55">
                  <c:v>354.81299999999999</c:v>
                </c:pt>
                <c:pt idx="56">
                  <c:v>363.07799999999997</c:v>
                </c:pt>
                <c:pt idx="57">
                  <c:v>371.53500000000003</c:v>
                </c:pt>
                <c:pt idx="58">
                  <c:v>380.18900000000002</c:v>
                </c:pt>
                <c:pt idx="59">
                  <c:v>389.04500000000002</c:v>
                </c:pt>
                <c:pt idx="60">
                  <c:v>398.10700000000003</c:v>
                </c:pt>
                <c:pt idx="61">
                  <c:v>407.38</c:v>
                </c:pt>
                <c:pt idx="62">
                  <c:v>416.86900000000003</c:v>
                </c:pt>
                <c:pt idx="63">
                  <c:v>426.58</c:v>
                </c:pt>
                <c:pt idx="64">
                  <c:v>436.51600000000002</c:v>
                </c:pt>
                <c:pt idx="65">
                  <c:v>446.68400000000003</c:v>
                </c:pt>
                <c:pt idx="66">
                  <c:v>457.08800000000002</c:v>
                </c:pt>
                <c:pt idx="67">
                  <c:v>467.73500000000001</c:v>
                </c:pt>
                <c:pt idx="68">
                  <c:v>478.63</c:v>
                </c:pt>
                <c:pt idx="69">
                  <c:v>489.779</c:v>
                </c:pt>
                <c:pt idx="70">
                  <c:v>501.18700000000001</c:v>
                </c:pt>
                <c:pt idx="71">
                  <c:v>512.86099999999999</c:v>
                </c:pt>
                <c:pt idx="72">
                  <c:v>524.80700000000002</c:v>
                </c:pt>
                <c:pt idx="73">
                  <c:v>537.03200000000004</c:v>
                </c:pt>
                <c:pt idx="74">
                  <c:v>549.54100000000005</c:v>
                </c:pt>
                <c:pt idx="75">
                  <c:v>562.34100000000001</c:v>
                </c:pt>
                <c:pt idx="76">
                  <c:v>575.44000000000005</c:v>
                </c:pt>
                <c:pt idx="77">
                  <c:v>588.84400000000005</c:v>
                </c:pt>
                <c:pt idx="78">
                  <c:v>602.55999999999995</c:v>
                </c:pt>
                <c:pt idx="79">
                  <c:v>616.59500000000003</c:v>
                </c:pt>
                <c:pt idx="80">
                  <c:v>630.95699999999999</c:v>
                </c:pt>
                <c:pt idx="81">
                  <c:v>645.654</c:v>
                </c:pt>
                <c:pt idx="82">
                  <c:v>660.69299999999998</c:v>
                </c:pt>
                <c:pt idx="83">
                  <c:v>676.08299999999997</c:v>
                </c:pt>
                <c:pt idx="84">
                  <c:v>691.83100000000002</c:v>
                </c:pt>
                <c:pt idx="85">
                  <c:v>707.94600000000003</c:v>
                </c:pt>
                <c:pt idx="86">
                  <c:v>724.43600000000004</c:v>
                </c:pt>
                <c:pt idx="87">
                  <c:v>741.31</c:v>
                </c:pt>
                <c:pt idx="88">
                  <c:v>758.57799999999997</c:v>
                </c:pt>
                <c:pt idx="89">
                  <c:v>776.24699999999996</c:v>
                </c:pt>
                <c:pt idx="90">
                  <c:v>794.32799999999997</c:v>
                </c:pt>
                <c:pt idx="91">
                  <c:v>812.83100000000002</c:v>
                </c:pt>
                <c:pt idx="92">
                  <c:v>831.76400000000001</c:v>
                </c:pt>
                <c:pt idx="93">
                  <c:v>851.13800000000003</c:v>
                </c:pt>
                <c:pt idx="94">
                  <c:v>870.96400000000006</c:v>
                </c:pt>
                <c:pt idx="95">
                  <c:v>891.25099999999998</c:v>
                </c:pt>
                <c:pt idx="96">
                  <c:v>912.01099999999997</c:v>
                </c:pt>
                <c:pt idx="97">
                  <c:v>933.25400000000002</c:v>
                </c:pt>
                <c:pt idx="98">
                  <c:v>954.99300000000005</c:v>
                </c:pt>
                <c:pt idx="99">
                  <c:v>977.23699999999997</c:v>
                </c:pt>
                <c:pt idx="100">
                  <c:v>1000</c:v>
                </c:pt>
                <c:pt idx="101">
                  <c:v>1023.293</c:v>
                </c:pt>
                <c:pt idx="102">
                  <c:v>1047.1289999999999</c:v>
                </c:pt>
                <c:pt idx="103">
                  <c:v>1071.519</c:v>
                </c:pt>
                <c:pt idx="104">
                  <c:v>1096.4780000000001</c:v>
                </c:pt>
                <c:pt idx="105">
                  <c:v>1122.018</c:v>
                </c:pt>
                <c:pt idx="106">
                  <c:v>1148.154</c:v>
                </c:pt>
                <c:pt idx="107">
                  <c:v>1174.8979999999999</c:v>
                </c:pt>
                <c:pt idx="108">
                  <c:v>1202.2639999999999</c:v>
                </c:pt>
                <c:pt idx="109">
                  <c:v>1230.269</c:v>
                </c:pt>
                <c:pt idx="110">
                  <c:v>1258.925</c:v>
                </c:pt>
                <c:pt idx="111">
                  <c:v>1288.25</c:v>
                </c:pt>
                <c:pt idx="112">
                  <c:v>1318.2570000000001</c:v>
                </c:pt>
                <c:pt idx="113">
                  <c:v>1348.963</c:v>
                </c:pt>
                <c:pt idx="114">
                  <c:v>1380.384</c:v>
                </c:pt>
                <c:pt idx="115">
                  <c:v>1412.538</c:v>
                </c:pt>
                <c:pt idx="116">
                  <c:v>1445.44</c:v>
                </c:pt>
                <c:pt idx="117">
                  <c:v>1479.1079999999999</c:v>
                </c:pt>
                <c:pt idx="118">
                  <c:v>1513.5609999999999</c:v>
                </c:pt>
                <c:pt idx="119">
                  <c:v>1548.817</c:v>
                </c:pt>
                <c:pt idx="120">
                  <c:v>1584.893</c:v>
                </c:pt>
                <c:pt idx="121">
                  <c:v>1621.81</c:v>
                </c:pt>
                <c:pt idx="122">
                  <c:v>1659.587</c:v>
                </c:pt>
                <c:pt idx="123">
                  <c:v>1698.2439999999999</c:v>
                </c:pt>
                <c:pt idx="124">
                  <c:v>1737.8009999999999</c:v>
                </c:pt>
                <c:pt idx="125">
                  <c:v>1778.279</c:v>
                </c:pt>
                <c:pt idx="126">
                  <c:v>1819.701</c:v>
                </c:pt>
                <c:pt idx="127">
                  <c:v>1862.087</c:v>
                </c:pt>
                <c:pt idx="128">
                  <c:v>1905.461</c:v>
                </c:pt>
                <c:pt idx="129">
                  <c:v>1949.845</c:v>
                </c:pt>
                <c:pt idx="130">
                  <c:v>1995.2619999999999</c:v>
                </c:pt>
                <c:pt idx="131">
                  <c:v>2041.7380000000001</c:v>
                </c:pt>
                <c:pt idx="132">
                  <c:v>2089.2959999999998</c:v>
                </c:pt>
                <c:pt idx="133">
                  <c:v>2137.962</c:v>
                </c:pt>
                <c:pt idx="134">
                  <c:v>2187.7620000000002</c:v>
                </c:pt>
                <c:pt idx="135">
                  <c:v>2238.721</c:v>
                </c:pt>
                <c:pt idx="136">
                  <c:v>2290.8679999999999</c:v>
                </c:pt>
                <c:pt idx="137">
                  <c:v>2344.2289999999998</c:v>
                </c:pt>
                <c:pt idx="138">
                  <c:v>2398.8330000000001</c:v>
                </c:pt>
                <c:pt idx="139">
                  <c:v>2454.7089999999998</c:v>
                </c:pt>
                <c:pt idx="140">
                  <c:v>2511.886</c:v>
                </c:pt>
                <c:pt idx="141">
                  <c:v>2570.3960000000002</c:v>
                </c:pt>
                <c:pt idx="142">
                  <c:v>2630.268</c:v>
                </c:pt>
                <c:pt idx="143">
                  <c:v>2691.5349999999999</c:v>
                </c:pt>
                <c:pt idx="144">
                  <c:v>2754.2289999999998</c:v>
                </c:pt>
                <c:pt idx="145">
                  <c:v>2818.3829999999998</c:v>
                </c:pt>
                <c:pt idx="146">
                  <c:v>2884.0320000000002</c:v>
                </c:pt>
                <c:pt idx="147">
                  <c:v>2951.2089999999998</c:v>
                </c:pt>
                <c:pt idx="148">
                  <c:v>3019.9520000000002</c:v>
                </c:pt>
                <c:pt idx="149">
                  <c:v>3090.2950000000001</c:v>
                </c:pt>
                <c:pt idx="150">
                  <c:v>3162.2779999999998</c:v>
                </c:pt>
                <c:pt idx="151">
                  <c:v>3235.9369999999999</c:v>
                </c:pt>
                <c:pt idx="152">
                  <c:v>3311.3110000000001</c:v>
                </c:pt>
                <c:pt idx="153">
                  <c:v>3388.442</c:v>
                </c:pt>
                <c:pt idx="154">
                  <c:v>3467.3690000000001</c:v>
                </c:pt>
                <c:pt idx="155">
                  <c:v>3548.134</c:v>
                </c:pt>
                <c:pt idx="156">
                  <c:v>3630.7809999999999</c:v>
                </c:pt>
                <c:pt idx="157">
                  <c:v>3715.3519999999999</c:v>
                </c:pt>
                <c:pt idx="158">
                  <c:v>3801.8939999999998</c:v>
                </c:pt>
                <c:pt idx="159">
                  <c:v>3890.451</c:v>
                </c:pt>
                <c:pt idx="160">
                  <c:v>3981.0720000000001</c:v>
                </c:pt>
                <c:pt idx="161">
                  <c:v>4073.8029999999999</c:v>
                </c:pt>
                <c:pt idx="162">
                  <c:v>4168.6940000000004</c:v>
                </c:pt>
                <c:pt idx="163">
                  <c:v>4265.7950000000001</c:v>
                </c:pt>
                <c:pt idx="164">
                  <c:v>4365.1580000000004</c:v>
                </c:pt>
                <c:pt idx="165">
                  <c:v>4466.8360000000002</c:v>
                </c:pt>
                <c:pt idx="166">
                  <c:v>4570.8819999999996</c:v>
                </c:pt>
                <c:pt idx="167">
                  <c:v>4677.3509999999997</c:v>
                </c:pt>
                <c:pt idx="168">
                  <c:v>4786.3010000000004</c:v>
                </c:pt>
                <c:pt idx="169">
                  <c:v>4897.7879999999996</c:v>
                </c:pt>
                <c:pt idx="170">
                  <c:v>5011.8720000000003</c:v>
                </c:pt>
                <c:pt idx="171">
                  <c:v>5128.6139999999996</c:v>
                </c:pt>
                <c:pt idx="172">
                  <c:v>5248.0749999999998</c:v>
                </c:pt>
                <c:pt idx="173">
                  <c:v>5370.3180000000002</c:v>
                </c:pt>
                <c:pt idx="174">
                  <c:v>5495.4089999999997</c:v>
                </c:pt>
                <c:pt idx="175">
                  <c:v>5623.4129999999996</c:v>
                </c:pt>
                <c:pt idx="176">
                  <c:v>5754.3990000000003</c:v>
                </c:pt>
                <c:pt idx="177">
                  <c:v>5888.4369999999999</c:v>
                </c:pt>
                <c:pt idx="178">
                  <c:v>6025.5959999999995</c:v>
                </c:pt>
                <c:pt idx="179">
                  <c:v>6165.95</c:v>
                </c:pt>
                <c:pt idx="180">
                  <c:v>6309.5730000000003</c:v>
                </c:pt>
                <c:pt idx="181">
                  <c:v>6456.5420000000004</c:v>
                </c:pt>
                <c:pt idx="182">
                  <c:v>6606.9340000000002</c:v>
                </c:pt>
                <c:pt idx="183">
                  <c:v>6760.83</c:v>
                </c:pt>
                <c:pt idx="184">
                  <c:v>6918.31</c:v>
                </c:pt>
                <c:pt idx="185">
                  <c:v>7079.4579999999996</c:v>
                </c:pt>
                <c:pt idx="186">
                  <c:v>7244.36</c:v>
                </c:pt>
                <c:pt idx="187">
                  <c:v>7413.1019999999999</c:v>
                </c:pt>
                <c:pt idx="188">
                  <c:v>7585.7759999999998</c:v>
                </c:pt>
                <c:pt idx="189">
                  <c:v>7762.4709999999995</c:v>
                </c:pt>
                <c:pt idx="190">
                  <c:v>7943.2820000000002</c:v>
                </c:pt>
                <c:pt idx="191">
                  <c:v>8128.3050000000003</c:v>
                </c:pt>
                <c:pt idx="192">
                  <c:v>8317.6380000000008</c:v>
                </c:pt>
                <c:pt idx="193">
                  <c:v>8511.3799999999992</c:v>
                </c:pt>
                <c:pt idx="194">
                  <c:v>8709.6360000000004</c:v>
                </c:pt>
                <c:pt idx="195">
                  <c:v>8912.509</c:v>
                </c:pt>
                <c:pt idx="196">
                  <c:v>9120.1080000000002</c:v>
                </c:pt>
                <c:pt idx="197">
                  <c:v>9332.5429999999997</c:v>
                </c:pt>
                <c:pt idx="198">
                  <c:v>9549.9259999999995</c:v>
                </c:pt>
                <c:pt idx="199">
                  <c:v>9772.3719999999994</c:v>
                </c:pt>
                <c:pt idx="200">
                  <c:v>10000</c:v>
                </c:pt>
                <c:pt idx="201">
                  <c:v>10232.93</c:v>
                </c:pt>
                <c:pt idx="202">
                  <c:v>10471.285</c:v>
                </c:pt>
                <c:pt idx="203">
                  <c:v>10715.192999999999</c:v>
                </c:pt>
                <c:pt idx="204">
                  <c:v>10964.781999999999</c:v>
                </c:pt>
                <c:pt idx="205">
                  <c:v>11220.184999999999</c:v>
                </c:pt>
                <c:pt idx="206">
                  <c:v>11481.536</c:v>
                </c:pt>
                <c:pt idx="207">
                  <c:v>11748.976000000001</c:v>
                </c:pt>
                <c:pt idx="208">
                  <c:v>12022.644</c:v>
                </c:pt>
                <c:pt idx="209">
                  <c:v>12302.688</c:v>
                </c:pt>
                <c:pt idx="210">
                  <c:v>12589.254000000001</c:v>
                </c:pt>
                <c:pt idx="211">
                  <c:v>12882.495999999999</c:v>
                </c:pt>
                <c:pt idx="212">
                  <c:v>13182.566999999999</c:v>
                </c:pt>
                <c:pt idx="213">
                  <c:v>13489.629000000001</c:v>
                </c:pt>
                <c:pt idx="214">
                  <c:v>13803.843000000001</c:v>
                </c:pt>
                <c:pt idx="215">
                  <c:v>14125.375</c:v>
                </c:pt>
                <c:pt idx="216">
                  <c:v>14454.397999999999</c:v>
                </c:pt>
                <c:pt idx="217">
                  <c:v>14791.084000000001</c:v>
                </c:pt>
                <c:pt idx="218">
                  <c:v>15135.611999999999</c:v>
                </c:pt>
                <c:pt idx="219">
                  <c:v>15488.165999999999</c:v>
                </c:pt>
                <c:pt idx="220">
                  <c:v>15848.932000000001</c:v>
                </c:pt>
                <c:pt idx="221">
                  <c:v>16218.101000000001</c:v>
                </c:pt>
                <c:pt idx="222">
                  <c:v>16595.868999999999</c:v>
                </c:pt>
                <c:pt idx="223">
                  <c:v>16982.437000000002</c:v>
                </c:pt>
                <c:pt idx="224">
                  <c:v>17378.008000000002</c:v>
                </c:pt>
                <c:pt idx="225">
                  <c:v>17782.794000000002</c:v>
                </c:pt>
                <c:pt idx="226">
                  <c:v>18197.008999999998</c:v>
                </c:pt>
                <c:pt idx="227">
                  <c:v>18620.870999999999</c:v>
                </c:pt>
                <c:pt idx="228">
                  <c:v>19054.607</c:v>
                </c:pt>
                <c:pt idx="229">
                  <c:v>19498.446</c:v>
                </c:pt>
                <c:pt idx="230">
                  <c:v>19952.623</c:v>
                </c:pt>
                <c:pt idx="231">
                  <c:v>20417.379000000001</c:v>
                </c:pt>
                <c:pt idx="232">
                  <c:v>20892.960999999999</c:v>
                </c:pt>
                <c:pt idx="233">
                  <c:v>21379.620999999999</c:v>
                </c:pt>
                <c:pt idx="234">
                  <c:v>21877.616000000002</c:v>
                </c:pt>
                <c:pt idx="235">
                  <c:v>22387.210999999999</c:v>
                </c:pt>
                <c:pt idx="236">
                  <c:v>22908.677</c:v>
                </c:pt>
                <c:pt idx="237">
                  <c:v>23442.288</c:v>
                </c:pt>
                <c:pt idx="238">
                  <c:v>23988.329000000002</c:v>
                </c:pt>
                <c:pt idx="239">
                  <c:v>24547.089</c:v>
                </c:pt>
                <c:pt idx="240">
                  <c:v>25118.864000000001</c:v>
                </c:pt>
                <c:pt idx="241">
                  <c:v>25703.957999999999</c:v>
                </c:pt>
                <c:pt idx="242">
                  <c:v>26302.68</c:v>
                </c:pt>
                <c:pt idx="243">
                  <c:v>26915.348000000002</c:v>
                </c:pt>
                <c:pt idx="244">
                  <c:v>27542.287</c:v>
                </c:pt>
                <c:pt idx="245">
                  <c:v>28183.829000000002</c:v>
                </c:pt>
                <c:pt idx="246">
                  <c:v>28840.314999999999</c:v>
                </c:pt>
                <c:pt idx="247">
                  <c:v>29512.092000000001</c:v>
                </c:pt>
                <c:pt idx="248">
                  <c:v>30199.517</c:v>
                </c:pt>
                <c:pt idx="249">
                  <c:v>30902.954000000002</c:v>
                </c:pt>
                <c:pt idx="250">
                  <c:v>31622.776999999998</c:v>
                </c:pt>
                <c:pt idx="251">
                  <c:v>32359.366000000002</c:v>
                </c:pt>
                <c:pt idx="252">
                  <c:v>33113.112000000001</c:v>
                </c:pt>
                <c:pt idx="253">
                  <c:v>33884.415999999997</c:v>
                </c:pt>
                <c:pt idx="254">
                  <c:v>34673.684999999998</c:v>
                </c:pt>
                <c:pt idx="255">
                  <c:v>35481.339</c:v>
                </c:pt>
                <c:pt idx="256">
                  <c:v>36307.805</c:v>
                </c:pt>
                <c:pt idx="257">
                  <c:v>37153.523000000001</c:v>
                </c:pt>
                <c:pt idx="258">
                  <c:v>38018.94</c:v>
                </c:pt>
                <c:pt idx="259">
                  <c:v>38904.514000000003</c:v>
                </c:pt>
                <c:pt idx="260">
                  <c:v>39810.716999999997</c:v>
                </c:pt>
                <c:pt idx="261">
                  <c:v>40738.027999999998</c:v>
                </c:pt>
                <c:pt idx="262">
                  <c:v>41686.938000000002</c:v>
                </c:pt>
                <c:pt idx="263">
                  <c:v>42657.951999999997</c:v>
                </c:pt>
                <c:pt idx="264">
                  <c:v>43651.582999999999</c:v>
                </c:pt>
                <c:pt idx="265">
                  <c:v>44668.358999999997</c:v>
                </c:pt>
                <c:pt idx="266">
                  <c:v>45708.819000000003</c:v>
                </c:pt>
                <c:pt idx="267">
                  <c:v>46773.514000000003</c:v>
                </c:pt>
                <c:pt idx="268">
                  <c:v>47863.008999999998</c:v>
                </c:pt>
                <c:pt idx="269">
                  <c:v>48977.881999999998</c:v>
                </c:pt>
                <c:pt idx="270">
                  <c:v>50118.722999999998</c:v>
                </c:pt>
                <c:pt idx="271">
                  <c:v>51286.137999999999</c:v>
                </c:pt>
                <c:pt idx="272">
                  <c:v>52480.745999999999</c:v>
                </c:pt>
                <c:pt idx="273">
                  <c:v>53703.18</c:v>
                </c:pt>
                <c:pt idx="274">
                  <c:v>54954.087</c:v>
                </c:pt>
                <c:pt idx="275">
                  <c:v>56234.133000000002</c:v>
                </c:pt>
                <c:pt idx="276">
                  <c:v>57543.993999999999</c:v>
                </c:pt>
                <c:pt idx="277">
                  <c:v>58884.366000000002</c:v>
                </c:pt>
                <c:pt idx="278">
                  <c:v>60255.959000000003</c:v>
                </c:pt>
                <c:pt idx="279">
                  <c:v>61659.5</c:v>
                </c:pt>
                <c:pt idx="280">
                  <c:v>63095.733999999997</c:v>
                </c:pt>
                <c:pt idx="281">
                  <c:v>64565.423000000003</c:v>
                </c:pt>
                <c:pt idx="282">
                  <c:v>66069.345000000001</c:v>
                </c:pt>
                <c:pt idx="283">
                  <c:v>67608.297999999995</c:v>
                </c:pt>
                <c:pt idx="284">
                  <c:v>69183.096999999994</c:v>
                </c:pt>
                <c:pt idx="285">
                  <c:v>70794.577999999994</c:v>
                </c:pt>
                <c:pt idx="286">
                  <c:v>72443.596000000005</c:v>
                </c:pt>
                <c:pt idx="287">
                  <c:v>74131.024000000005</c:v>
                </c:pt>
                <c:pt idx="288">
                  <c:v>75857.758000000002</c:v>
                </c:pt>
                <c:pt idx="289">
                  <c:v>77624.712</c:v>
                </c:pt>
                <c:pt idx="290">
                  <c:v>79432.823000000004</c:v>
                </c:pt>
                <c:pt idx="291">
                  <c:v>81283.051999999996</c:v>
                </c:pt>
                <c:pt idx="292">
                  <c:v>83176.376999999993</c:v>
                </c:pt>
                <c:pt idx="293">
                  <c:v>85113.804000000004</c:v>
                </c:pt>
                <c:pt idx="294">
                  <c:v>87096.358999999997</c:v>
                </c:pt>
                <c:pt idx="295">
                  <c:v>89125.093999999997</c:v>
                </c:pt>
                <c:pt idx="296">
                  <c:v>91201.084000000003</c:v>
                </c:pt>
                <c:pt idx="297">
                  <c:v>93325.43</c:v>
                </c:pt>
                <c:pt idx="298">
                  <c:v>95499.259000000005</c:v>
                </c:pt>
                <c:pt idx="299">
                  <c:v>97723.721999999994</c:v>
                </c:pt>
                <c:pt idx="300">
                  <c:v>100000</c:v>
                </c:pt>
                <c:pt idx="301">
                  <c:v>102329.299</c:v>
                </c:pt>
                <c:pt idx="302">
                  <c:v>104712.855</c:v>
                </c:pt>
                <c:pt idx="303">
                  <c:v>107151.931</c:v>
                </c:pt>
                <c:pt idx="304">
                  <c:v>109647.82</c:v>
                </c:pt>
                <c:pt idx="305">
                  <c:v>112201.845</c:v>
                </c:pt>
                <c:pt idx="306">
                  <c:v>114815.36199999999</c:v>
                </c:pt>
                <c:pt idx="307">
                  <c:v>117489.755</c:v>
                </c:pt>
                <c:pt idx="308">
                  <c:v>120226.443</c:v>
                </c:pt>
                <c:pt idx="309">
                  <c:v>123026.87699999999</c:v>
                </c:pt>
                <c:pt idx="310">
                  <c:v>125892.541</c:v>
                </c:pt>
                <c:pt idx="311">
                  <c:v>128824.955</c:v>
                </c:pt>
                <c:pt idx="312">
                  <c:v>131825.674</c:v>
                </c:pt>
                <c:pt idx="313">
                  <c:v>134896.288</c:v>
                </c:pt>
                <c:pt idx="314">
                  <c:v>138038.42600000001</c:v>
                </c:pt>
                <c:pt idx="315">
                  <c:v>141253.75399999999</c:v>
                </c:pt>
                <c:pt idx="316">
                  <c:v>144543.97700000001</c:v>
                </c:pt>
                <c:pt idx="317">
                  <c:v>147910.83900000001</c:v>
                </c:pt>
                <c:pt idx="318">
                  <c:v>151356.125</c:v>
                </c:pt>
                <c:pt idx="319">
                  <c:v>154881.66200000001</c:v>
                </c:pt>
                <c:pt idx="320">
                  <c:v>158489.31899999999</c:v>
                </c:pt>
                <c:pt idx="321">
                  <c:v>162181.01</c:v>
                </c:pt>
                <c:pt idx="322">
                  <c:v>165958.69099999999</c:v>
                </c:pt>
                <c:pt idx="323">
                  <c:v>169824.36499999999</c:v>
                </c:pt>
                <c:pt idx="324">
                  <c:v>173780.08300000001</c:v>
                </c:pt>
                <c:pt idx="325">
                  <c:v>177827.94099999999</c:v>
                </c:pt>
                <c:pt idx="326">
                  <c:v>181970.08600000001</c:v>
                </c:pt>
                <c:pt idx="327">
                  <c:v>186208.71400000001</c:v>
                </c:pt>
                <c:pt idx="328">
                  <c:v>190546.07199999999</c:v>
                </c:pt>
                <c:pt idx="329">
                  <c:v>194984.46</c:v>
                </c:pt>
                <c:pt idx="330">
                  <c:v>199526.231</c:v>
                </c:pt>
                <c:pt idx="331">
                  <c:v>204173.79399999999</c:v>
                </c:pt>
                <c:pt idx="332">
                  <c:v>208929.61300000001</c:v>
                </c:pt>
                <c:pt idx="333">
                  <c:v>213796.209</c:v>
                </c:pt>
                <c:pt idx="334">
                  <c:v>218776.16200000001</c:v>
                </c:pt>
                <c:pt idx="335">
                  <c:v>223872.114</c:v>
                </c:pt>
                <c:pt idx="336">
                  <c:v>229086.76500000001</c:v>
                </c:pt>
                <c:pt idx="337">
                  <c:v>234422.88200000001</c:v>
                </c:pt>
                <c:pt idx="338">
                  <c:v>239883.29199999999</c:v>
                </c:pt>
                <c:pt idx="339">
                  <c:v>245470.89199999999</c:v>
                </c:pt>
                <c:pt idx="340">
                  <c:v>251188.64300000001</c:v>
                </c:pt>
                <c:pt idx="341">
                  <c:v>257039.57800000001</c:v>
                </c:pt>
                <c:pt idx="342">
                  <c:v>263026.799</c:v>
                </c:pt>
                <c:pt idx="343">
                  <c:v>269153.48</c:v>
                </c:pt>
                <c:pt idx="344">
                  <c:v>275422.87</c:v>
                </c:pt>
                <c:pt idx="345">
                  <c:v>281838.29300000001</c:v>
                </c:pt>
                <c:pt idx="346">
                  <c:v>288403.15000000002</c:v>
                </c:pt>
                <c:pt idx="347">
                  <c:v>295120.92300000001</c:v>
                </c:pt>
                <c:pt idx="348">
                  <c:v>301995.17200000002</c:v>
                </c:pt>
                <c:pt idx="349">
                  <c:v>309029.54300000001</c:v>
                </c:pt>
                <c:pt idx="350">
                  <c:v>316227.766</c:v>
                </c:pt>
                <c:pt idx="351">
                  <c:v>323593.65700000001</c:v>
                </c:pt>
                <c:pt idx="352">
                  <c:v>331131.12099999998</c:v>
                </c:pt>
                <c:pt idx="353">
                  <c:v>338844.15600000002</c:v>
                </c:pt>
                <c:pt idx="354">
                  <c:v>346736.85</c:v>
                </c:pt>
                <c:pt idx="355">
                  <c:v>354813.38900000002</c:v>
                </c:pt>
                <c:pt idx="356">
                  <c:v>363078.05499999999</c:v>
                </c:pt>
                <c:pt idx="357">
                  <c:v>371535.22899999999</c:v>
                </c:pt>
                <c:pt idx="358">
                  <c:v>380189.39600000001</c:v>
                </c:pt>
                <c:pt idx="359">
                  <c:v>389045.14500000002</c:v>
                </c:pt>
                <c:pt idx="360">
                  <c:v>398107.17099999997</c:v>
                </c:pt>
                <c:pt idx="361">
                  <c:v>407380.27799999999</c:v>
                </c:pt>
                <c:pt idx="362">
                  <c:v>416869.38299999997</c:v>
                </c:pt>
                <c:pt idx="363">
                  <c:v>426579.51899999997</c:v>
                </c:pt>
                <c:pt idx="364">
                  <c:v>436515.83199999999</c:v>
                </c:pt>
                <c:pt idx="365">
                  <c:v>446683.592</c:v>
                </c:pt>
                <c:pt idx="366">
                  <c:v>457088.19</c:v>
                </c:pt>
                <c:pt idx="367">
                  <c:v>467735.141</c:v>
                </c:pt>
                <c:pt idx="368">
                  <c:v>478630.092</c:v>
                </c:pt>
                <c:pt idx="369">
                  <c:v>489778.81900000002</c:v>
                </c:pt>
                <c:pt idx="370">
                  <c:v>501187.234</c:v>
                </c:pt>
                <c:pt idx="371">
                  <c:v>512861.38400000002</c:v>
                </c:pt>
                <c:pt idx="372">
                  <c:v>524807.46</c:v>
                </c:pt>
                <c:pt idx="373">
                  <c:v>537031.79599999997</c:v>
                </c:pt>
                <c:pt idx="374">
                  <c:v>549540.87399999995</c:v>
                </c:pt>
                <c:pt idx="375">
                  <c:v>562341.32499999995</c:v>
                </c:pt>
                <c:pt idx="376">
                  <c:v>575439.93700000003</c:v>
                </c:pt>
                <c:pt idx="377">
                  <c:v>588843.65500000003</c:v>
                </c:pt>
                <c:pt idx="378">
                  <c:v>602559.58600000001</c:v>
                </c:pt>
                <c:pt idx="379">
                  <c:v>616595.00199999998</c:v>
                </c:pt>
                <c:pt idx="380">
                  <c:v>630957.34400000004</c:v>
                </c:pt>
                <c:pt idx="381">
                  <c:v>645654.22900000005</c:v>
                </c:pt>
                <c:pt idx="382">
                  <c:v>660693.44799999997</c:v>
                </c:pt>
                <c:pt idx="383">
                  <c:v>676082.97499999998</c:v>
                </c:pt>
                <c:pt idx="384">
                  <c:v>691830.97100000002</c:v>
                </c:pt>
                <c:pt idx="385">
                  <c:v>707945.78399999999</c:v>
                </c:pt>
                <c:pt idx="386">
                  <c:v>724435.96</c:v>
                </c:pt>
                <c:pt idx="387">
                  <c:v>741310.24100000004</c:v>
                </c:pt>
                <c:pt idx="388">
                  <c:v>758577.57499999995</c:v>
                </c:pt>
                <c:pt idx="389">
                  <c:v>776247.11699999997</c:v>
                </c:pt>
                <c:pt idx="390">
                  <c:v>794328.23499999999</c:v>
                </c:pt>
                <c:pt idx="391">
                  <c:v>812830.51599999995</c:v>
                </c:pt>
                <c:pt idx="392">
                  <c:v>831763.77099999995</c:v>
                </c:pt>
                <c:pt idx="393">
                  <c:v>851138.03799999994</c:v>
                </c:pt>
                <c:pt idx="394">
                  <c:v>870963.59</c:v>
                </c:pt>
                <c:pt idx="395">
                  <c:v>891250.93799999997</c:v>
                </c:pt>
                <c:pt idx="396">
                  <c:v>912010.83900000004</c:v>
                </c:pt>
                <c:pt idx="397">
                  <c:v>933254.30099999998</c:v>
                </c:pt>
                <c:pt idx="398">
                  <c:v>954992.58600000001</c:v>
                </c:pt>
                <c:pt idx="399">
                  <c:v>977237.22100000002</c:v>
                </c:pt>
              </c:numCache>
            </c:numRef>
          </c:xVal>
          <c:yVal>
            <c:numRef>
              <c:f>'Bode Plots Calculations'!$BV$10:$BV$409</c:f>
              <c:numCache>
                <c:formatCode>#0.0#</c:formatCode>
                <c:ptCount val="400"/>
                <c:pt idx="0">
                  <c:v>-267.66769999999997</c:v>
                </c:pt>
                <c:pt idx="1">
                  <c:v>-265.91489999999999</c:v>
                </c:pt>
                <c:pt idx="2">
                  <c:v>-264.93219999999997</c:v>
                </c:pt>
                <c:pt idx="3">
                  <c:v>-262.3057</c:v>
                </c:pt>
                <c:pt idx="4">
                  <c:v>-262.76620000000003</c:v>
                </c:pt>
                <c:pt idx="5">
                  <c:v>-267.01279999999997</c:v>
                </c:pt>
                <c:pt idx="6">
                  <c:v>-266.20479999999998</c:v>
                </c:pt>
                <c:pt idx="7">
                  <c:v>-264.9049</c:v>
                </c:pt>
                <c:pt idx="8">
                  <c:v>-269.98079999999999</c:v>
                </c:pt>
                <c:pt idx="9">
                  <c:v>-265.73410000000001</c:v>
                </c:pt>
                <c:pt idx="10">
                  <c:v>-266.37110000000001</c:v>
                </c:pt>
                <c:pt idx="11">
                  <c:v>-268.05959999999999</c:v>
                </c:pt>
                <c:pt idx="12">
                  <c:v>-263.3605</c:v>
                </c:pt>
                <c:pt idx="13">
                  <c:v>-269.46539999999999</c:v>
                </c:pt>
                <c:pt idx="14">
                  <c:v>-267.95069999999998</c:v>
                </c:pt>
                <c:pt idx="15">
                  <c:v>-263.11430000000001</c:v>
                </c:pt>
                <c:pt idx="16">
                  <c:v>-266.2885</c:v>
                </c:pt>
                <c:pt idx="17">
                  <c:v>-266.34629999999999</c:v>
                </c:pt>
                <c:pt idx="18">
                  <c:v>-267.0283</c:v>
                </c:pt>
                <c:pt idx="19">
                  <c:v>-260.69729999999998</c:v>
                </c:pt>
                <c:pt idx="20">
                  <c:v>-259.86900000000003</c:v>
                </c:pt>
                <c:pt idx="21">
                  <c:v>-262.39859999999999</c:v>
                </c:pt>
                <c:pt idx="22">
                  <c:v>-264.8295</c:v>
                </c:pt>
                <c:pt idx="23">
                  <c:v>-267.72770000000003</c:v>
                </c:pt>
                <c:pt idx="24">
                  <c:v>-269.952</c:v>
                </c:pt>
                <c:pt idx="25">
                  <c:v>-271.56010000000003</c:v>
                </c:pt>
                <c:pt idx="26">
                  <c:v>-268.84590000000003</c:v>
                </c:pt>
                <c:pt idx="27">
                  <c:v>-265.37959999999998</c:v>
                </c:pt>
                <c:pt idx="28">
                  <c:v>-265.89449999999999</c:v>
                </c:pt>
                <c:pt idx="29">
                  <c:v>-265.6327</c:v>
                </c:pt>
                <c:pt idx="30">
                  <c:v>-267.80150000000003</c:v>
                </c:pt>
                <c:pt idx="31">
                  <c:v>-264.16840000000002</c:v>
                </c:pt>
                <c:pt idx="32">
                  <c:v>-267.69110000000001</c:v>
                </c:pt>
                <c:pt idx="33">
                  <c:v>-266.9667</c:v>
                </c:pt>
                <c:pt idx="34">
                  <c:v>-263.5369</c:v>
                </c:pt>
                <c:pt idx="35">
                  <c:v>-265.19450000000001</c:v>
                </c:pt>
                <c:pt idx="36">
                  <c:v>-266.75440000000003</c:v>
                </c:pt>
                <c:pt idx="37">
                  <c:v>-266.76120000000003</c:v>
                </c:pt>
                <c:pt idx="38">
                  <c:v>-267.59569999999997</c:v>
                </c:pt>
                <c:pt idx="39">
                  <c:v>-266.80959999999999</c:v>
                </c:pt>
                <c:pt idx="40">
                  <c:v>-265.9205</c:v>
                </c:pt>
                <c:pt idx="41">
                  <c:v>-267.60309999999998</c:v>
                </c:pt>
                <c:pt idx="42">
                  <c:v>-267.3229</c:v>
                </c:pt>
                <c:pt idx="43">
                  <c:v>-265.67700000000002</c:v>
                </c:pt>
                <c:pt idx="44">
                  <c:v>-266.46569999999997</c:v>
                </c:pt>
                <c:pt idx="45">
                  <c:v>-266.67570000000001</c:v>
                </c:pt>
                <c:pt idx="46">
                  <c:v>-268.05989999999997</c:v>
                </c:pt>
                <c:pt idx="47">
                  <c:v>-265.88</c:v>
                </c:pt>
                <c:pt idx="48">
                  <c:v>-267.13580000000002</c:v>
                </c:pt>
                <c:pt idx="49">
                  <c:v>-265.03610000000003</c:v>
                </c:pt>
                <c:pt idx="50">
                  <c:v>-265.21839999999997</c:v>
                </c:pt>
                <c:pt idx="51">
                  <c:v>-266.99490000000003</c:v>
                </c:pt>
                <c:pt idx="52">
                  <c:v>-265.09339999999997</c:v>
                </c:pt>
                <c:pt idx="53">
                  <c:v>-266.42009999999999</c:v>
                </c:pt>
                <c:pt idx="54">
                  <c:v>-265.87940000000003</c:v>
                </c:pt>
                <c:pt idx="55">
                  <c:v>-265.95490000000001</c:v>
                </c:pt>
                <c:pt idx="56">
                  <c:v>-265.39159999999998</c:v>
                </c:pt>
                <c:pt idx="57">
                  <c:v>-265.2439</c:v>
                </c:pt>
                <c:pt idx="58">
                  <c:v>-265.49869999999999</c:v>
                </c:pt>
                <c:pt idx="59">
                  <c:v>-266.06720000000001</c:v>
                </c:pt>
                <c:pt idx="60">
                  <c:v>-265.2319</c:v>
                </c:pt>
                <c:pt idx="61">
                  <c:v>-265.7319</c:v>
                </c:pt>
                <c:pt idx="62">
                  <c:v>-265.24939999999998</c:v>
                </c:pt>
                <c:pt idx="63">
                  <c:v>-265.14060000000001</c:v>
                </c:pt>
                <c:pt idx="64">
                  <c:v>-264.9151</c:v>
                </c:pt>
                <c:pt idx="65">
                  <c:v>-265.3082</c:v>
                </c:pt>
                <c:pt idx="66">
                  <c:v>-265.65139999999997</c:v>
                </c:pt>
                <c:pt idx="67">
                  <c:v>-265.05009999999999</c:v>
                </c:pt>
                <c:pt idx="68">
                  <c:v>-264.35129999999998</c:v>
                </c:pt>
                <c:pt idx="69">
                  <c:v>-263.91079999999999</c:v>
                </c:pt>
                <c:pt idx="70">
                  <c:v>-264.7826</c:v>
                </c:pt>
                <c:pt idx="71">
                  <c:v>-265.04300000000001</c:v>
                </c:pt>
                <c:pt idx="72">
                  <c:v>-263.95569999999998</c:v>
                </c:pt>
                <c:pt idx="73">
                  <c:v>-264.56819999999999</c:v>
                </c:pt>
                <c:pt idx="74">
                  <c:v>-264.47620000000001</c:v>
                </c:pt>
                <c:pt idx="75">
                  <c:v>-264.60399999999998</c:v>
                </c:pt>
                <c:pt idx="76">
                  <c:v>-264.9076</c:v>
                </c:pt>
                <c:pt idx="77">
                  <c:v>-263.88170000000002</c:v>
                </c:pt>
                <c:pt idx="78">
                  <c:v>-264.00260000000003</c:v>
                </c:pt>
                <c:pt idx="79">
                  <c:v>-264.13310000000001</c:v>
                </c:pt>
                <c:pt idx="80">
                  <c:v>-263.74850000000004</c:v>
                </c:pt>
                <c:pt idx="81">
                  <c:v>-263.7636</c:v>
                </c:pt>
                <c:pt idx="82">
                  <c:v>-263.60980000000001</c:v>
                </c:pt>
                <c:pt idx="83">
                  <c:v>-263.3252</c:v>
                </c:pt>
                <c:pt idx="84">
                  <c:v>-263.57819999999998</c:v>
                </c:pt>
                <c:pt idx="85">
                  <c:v>-262.84989999999999</c:v>
                </c:pt>
                <c:pt idx="86">
                  <c:v>-262.81690000000003</c:v>
                </c:pt>
                <c:pt idx="87">
                  <c:v>-262.19720000000001</c:v>
                </c:pt>
                <c:pt idx="88">
                  <c:v>-262.56690000000003</c:v>
                </c:pt>
                <c:pt idx="89">
                  <c:v>-262.71769999999998</c:v>
                </c:pt>
                <c:pt idx="90">
                  <c:v>-262.79380000000003</c:v>
                </c:pt>
                <c:pt idx="91">
                  <c:v>-262.23689999999999</c:v>
                </c:pt>
                <c:pt idx="92">
                  <c:v>-262.34320000000002</c:v>
                </c:pt>
                <c:pt idx="93">
                  <c:v>-262.197</c:v>
                </c:pt>
                <c:pt idx="94">
                  <c:v>-261.76800000000003</c:v>
                </c:pt>
                <c:pt idx="95">
                  <c:v>-261.38310000000001</c:v>
                </c:pt>
                <c:pt idx="96">
                  <c:v>-261.74869999999999</c:v>
                </c:pt>
                <c:pt idx="97">
                  <c:v>-261.20730000000003</c:v>
                </c:pt>
                <c:pt idx="98">
                  <c:v>-261.26609999999999</c:v>
                </c:pt>
                <c:pt idx="99">
                  <c:v>-260.93240000000003</c:v>
                </c:pt>
                <c:pt idx="100">
                  <c:v>-260.5154</c:v>
                </c:pt>
                <c:pt idx="101">
                  <c:v>-261.12389999999999</c:v>
                </c:pt>
                <c:pt idx="102">
                  <c:v>-260.40769999999998</c:v>
                </c:pt>
                <c:pt idx="103">
                  <c:v>-260.5301</c:v>
                </c:pt>
                <c:pt idx="104">
                  <c:v>-260.5471</c:v>
                </c:pt>
                <c:pt idx="105">
                  <c:v>-259.93099999999998</c:v>
                </c:pt>
                <c:pt idx="106">
                  <c:v>-259.94799999999998</c:v>
                </c:pt>
                <c:pt idx="107">
                  <c:v>-260.19870000000003</c:v>
                </c:pt>
                <c:pt idx="108">
                  <c:v>-259.34100000000001</c:v>
                </c:pt>
                <c:pt idx="109">
                  <c:v>-259.55099999999999</c:v>
                </c:pt>
                <c:pt idx="110">
                  <c:v>-259.27199999999999</c:v>
                </c:pt>
                <c:pt idx="111">
                  <c:v>-258.86099999999999</c:v>
                </c:pt>
                <c:pt idx="112">
                  <c:v>-258.68299999999999</c:v>
                </c:pt>
                <c:pt idx="113">
                  <c:v>-258.79700000000003</c:v>
                </c:pt>
                <c:pt idx="114">
                  <c:v>-258.41000000000003</c:v>
                </c:pt>
                <c:pt idx="115">
                  <c:v>-258.13599999999997</c:v>
                </c:pt>
                <c:pt idx="116">
                  <c:v>-257.92899999999997</c:v>
                </c:pt>
                <c:pt idx="117">
                  <c:v>-257.745</c:v>
                </c:pt>
                <c:pt idx="118">
                  <c:v>-257.61</c:v>
                </c:pt>
                <c:pt idx="119">
                  <c:v>-257.471</c:v>
                </c:pt>
                <c:pt idx="120">
                  <c:v>-256.94200000000001</c:v>
                </c:pt>
                <c:pt idx="121">
                  <c:v>-256.75299999999999</c:v>
                </c:pt>
                <c:pt idx="122">
                  <c:v>-256.85699999999997</c:v>
                </c:pt>
                <c:pt idx="123">
                  <c:v>-256.31299999999999</c:v>
                </c:pt>
                <c:pt idx="124">
                  <c:v>-256.37900000000002</c:v>
                </c:pt>
                <c:pt idx="125">
                  <c:v>-256.01499999999999</c:v>
                </c:pt>
                <c:pt idx="126">
                  <c:v>-255.833</c:v>
                </c:pt>
                <c:pt idx="127">
                  <c:v>-255.47</c:v>
                </c:pt>
                <c:pt idx="128">
                  <c:v>-255.059</c:v>
                </c:pt>
                <c:pt idx="129">
                  <c:v>-254.971</c:v>
                </c:pt>
                <c:pt idx="130">
                  <c:v>-254.804</c:v>
                </c:pt>
                <c:pt idx="131">
                  <c:v>-254.411</c:v>
                </c:pt>
                <c:pt idx="132">
                  <c:v>-254.113</c:v>
                </c:pt>
                <c:pt idx="133">
                  <c:v>-254.34</c:v>
                </c:pt>
                <c:pt idx="134">
                  <c:v>-253.785</c:v>
                </c:pt>
                <c:pt idx="135">
                  <c:v>-253.78300000000002</c:v>
                </c:pt>
                <c:pt idx="136">
                  <c:v>-253.62</c:v>
                </c:pt>
                <c:pt idx="137">
                  <c:v>-253.17099999999999</c:v>
                </c:pt>
                <c:pt idx="138">
                  <c:v>-252.65800000000002</c:v>
                </c:pt>
                <c:pt idx="139">
                  <c:v>-251.97399999999999</c:v>
                </c:pt>
                <c:pt idx="140">
                  <c:v>-252.25200000000001</c:v>
                </c:pt>
                <c:pt idx="141">
                  <c:v>-251.702</c:v>
                </c:pt>
                <c:pt idx="142">
                  <c:v>-251.40100000000001</c:v>
                </c:pt>
                <c:pt idx="143">
                  <c:v>-251.244</c:v>
                </c:pt>
                <c:pt idx="144">
                  <c:v>-251.05099999999999</c:v>
                </c:pt>
                <c:pt idx="145">
                  <c:v>-250.48</c:v>
                </c:pt>
                <c:pt idx="146">
                  <c:v>-250.202</c:v>
                </c:pt>
                <c:pt idx="147">
                  <c:v>-249.92599999999999</c:v>
                </c:pt>
                <c:pt idx="148">
                  <c:v>-249.65100000000001</c:v>
                </c:pt>
                <c:pt idx="149">
                  <c:v>-248.41800000000001</c:v>
                </c:pt>
                <c:pt idx="150">
                  <c:v>-248.626</c:v>
                </c:pt>
                <c:pt idx="151">
                  <c:v>-248.57499999999999</c:v>
                </c:pt>
                <c:pt idx="152">
                  <c:v>-247.75799999999998</c:v>
                </c:pt>
                <c:pt idx="153">
                  <c:v>-247.756</c:v>
                </c:pt>
                <c:pt idx="154">
                  <c:v>-247.51300000000001</c:v>
                </c:pt>
                <c:pt idx="155">
                  <c:v>-246.726</c:v>
                </c:pt>
                <c:pt idx="156">
                  <c:v>-246.21199999999999</c:v>
                </c:pt>
                <c:pt idx="157">
                  <c:v>-245.97</c:v>
                </c:pt>
                <c:pt idx="158">
                  <c:v>-245.16899999999998</c:v>
                </c:pt>
                <c:pt idx="159">
                  <c:v>-244.768</c:v>
                </c:pt>
                <c:pt idx="160">
                  <c:v>-244.315</c:v>
                </c:pt>
                <c:pt idx="161">
                  <c:v>-244.142</c:v>
                </c:pt>
                <c:pt idx="162">
                  <c:v>-243.709</c:v>
                </c:pt>
                <c:pt idx="163">
                  <c:v>-243.32400000000001</c:v>
                </c:pt>
                <c:pt idx="164">
                  <c:v>-242.172</c:v>
                </c:pt>
                <c:pt idx="165">
                  <c:v>-240.90300000000002</c:v>
                </c:pt>
                <c:pt idx="166">
                  <c:v>-241.25200000000001</c:v>
                </c:pt>
                <c:pt idx="167">
                  <c:v>-240.63800000000001</c:v>
                </c:pt>
                <c:pt idx="168">
                  <c:v>-240.03100000000001</c:v>
                </c:pt>
                <c:pt idx="169">
                  <c:v>-239.48099999999999</c:v>
                </c:pt>
                <c:pt idx="170">
                  <c:v>-238.50700000000001</c:v>
                </c:pt>
                <c:pt idx="171">
                  <c:v>-237.881</c:v>
                </c:pt>
                <c:pt idx="172">
                  <c:v>-238.28</c:v>
                </c:pt>
                <c:pt idx="173">
                  <c:v>-237.34699999999998</c:v>
                </c:pt>
                <c:pt idx="174">
                  <c:v>-235.61199999999999</c:v>
                </c:pt>
                <c:pt idx="175">
                  <c:v>-235.13800000000001</c:v>
                </c:pt>
                <c:pt idx="176">
                  <c:v>-234.68899999999999</c:v>
                </c:pt>
                <c:pt idx="177">
                  <c:v>-233.95400000000001</c:v>
                </c:pt>
                <c:pt idx="178">
                  <c:v>-234.14699999999999</c:v>
                </c:pt>
                <c:pt idx="179">
                  <c:v>-232.05599999999998</c:v>
                </c:pt>
                <c:pt idx="180">
                  <c:v>-231.369</c:v>
                </c:pt>
                <c:pt idx="181">
                  <c:v>-230.779</c:v>
                </c:pt>
                <c:pt idx="182">
                  <c:v>-229.60900000000001</c:v>
                </c:pt>
                <c:pt idx="183">
                  <c:v>-229.1</c:v>
                </c:pt>
                <c:pt idx="184">
                  <c:v>-228.376</c:v>
                </c:pt>
                <c:pt idx="185">
                  <c:v>-227.04400000000001</c:v>
                </c:pt>
                <c:pt idx="186">
                  <c:v>-226.239</c:v>
                </c:pt>
                <c:pt idx="187">
                  <c:v>-225.834</c:v>
                </c:pt>
                <c:pt idx="188">
                  <c:v>-224.429</c:v>
                </c:pt>
                <c:pt idx="189">
                  <c:v>-223.255</c:v>
                </c:pt>
                <c:pt idx="190">
                  <c:v>-223.13499999999999</c:v>
                </c:pt>
                <c:pt idx="191">
                  <c:v>-221.982</c:v>
                </c:pt>
                <c:pt idx="192">
                  <c:v>-220.93199999999999</c:v>
                </c:pt>
                <c:pt idx="193">
                  <c:v>-219.99600000000001</c:v>
                </c:pt>
                <c:pt idx="194">
                  <c:v>-218.72200000000001</c:v>
                </c:pt>
                <c:pt idx="195">
                  <c:v>-217.619</c:v>
                </c:pt>
                <c:pt idx="196">
                  <c:v>-216.501</c:v>
                </c:pt>
                <c:pt idx="197">
                  <c:v>-215.83600000000001</c:v>
                </c:pt>
                <c:pt idx="198">
                  <c:v>-215.499</c:v>
                </c:pt>
                <c:pt idx="199">
                  <c:v>-212.98699999999999</c:v>
                </c:pt>
                <c:pt idx="200">
                  <c:v>-213.047</c:v>
                </c:pt>
                <c:pt idx="201">
                  <c:v>-211.715</c:v>
                </c:pt>
                <c:pt idx="202">
                  <c:v>-211.89099999999999</c:v>
                </c:pt>
                <c:pt idx="203">
                  <c:v>-209.68</c:v>
                </c:pt>
                <c:pt idx="204">
                  <c:v>-209.52500000000001</c:v>
                </c:pt>
                <c:pt idx="205">
                  <c:v>-207.815</c:v>
                </c:pt>
                <c:pt idx="206">
                  <c:v>-207.916</c:v>
                </c:pt>
                <c:pt idx="207">
                  <c:v>-206.25700000000001</c:v>
                </c:pt>
                <c:pt idx="208">
                  <c:v>-205.79599999999999</c:v>
                </c:pt>
                <c:pt idx="209">
                  <c:v>-205.58</c:v>
                </c:pt>
                <c:pt idx="210">
                  <c:v>-203.78</c:v>
                </c:pt>
                <c:pt idx="211">
                  <c:v>-201.71899999999999</c:v>
                </c:pt>
                <c:pt idx="212">
                  <c:v>-198.27600000000001</c:v>
                </c:pt>
                <c:pt idx="213">
                  <c:v>-197.578</c:v>
                </c:pt>
                <c:pt idx="214">
                  <c:v>-195.64599999999999</c:v>
                </c:pt>
                <c:pt idx="215">
                  <c:v>-192.58199999999999</c:v>
                </c:pt>
                <c:pt idx="216">
                  <c:v>-192.25399999999999</c:v>
                </c:pt>
                <c:pt idx="217">
                  <c:v>-191.02600000000001</c:v>
                </c:pt>
                <c:pt idx="218">
                  <c:v>-189.453</c:v>
                </c:pt>
                <c:pt idx="219">
                  <c:v>-188.48099999999999</c:v>
                </c:pt>
                <c:pt idx="220">
                  <c:v>-186.14400000000001</c:v>
                </c:pt>
                <c:pt idx="221">
                  <c:v>-185.626</c:v>
                </c:pt>
                <c:pt idx="222">
                  <c:v>-184.43100000000001</c:v>
                </c:pt>
                <c:pt idx="223">
                  <c:v>-182.72200000000001</c:v>
                </c:pt>
                <c:pt idx="224">
                  <c:v>-181.726</c:v>
                </c:pt>
                <c:pt idx="225">
                  <c:v>-180.351</c:v>
                </c:pt>
                <c:pt idx="226">
                  <c:v>-179.43</c:v>
                </c:pt>
                <c:pt idx="227">
                  <c:v>-178.09100000000001</c:v>
                </c:pt>
                <c:pt idx="228">
                  <c:v>-176.916</c:v>
                </c:pt>
                <c:pt idx="229">
                  <c:v>-175.511</c:v>
                </c:pt>
                <c:pt idx="230">
                  <c:v>-174.244</c:v>
                </c:pt>
                <c:pt idx="231">
                  <c:v>-173.369</c:v>
                </c:pt>
                <c:pt idx="232">
                  <c:v>-172.084</c:v>
                </c:pt>
                <c:pt idx="233">
                  <c:v>-170.62899999999999</c:v>
                </c:pt>
                <c:pt idx="234">
                  <c:v>-169.465</c:v>
                </c:pt>
                <c:pt idx="235">
                  <c:v>-168.34299999999999</c:v>
                </c:pt>
                <c:pt idx="236">
                  <c:v>-167.03899999999999</c:v>
                </c:pt>
                <c:pt idx="237">
                  <c:v>-165.876</c:v>
                </c:pt>
                <c:pt idx="238">
                  <c:v>-164.703</c:v>
                </c:pt>
                <c:pt idx="239">
                  <c:v>-163.65100000000001</c:v>
                </c:pt>
                <c:pt idx="240">
                  <c:v>-162.52199999999999</c:v>
                </c:pt>
                <c:pt idx="241">
                  <c:v>-161.32599999999999</c:v>
                </c:pt>
                <c:pt idx="242">
                  <c:v>-160.22999999999999</c:v>
                </c:pt>
                <c:pt idx="243">
                  <c:v>-159.27600000000001</c:v>
                </c:pt>
                <c:pt idx="244">
                  <c:v>-158.108</c:v>
                </c:pt>
                <c:pt idx="245">
                  <c:v>-157.06299999999999</c:v>
                </c:pt>
                <c:pt idx="246">
                  <c:v>-156.01</c:v>
                </c:pt>
                <c:pt idx="247">
                  <c:v>-155.03200000000001</c:v>
                </c:pt>
                <c:pt idx="248">
                  <c:v>-154.00200000000001</c:v>
                </c:pt>
                <c:pt idx="249">
                  <c:v>-152.994</c:v>
                </c:pt>
                <c:pt idx="250">
                  <c:v>-152.041</c:v>
                </c:pt>
                <c:pt idx="251">
                  <c:v>-151.05000000000001</c:v>
                </c:pt>
                <c:pt idx="252">
                  <c:v>-150.17400000000001</c:v>
                </c:pt>
                <c:pt idx="253">
                  <c:v>-149.483</c:v>
                </c:pt>
                <c:pt idx="254">
                  <c:v>-148.328</c:v>
                </c:pt>
                <c:pt idx="255">
                  <c:v>-147.47</c:v>
                </c:pt>
                <c:pt idx="256">
                  <c:v>-146.52500000000001</c:v>
                </c:pt>
                <c:pt idx="257">
                  <c:v>-145.744</c:v>
                </c:pt>
                <c:pt idx="258">
                  <c:v>-144.86799999999999</c:v>
                </c:pt>
                <c:pt idx="259">
                  <c:v>-144.06</c:v>
                </c:pt>
                <c:pt idx="260">
                  <c:v>-143.22999999999999</c:v>
                </c:pt>
                <c:pt idx="261">
                  <c:v>-142.31399999999999</c:v>
                </c:pt>
                <c:pt idx="262">
                  <c:v>-141.465</c:v>
                </c:pt>
                <c:pt idx="263">
                  <c:v>-140.39099999999999</c:v>
                </c:pt>
                <c:pt idx="264">
                  <c:v>-139.065</c:v>
                </c:pt>
                <c:pt idx="265">
                  <c:v>-136.58699999999999</c:v>
                </c:pt>
                <c:pt idx="266">
                  <c:v>-135.751</c:v>
                </c:pt>
                <c:pt idx="267">
                  <c:v>-137.57599999999999</c:v>
                </c:pt>
                <c:pt idx="268">
                  <c:v>-138.25</c:v>
                </c:pt>
                <c:pt idx="269">
                  <c:v>-138.07900000000001</c:v>
                </c:pt>
                <c:pt idx="270">
                  <c:v>-137.59100000000001</c:v>
                </c:pt>
                <c:pt idx="271">
                  <c:v>-137.08699999999999</c:v>
                </c:pt>
                <c:pt idx="272">
                  <c:v>-136.553</c:v>
                </c:pt>
                <c:pt idx="273">
                  <c:v>-136.001</c:v>
                </c:pt>
                <c:pt idx="274">
                  <c:v>-135.524</c:v>
                </c:pt>
                <c:pt idx="275">
                  <c:v>-134.983</c:v>
                </c:pt>
                <c:pt idx="276">
                  <c:v>-134.52199999999999</c:v>
                </c:pt>
                <c:pt idx="277">
                  <c:v>-134.059</c:v>
                </c:pt>
                <c:pt idx="278">
                  <c:v>-133.65100000000001</c:v>
                </c:pt>
                <c:pt idx="279">
                  <c:v>-133.24799999999999</c:v>
                </c:pt>
                <c:pt idx="280">
                  <c:v>-132.86600000000001</c:v>
                </c:pt>
                <c:pt idx="281">
                  <c:v>-132.49799999999999</c:v>
                </c:pt>
                <c:pt idx="282">
                  <c:v>-132.279</c:v>
                </c:pt>
                <c:pt idx="283">
                  <c:v>-132.03399999999999</c:v>
                </c:pt>
                <c:pt idx="284">
                  <c:v>-131.40799999999999</c:v>
                </c:pt>
                <c:pt idx="285">
                  <c:v>-131.172</c:v>
                </c:pt>
                <c:pt idx="286">
                  <c:v>-130.929</c:v>
                </c:pt>
                <c:pt idx="287">
                  <c:v>-130.88900000000001</c:v>
                </c:pt>
                <c:pt idx="288">
                  <c:v>-130.62200000000001</c:v>
                </c:pt>
                <c:pt idx="289">
                  <c:v>-130.36099999999999</c:v>
                </c:pt>
                <c:pt idx="290">
                  <c:v>-130.17400000000001</c:v>
                </c:pt>
                <c:pt idx="291">
                  <c:v>-130.05699999999999</c:v>
                </c:pt>
                <c:pt idx="292">
                  <c:v>-130.11600000000001</c:v>
                </c:pt>
                <c:pt idx="293">
                  <c:v>-129.97300000000001</c:v>
                </c:pt>
                <c:pt idx="294">
                  <c:v>-129.96199999999999</c:v>
                </c:pt>
                <c:pt idx="295">
                  <c:v>-129.73099999999999</c:v>
                </c:pt>
                <c:pt idx="296">
                  <c:v>-129.68299999999999</c:v>
                </c:pt>
                <c:pt idx="297">
                  <c:v>-129.64400000000001</c:v>
                </c:pt>
                <c:pt idx="298">
                  <c:v>-129.63</c:v>
                </c:pt>
                <c:pt idx="299">
                  <c:v>-129.62100000000001</c:v>
                </c:pt>
                <c:pt idx="300">
                  <c:v>-129.59</c:v>
                </c:pt>
                <c:pt idx="301">
                  <c:v>-129.61099999999999</c:v>
                </c:pt>
                <c:pt idx="302">
                  <c:v>-129.61699999999999</c:v>
                </c:pt>
                <c:pt idx="303">
                  <c:v>-129.57599999999999</c:v>
                </c:pt>
                <c:pt idx="304">
                  <c:v>-129.52799999999999</c:v>
                </c:pt>
                <c:pt idx="305">
                  <c:v>-129.44300000000001</c:v>
                </c:pt>
                <c:pt idx="306">
                  <c:v>-129.58500000000001</c:v>
                </c:pt>
                <c:pt idx="307">
                  <c:v>-129.61699999999999</c:v>
                </c:pt>
                <c:pt idx="308">
                  <c:v>-129.863</c:v>
                </c:pt>
                <c:pt idx="309">
                  <c:v>-130.31299999999999</c:v>
                </c:pt>
                <c:pt idx="310">
                  <c:v>-130.77099999999999</c:v>
                </c:pt>
                <c:pt idx="311">
                  <c:v>-131.42599999999999</c:v>
                </c:pt>
                <c:pt idx="312">
                  <c:v>-132.06399999999999</c:v>
                </c:pt>
                <c:pt idx="313">
                  <c:v>-132.62899999999999</c:v>
                </c:pt>
                <c:pt idx="314">
                  <c:v>-133.267</c:v>
                </c:pt>
                <c:pt idx="315">
                  <c:v>-133.959</c:v>
                </c:pt>
                <c:pt idx="316">
                  <c:v>-134.75200000000001</c:v>
                </c:pt>
                <c:pt idx="317">
                  <c:v>-135.72399999999999</c:v>
                </c:pt>
                <c:pt idx="318">
                  <c:v>-136.34200000000001</c:v>
                </c:pt>
                <c:pt idx="319">
                  <c:v>-136.816</c:v>
                </c:pt>
                <c:pt idx="320">
                  <c:v>-137.47</c:v>
                </c:pt>
                <c:pt idx="321">
                  <c:v>-137.46899999999999</c:v>
                </c:pt>
                <c:pt idx="322">
                  <c:v>-138.31200000000001</c:v>
                </c:pt>
                <c:pt idx="323">
                  <c:v>-140.114</c:v>
                </c:pt>
                <c:pt idx="324">
                  <c:v>-141.173</c:v>
                </c:pt>
                <c:pt idx="325">
                  <c:v>-141.86199999999999</c:v>
                </c:pt>
                <c:pt idx="326">
                  <c:v>-143.41399999999999</c:v>
                </c:pt>
                <c:pt idx="327">
                  <c:v>-144.279</c:v>
                </c:pt>
                <c:pt idx="328">
                  <c:v>-145.40799999999999</c:v>
                </c:pt>
                <c:pt idx="329">
                  <c:v>-146.886</c:v>
                </c:pt>
                <c:pt idx="330">
                  <c:v>-147.23699999999999</c:v>
                </c:pt>
                <c:pt idx="331">
                  <c:v>-148.923</c:v>
                </c:pt>
                <c:pt idx="332">
                  <c:v>-149.92099999999999</c:v>
                </c:pt>
                <c:pt idx="333">
                  <c:v>-151.101</c:v>
                </c:pt>
                <c:pt idx="334">
                  <c:v>-153.08699999999999</c:v>
                </c:pt>
                <c:pt idx="335">
                  <c:v>-154.70699999999999</c:v>
                </c:pt>
                <c:pt idx="336">
                  <c:v>-156.46</c:v>
                </c:pt>
                <c:pt idx="337">
                  <c:v>-158.77500000000001</c:v>
                </c:pt>
                <c:pt idx="338">
                  <c:v>-161.529</c:v>
                </c:pt>
                <c:pt idx="339">
                  <c:v>-163.59700000000001</c:v>
                </c:pt>
                <c:pt idx="340">
                  <c:v>-165.89599999999999</c:v>
                </c:pt>
                <c:pt idx="341">
                  <c:v>-168.07</c:v>
                </c:pt>
                <c:pt idx="342">
                  <c:v>-170.82400000000001</c:v>
                </c:pt>
                <c:pt idx="343">
                  <c:v>-173.35300000000001</c:v>
                </c:pt>
                <c:pt idx="344">
                  <c:v>-175.80699999999999</c:v>
                </c:pt>
                <c:pt idx="345">
                  <c:v>-177.72399999999999</c:v>
                </c:pt>
                <c:pt idx="346">
                  <c:v>-178.92099999999999</c:v>
                </c:pt>
                <c:pt idx="347">
                  <c:v>-181.99</c:v>
                </c:pt>
                <c:pt idx="348">
                  <c:v>-183.36099999999999</c:v>
                </c:pt>
                <c:pt idx="349">
                  <c:v>-186.209</c:v>
                </c:pt>
                <c:pt idx="350">
                  <c:v>-189.75</c:v>
                </c:pt>
                <c:pt idx="351">
                  <c:v>-192.398</c:v>
                </c:pt>
                <c:pt idx="352">
                  <c:v>-194.60300000000001</c:v>
                </c:pt>
                <c:pt idx="353">
                  <c:v>-197.85300000000001</c:v>
                </c:pt>
                <c:pt idx="354">
                  <c:v>-200.482</c:v>
                </c:pt>
                <c:pt idx="355">
                  <c:v>-203.33199999999999</c:v>
                </c:pt>
                <c:pt idx="356">
                  <c:v>-205.19499999999999</c:v>
                </c:pt>
                <c:pt idx="357">
                  <c:v>-207.41</c:v>
                </c:pt>
                <c:pt idx="358">
                  <c:v>-210.39400000000001</c:v>
                </c:pt>
                <c:pt idx="359">
                  <c:v>-213.04300000000001</c:v>
                </c:pt>
                <c:pt idx="360">
                  <c:v>-214.58500000000001</c:v>
                </c:pt>
                <c:pt idx="361">
                  <c:v>-217.34299999999999</c:v>
                </c:pt>
                <c:pt idx="362">
                  <c:v>-219.017</c:v>
                </c:pt>
                <c:pt idx="363">
                  <c:v>-221.39400000000001</c:v>
                </c:pt>
                <c:pt idx="364">
                  <c:v>-223.214</c:v>
                </c:pt>
                <c:pt idx="365">
                  <c:v>-225.053</c:v>
                </c:pt>
                <c:pt idx="366">
                  <c:v>-226.50200000000001</c:v>
                </c:pt>
                <c:pt idx="367">
                  <c:v>131.81700000000001</c:v>
                </c:pt>
                <c:pt idx="368">
                  <c:v>129.95699999999999</c:v>
                </c:pt>
                <c:pt idx="369">
                  <c:v>126.41800000000001</c:v>
                </c:pt>
                <c:pt idx="370">
                  <c:v>125.40900000000001</c:v>
                </c:pt>
                <c:pt idx="371">
                  <c:v>124.027</c:v>
                </c:pt>
                <c:pt idx="372">
                  <c:v>122.795</c:v>
                </c:pt>
                <c:pt idx="373">
                  <c:v>121.76300000000001</c:v>
                </c:pt>
                <c:pt idx="374">
                  <c:v>121.762</c:v>
                </c:pt>
                <c:pt idx="375">
                  <c:v>119.89400000000001</c:v>
                </c:pt>
                <c:pt idx="376">
                  <c:v>119.196</c:v>
                </c:pt>
                <c:pt idx="377">
                  <c:v>116.889</c:v>
                </c:pt>
                <c:pt idx="378">
                  <c:v>117.324</c:v>
                </c:pt>
                <c:pt idx="379">
                  <c:v>115.142</c:v>
                </c:pt>
                <c:pt idx="380">
                  <c:v>115.247</c:v>
                </c:pt>
                <c:pt idx="381">
                  <c:v>113.164</c:v>
                </c:pt>
                <c:pt idx="382">
                  <c:v>112.872</c:v>
                </c:pt>
                <c:pt idx="383">
                  <c:v>110.592</c:v>
                </c:pt>
                <c:pt idx="384">
                  <c:v>111.01300000000001</c:v>
                </c:pt>
                <c:pt idx="385">
                  <c:v>109.21</c:v>
                </c:pt>
                <c:pt idx="386">
                  <c:v>107.553</c:v>
                </c:pt>
                <c:pt idx="387">
                  <c:v>107.324</c:v>
                </c:pt>
                <c:pt idx="388">
                  <c:v>105.50700000000001</c:v>
                </c:pt>
                <c:pt idx="389">
                  <c:v>105.28700000000001</c:v>
                </c:pt>
                <c:pt idx="390">
                  <c:v>105.286</c:v>
                </c:pt>
                <c:pt idx="391">
                  <c:v>105.187</c:v>
                </c:pt>
                <c:pt idx="392">
                  <c:v>104.541</c:v>
                </c:pt>
                <c:pt idx="393">
                  <c:v>103.205</c:v>
                </c:pt>
                <c:pt idx="394">
                  <c:v>103.91</c:v>
                </c:pt>
                <c:pt idx="395">
                  <c:v>102.337</c:v>
                </c:pt>
                <c:pt idx="396">
                  <c:v>100.33499999999999</c:v>
                </c:pt>
                <c:pt idx="397">
                  <c:v>100.20399999999999</c:v>
                </c:pt>
                <c:pt idx="398">
                  <c:v>99.956599999999995</c:v>
                </c:pt>
                <c:pt idx="399">
                  <c:v>98.699600000000004</c:v>
                </c:pt>
              </c:numCache>
            </c:numRef>
          </c:yVal>
          <c:smooth val="0"/>
          <c:extLst>
            <c:ext xmlns:c16="http://schemas.microsoft.com/office/drawing/2014/chart" uri="{C3380CC4-5D6E-409C-BE32-E72D297353CC}">
              <c16:uniqueId val="{00000003-2A10-41EA-A3AE-967165122F16}"/>
            </c:ext>
          </c:extLst>
        </c:ser>
        <c:dLbls>
          <c:showLegendKey val="0"/>
          <c:showVal val="0"/>
          <c:showCatName val="0"/>
          <c:showSerName val="0"/>
          <c:showPercent val="0"/>
          <c:showBubbleSize val="0"/>
        </c:dLbls>
        <c:axId val="176943488"/>
        <c:axId val="176945024"/>
      </c:scatterChart>
      <c:valAx>
        <c:axId val="176934912"/>
        <c:scaling>
          <c:logBase val="10"/>
          <c:orientation val="minMax"/>
          <c:max val="10000000"/>
          <c:min val="1000"/>
        </c:scaling>
        <c:delete val="0"/>
        <c:axPos val="b"/>
        <c:title>
          <c:tx>
            <c:rich>
              <a:bodyPr/>
              <a:lstStyle/>
              <a:p>
                <a:pPr>
                  <a:defRPr sz="800" b="1" i="0" u="none" strike="noStrike" baseline="0">
                    <a:solidFill>
                      <a:srgbClr val="000000"/>
                    </a:solidFill>
                    <a:latin typeface="Arial"/>
                    <a:ea typeface="Arial"/>
                    <a:cs typeface="Arial"/>
                  </a:defRPr>
                </a:pPr>
                <a:r>
                  <a:rPr lang="en-US"/>
                  <a:t>Frequency (Hz)</a:t>
                </a:r>
              </a:p>
            </c:rich>
          </c:tx>
          <c:layout>
            <c:manualLayout>
              <c:xMode val="edge"/>
              <c:yMode val="edge"/>
              <c:x val="0.43297177526722869"/>
              <c:y val="0.88311797388962088"/>
            </c:manualLayout>
          </c:layout>
          <c:overlay val="0"/>
          <c:spPr>
            <a:noFill/>
            <a:ln w="25400">
              <a:noFill/>
            </a:ln>
          </c:spPr>
        </c:title>
        <c:numFmt formatCode="General" sourceLinked="1"/>
        <c:majorTickMark val="out"/>
        <c:minorTickMark val="in"/>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76937216"/>
        <c:crossesAt val="-80"/>
        <c:crossBetween val="midCat"/>
      </c:valAx>
      <c:valAx>
        <c:axId val="176937216"/>
        <c:scaling>
          <c:orientation val="minMax"/>
          <c:min val="-60"/>
        </c:scaling>
        <c:delete val="0"/>
        <c:axPos val="l"/>
        <c:majorGridlines>
          <c:spPr>
            <a:ln w="3175">
              <a:solidFill>
                <a:srgbClr val="000000"/>
              </a:solidFill>
              <a:prstDash val="solid"/>
            </a:ln>
          </c:spPr>
        </c:majorGridlines>
        <c:title>
          <c:tx>
            <c:rich>
              <a:bodyPr/>
              <a:lstStyle/>
              <a:p>
                <a:pPr>
                  <a:defRPr sz="800" b="1" i="0" u="none" strike="noStrike" baseline="0">
                    <a:solidFill>
                      <a:srgbClr val="000000"/>
                    </a:solidFill>
                    <a:latin typeface="Arial"/>
                    <a:ea typeface="Arial"/>
                    <a:cs typeface="Arial"/>
                  </a:defRPr>
                </a:pPr>
                <a:r>
                  <a:rPr lang="en-US"/>
                  <a:t>Gain (db)</a:t>
                </a:r>
              </a:p>
            </c:rich>
          </c:tx>
          <c:layout>
            <c:manualLayout>
              <c:xMode val="edge"/>
              <c:yMode val="edge"/>
              <c:x val="3.0797101449275412E-2"/>
              <c:y val="0.4415589869448189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76934912"/>
        <c:crosses val="autoZero"/>
        <c:crossBetween val="midCat"/>
      </c:valAx>
      <c:valAx>
        <c:axId val="176943488"/>
        <c:scaling>
          <c:logBase val="10"/>
          <c:orientation val="minMax"/>
        </c:scaling>
        <c:delete val="1"/>
        <c:axPos val="b"/>
        <c:numFmt formatCode="General" sourceLinked="1"/>
        <c:majorTickMark val="out"/>
        <c:minorTickMark val="none"/>
        <c:tickLblPos val="none"/>
        <c:crossAx val="176945024"/>
        <c:crosses val="autoZero"/>
        <c:crossBetween val="midCat"/>
      </c:valAx>
      <c:valAx>
        <c:axId val="176945024"/>
        <c:scaling>
          <c:orientation val="minMax"/>
        </c:scaling>
        <c:delete val="0"/>
        <c:axPos val="r"/>
        <c:title>
          <c:tx>
            <c:rich>
              <a:bodyPr/>
              <a:lstStyle/>
              <a:p>
                <a:pPr>
                  <a:defRPr sz="800" b="1" i="0" u="none" strike="noStrike" baseline="0">
                    <a:solidFill>
                      <a:srgbClr val="000000"/>
                    </a:solidFill>
                    <a:latin typeface="Arial"/>
                    <a:ea typeface="Arial"/>
                    <a:cs typeface="Arial"/>
                  </a:defRPr>
                </a:pPr>
                <a:r>
                  <a:rPr lang="en-US"/>
                  <a:t>Phase Margin (Deg)</a:t>
                </a:r>
              </a:p>
            </c:rich>
          </c:tx>
          <c:layout>
            <c:manualLayout>
              <c:xMode val="edge"/>
              <c:yMode val="edge"/>
              <c:x val="0.95471185667010505"/>
              <c:y val="0.36623431162013825"/>
            </c:manualLayout>
          </c:layout>
          <c:overlay val="0"/>
          <c:spPr>
            <a:noFill/>
            <a:ln w="25400">
              <a:noFill/>
            </a:ln>
          </c:spPr>
        </c:title>
        <c:numFmt formatCode="General" sourceLinked="1"/>
        <c:majorTickMark val="cross"/>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76943488"/>
        <c:crosses val="max"/>
        <c:crossBetween val="midCat"/>
      </c:valAx>
      <c:spPr>
        <a:noFill/>
        <a:ln w="12700">
          <a:solidFill>
            <a:srgbClr val="808080"/>
          </a:solidFill>
          <a:prstDash val="solid"/>
        </a:ln>
      </c:spPr>
    </c:plotArea>
    <c:legend>
      <c:legendPos val="t"/>
      <c:layout>
        <c:manualLayout>
          <c:xMode val="edge"/>
          <c:yMode val="edge"/>
          <c:x val="0.70471147628286246"/>
          <c:y val="1.2987012987012988E-2"/>
          <c:w val="0.275362889421434"/>
          <c:h val="0.14545481814773328"/>
        </c:manualLayout>
      </c:layout>
      <c:overlay val="0"/>
      <c:spPr>
        <a:solidFill>
          <a:srgbClr val="FFFFFF"/>
        </a:solidFill>
        <a:ln w="3175">
          <a:solidFill>
            <a:srgbClr val="000000"/>
          </a:solidFill>
          <a:prstDash val="solid"/>
        </a:ln>
      </c:spPr>
      <c:txPr>
        <a:bodyPr/>
        <a:lstStyle/>
        <a:p>
          <a:pPr>
            <a:defRPr sz="67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25400">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0000000000006" r="0.750000000000006" t="1" header="0.5" footer="0.5"/>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75" b="1" i="0" u="none" strike="noStrike" baseline="0">
                <a:solidFill>
                  <a:srgbClr val="000000"/>
                </a:solidFill>
                <a:latin typeface="Arial"/>
                <a:ea typeface="Arial"/>
                <a:cs typeface="Arial"/>
              </a:defRPr>
            </a:pPr>
            <a:r>
              <a:rPr lang="en-US"/>
              <a:t> MOSFET Temp Rise</a:t>
            </a:r>
          </a:p>
        </c:rich>
      </c:tx>
      <c:layout>
        <c:manualLayout>
          <c:xMode val="edge"/>
          <c:yMode val="edge"/>
          <c:x val="0.42444773564332877"/>
          <c:y val="5.7239057239057242E-2"/>
        </c:manualLayout>
      </c:layout>
      <c:overlay val="0"/>
      <c:spPr>
        <a:noFill/>
        <a:ln w="25400">
          <a:noFill/>
        </a:ln>
      </c:spPr>
    </c:title>
    <c:autoTitleDeleted val="0"/>
    <c:plotArea>
      <c:layout>
        <c:manualLayout>
          <c:layoutTarget val="inner"/>
          <c:xMode val="edge"/>
          <c:yMode val="edge"/>
          <c:x val="0.13531808670268541"/>
          <c:y val="0.15757606845026306"/>
          <c:w val="0.84573804189178381"/>
          <c:h val="0.71717313204926625"/>
        </c:manualLayout>
      </c:layout>
      <c:scatterChart>
        <c:scatterStyle val="lineMarker"/>
        <c:varyColors val="0"/>
        <c:ser>
          <c:idx val="0"/>
          <c:order val="0"/>
          <c:tx>
            <c:v>Top FET</c:v>
          </c:tx>
          <c:spPr>
            <a:ln w="38100">
              <a:solidFill>
                <a:srgbClr val="000080"/>
              </a:solidFill>
              <a:prstDash val="solid"/>
            </a:ln>
          </c:spPr>
          <c:marker>
            <c:symbol val="none"/>
          </c:marker>
          <c:xVal>
            <c:numRef>
              <c:f>'Power Calculations'!$H$9:$H$209</c:f>
              <c:numCache>
                <c:formatCode>General</c:formatCode>
                <c:ptCount val="201"/>
                <c:pt idx="0">
                  <c:v>0</c:v>
                </c:pt>
                <c:pt idx="1">
                  <c:v>0.01</c:v>
                </c:pt>
                <c:pt idx="2">
                  <c:v>0.02</c:v>
                </c:pt>
                <c:pt idx="3">
                  <c:v>0.03</c:v>
                </c:pt>
                <c:pt idx="4">
                  <c:v>0.04</c:v>
                </c:pt>
                <c:pt idx="5">
                  <c:v>0.05</c:v>
                </c:pt>
                <c:pt idx="6">
                  <c:v>0.06</c:v>
                </c:pt>
                <c:pt idx="7">
                  <c:v>7.0000000000000007E-2</c:v>
                </c:pt>
                <c:pt idx="8">
                  <c:v>0.08</c:v>
                </c:pt>
                <c:pt idx="9">
                  <c:v>0.09</c:v>
                </c:pt>
                <c:pt idx="10">
                  <c:v>0.1</c:v>
                </c:pt>
                <c:pt idx="11">
                  <c:v>0.11</c:v>
                </c:pt>
                <c:pt idx="12">
                  <c:v>0.12</c:v>
                </c:pt>
                <c:pt idx="13">
                  <c:v>0.13</c:v>
                </c:pt>
                <c:pt idx="14">
                  <c:v>0.14000000000000001</c:v>
                </c:pt>
                <c:pt idx="15">
                  <c:v>0.15</c:v>
                </c:pt>
                <c:pt idx="16">
                  <c:v>0.16</c:v>
                </c:pt>
                <c:pt idx="17">
                  <c:v>0.17</c:v>
                </c:pt>
                <c:pt idx="18">
                  <c:v>0.18</c:v>
                </c:pt>
                <c:pt idx="19">
                  <c:v>0.19</c:v>
                </c:pt>
                <c:pt idx="20">
                  <c:v>0.2</c:v>
                </c:pt>
                <c:pt idx="21">
                  <c:v>0.21</c:v>
                </c:pt>
                <c:pt idx="22">
                  <c:v>0.22</c:v>
                </c:pt>
                <c:pt idx="23">
                  <c:v>0.23</c:v>
                </c:pt>
                <c:pt idx="24">
                  <c:v>0.24</c:v>
                </c:pt>
                <c:pt idx="25">
                  <c:v>0.25</c:v>
                </c:pt>
                <c:pt idx="26">
                  <c:v>0.26</c:v>
                </c:pt>
                <c:pt idx="27">
                  <c:v>0.27</c:v>
                </c:pt>
                <c:pt idx="28">
                  <c:v>0.28000000000000003</c:v>
                </c:pt>
                <c:pt idx="29">
                  <c:v>0.28999999999999998</c:v>
                </c:pt>
                <c:pt idx="30">
                  <c:v>0.3</c:v>
                </c:pt>
                <c:pt idx="31">
                  <c:v>0.31</c:v>
                </c:pt>
                <c:pt idx="32">
                  <c:v>0.32</c:v>
                </c:pt>
                <c:pt idx="33">
                  <c:v>0.33</c:v>
                </c:pt>
                <c:pt idx="34">
                  <c:v>0.34</c:v>
                </c:pt>
                <c:pt idx="35">
                  <c:v>0.35</c:v>
                </c:pt>
                <c:pt idx="36">
                  <c:v>0.36</c:v>
                </c:pt>
                <c:pt idx="37">
                  <c:v>0.37</c:v>
                </c:pt>
                <c:pt idx="38">
                  <c:v>0.38</c:v>
                </c:pt>
                <c:pt idx="39">
                  <c:v>0.39</c:v>
                </c:pt>
                <c:pt idx="40">
                  <c:v>0.4</c:v>
                </c:pt>
                <c:pt idx="41">
                  <c:v>0.41</c:v>
                </c:pt>
                <c:pt idx="42">
                  <c:v>0.42</c:v>
                </c:pt>
                <c:pt idx="43">
                  <c:v>0.43</c:v>
                </c:pt>
                <c:pt idx="44">
                  <c:v>0.44</c:v>
                </c:pt>
                <c:pt idx="45">
                  <c:v>0.45</c:v>
                </c:pt>
                <c:pt idx="46">
                  <c:v>0.46</c:v>
                </c:pt>
                <c:pt idx="47">
                  <c:v>0.47</c:v>
                </c:pt>
                <c:pt idx="48">
                  <c:v>0.48</c:v>
                </c:pt>
                <c:pt idx="49">
                  <c:v>0.49</c:v>
                </c:pt>
                <c:pt idx="50">
                  <c:v>0.5</c:v>
                </c:pt>
                <c:pt idx="51">
                  <c:v>0.51</c:v>
                </c:pt>
                <c:pt idx="52">
                  <c:v>0.52</c:v>
                </c:pt>
                <c:pt idx="53">
                  <c:v>0.53</c:v>
                </c:pt>
                <c:pt idx="54">
                  <c:v>0.54</c:v>
                </c:pt>
                <c:pt idx="55">
                  <c:v>0.55000000000000004</c:v>
                </c:pt>
                <c:pt idx="56">
                  <c:v>0.56000000000000005</c:v>
                </c:pt>
                <c:pt idx="57">
                  <c:v>0.56999999999999995</c:v>
                </c:pt>
                <c:pt idx="58">
                  <c:v>0.57999999999999996</c:v>
                </c:pt>
                <c:pt idx="59">
                  <c:v>0.59</c:v>
                </c:pt>
                <c:pt idx="60">
                  <c:v>0.6</c:v>
                </c:pt>
                <c:pt idx="61">
                  <c:v>0.61</c:v>
                </c:pt>
                <c:pt idx="62">
                  <c:v>0.62</c:v>
                </c:pt>
                <c:pt idx="63">
                  <c:v>0.63</c:v>
                </c:pt>
                <c:pt idx="64">
                  <c:v>0.64</c:v>
                </c:pt>
                <c:pt idx="65">
                  <c:v>0.65</c:v>
                </c:pt>
                <c:pt idx="66">
                  <c:v>0.66</c:v>
                </c:pt>
                <c:pt idx="67">
                  <c:v>0.67</c:v>
                </c:pt>
                <c:pt idx="68">
                  <c:v>0.68</c:v>
                </c:pt>
                <c:pt idx="69">
                  <c:v>0.69</c:v>
                </c:pt>
                <c:pt idx="70">
                  <c:v>0.7</c:v>
                </c:pt>
                <c:pt idx="71">
                  <c:v>0.71</c:v>
                </c:pt>
                <c:pt idx="72">
                  <c:v>0.72</c:v>
                </c:pt>
                <c:pt idx="73">
                  <c:v>0.73</c:v>
                </c:pt>
                <c:pt idx="74">
                  <c:v>0.74</c:v>
                </c:pt>
                <c:pt idx="75">
                  <c:v>0.75</c:v>
                </c:pt>
                <c:pt idx="76">
                  <c:v>0.76</c:v>
                </c:pt>
                <c:pt idx="77">
                  <c:v>0.77</c:v>
                </c:pt>
                <c:pt idx="78">
                  <c:v>0.78</c:v>
                </c:pt>
                <c:pt idx="79">
                  <c:v>0.79</c:v>
                </c:pt>
                <c:pt idx="80">
                  <c:v>0.8</c:v>
                </c:pt>
                <c:pt idx="81">
                  <c:v>0.81</c:v>
                </c:pt>
                <c:pt idx="82">
                  <c:v>0.82</c:v>
                </c:pt>
                <c:pt idx="83">
                  <c:v>0.83</c:v>
                </c:pt>
                <c:pt idx="84">
                  <c:v>0.84</c:v>
                </c:pt>
                <c:pt idx="85">
                  <c:v>0.85</c:v>
                </c:pt>
                <c:pt idx="86">
                  <c:v>0.86</c:v>
                </c:pt>
                <c:pt idx="87">
                  <c:v>0.87</c:v>
                </c:pt>
                <c:pt idx="88">
                  <c:v>0.88</c:v>
                </c:pt>
                <c:pt idx="89">
                  <c:v>0.89</c:v>
                </c:pt>
                <c:pt idx="90">
                  <c:v>0.9</c:v>
                </c:pt>
                <c:pt idx="91">
                  <c:v>0.91</c:v>
                </c:pt>
                <c:pt idx="92">
                  <c:v>0.92</c:v>
                </c:pt>
                <c:pt idx="93">
                  <c:v>0.93</c:v>
                </c:pt>
                <c:pt idx="94">
                  <c:v>0.94</c:v>
                </c:pt>
                <c:pt idx="95">
                  <c:v>0.95</c:v>
                </c:pt>
                <c:pt idx="96">
                  <c:v>0.96</c:v>
                </c:pt>
                <c:pt idx="97">
                  <c:v>0.97</c:v>
                </c:pt>
                <c:pt idx="98">
                  <c:v>0.98</c:v>
                </c:pt>
                <c:pt idx="99">
                  <c:v>0.99</c:v>
                </c:pt>
                <c:pt idx="100">
                  <c:v>1</c:v>
                </c:pt>
                <c:pt idx="101">
                  <c:v>1.01</c:v>
                </c:pt>
                <c:pt idx="102">
                  <c:v>1.02</c:v>
                </c:pt>
                <c:pt idx="103">
                  <c:v>1.03</c:v>
                </c:pt>
                <c:pt idx="104">
                  <c:v>1.04</c:v>
                </c:pt>
                <c:pt idx="105">
                  <c:v>1.05</c:v>
                </c:pt>
                <c:pt idx="106">
                  <c:v>1.06</c:v>
                </c:pt>
                <c:pt idx="107">
                  <c:v>1.07</c:v>
                </c:pt>
                <c:pt idx="108">
                  <c:v>1.08</c:v>
                </c:pt>
                <c:pt idx="109">
                  <c:v>1.0900000000000001</c:v>
                </c:pt>
                <c:pt idx="110">
                  <c:v>1.1000000000000001</c:v>
                </c:pt>
                <c:pt idx="111">
                  <c:v>1.1100000000000001</c:v>
                </c:pt>
                <c:pt idx="112">
                  <c:v>1.1200000000000001</c:v>
                </c:pt>
                <c:pt idx="113">
                  <c:v>1.1299999999999999</c:v>
                </c:pt>
                <c:pt idx="114">
                  <c:v>1.1399999999999999</c:v>
                </c:pt>
                <c:pt idx="115">
                  <c:v>1.1499999999999999</c:v>
                </c:pt>
                <c:pt idx="116">
                  <c:v>1.1599999999999999</c:v>
                </c:pt>
                <c:pt idx="117">
                  <c:v>1.17</c:v>
                </c:pt>
                <c:pt idx="118">
                  <c:v>1.18</c:v>
                </c:pt>
                <c:pt idx="119">
                  <c:v>1.19</c:v>
                </c:pt>
                <c:pt idx="120">
                  <c:v>1.2</c:v>
                </c:pt>
                <c:pt idx="121">
                  <c:v>1.21</c:v>
                </c:pt>
                <c:pt idx="122">
                  <c:v>1.22</c:v>
                </c:pt>
                <c:pt idx="123">
                  <c:v>1.23</c:v>
                </c:pt>
                <c:pt idx="124">
                  <c:v>1.24</c:v>
                </c:pt>
                <c:pt idx="125">
                  <c:v>1.25</c:v>
                </c:pt>
                <c:pt idx="126">
                  <c:v>1.26</c:v>
                </c:pt>
                <c:pt idx="127">
                  <c:v>1.27</c:v>
                </c:pt>
                <c:pt idx="128">
                  <c:v>1.28</c:v>
                </c:pt>
                <c:pt idx="129">
                  <c:v>1.29</c:v>
                </c:pt>
                <c:pt idx="130">
                  <c:v>1.3</c:v>
                </c:pt>
                <c:pt idx="131">
                  <c:v>1.31</c:v>
                </c:pt>
                <c:pt idx="132">
                  <c:v>1.32</c:v>
                </c:pt>
                <c:pt idx="133">
                  <c:v>1.33</c:v>
                </c:pt>
                <c:pt idx="134">
                  <c:v>1.34</c:v>
                </c:pt>
                <c:pt idx="135">
                  <c:v>1.35</c:v>
                </c:pt>
                <c:pt idx="136">
                  <c:v>1.36</c:v>
                </c:pt>
                <c:pt idx="137">
                  <c:v>1.37</c:v>
                </c:pt>
                <c:pt idx="138">
                  <c:v>1.38</c:v>
                </c:pt>
                <c:pt idx="139">
                  <c:v>1.39</c:v>
                </c:pt>
                <c:pt idx="140">
                  <c:v>1.4</c:v>
                </c:pt>
                <c:pt idx="141">
                  <c:v>1.41</c:v>
                </c:pt>
                <c:pt idx="142">
                  <c:v>1.42</c:v>
                </c:pt>
                <c:pt idx="143">
                  <c:v>1.43</c:v>
                </c:pt>
                <c:pt idx="144">
                  <c:v>1.44</c:v>
                </c:pt>
                <c:pt idx="145">
                  <c:v>1.45</c:v>
                </c:pt>
                <c:pt idx="146">
                  <c:v>1.46</c:v>
                </c:pt>
                <c:pt idx="147">
                  <c:v>1.47</c:v>
                </c:pt>
                <c:pt idx="148">
                  <c:v>1.48</c:v>
                </c:pt>
                <c:pt idx="149">
                  <c:v>1.49</c:v>
                </c:pt>
                <c:pt idx="150">
                  <c:v>1.5</c:v>
                </c:pt>
                <c:pt idx="151">
                  <c:v>1.51</c:v>
                </c:pt>
                <c:pt idx="152">
                  <c:v>1.52</c:v>
                </c:pt>
                <c:pt idx="153">
                  <c:v>1.53</c:v>
                </c:pt>
                <c:pt idx="154">
                  <c:v>1.54</c:v>
                </c:pt>
                <c:pt idx="155">
                  <c:v>1.55</c:v>
                </c:pt>
                <c:pt idx="156">
                  <c:v>1.56</c:v>
                </c:pt>
                <c:pt idx="157">
                  <c:v>1.57</c:v>
                </c:pt>
                <c:pt idx="158">
                  <c:v>1.58</c:v>
                </c:pt>
                <c:pt idx="159">
                  <c:v>1.59</c:v>
                </c:pt>
                <c:pt idx="160">
                  <c:v>1.6</c:v>
                </c:pt>
                <c:pt idx="161">
                  <c:v>1.61</c:v>
                </c:pt>
                <c:pt idx="162">
                  <c:v>1.62</c:v>
                </c:pt>
                <c:pt idx="163">
                  <c:v>1.63</c:v>
                </c:pt>
                <c:pt idx="164">
                  <c:v>1.64</c:v>
                </c:pt>
                <c:pt idx="165">
                  <c:v>1.65</c:v>
                </c:pt>
                <c:pt idx="166">
                  <c:v>1.66</c:v>
                </c:pt>
                <c:pt idx="167">
                  <c:v>1.67</c:v>
                </c:pt>
                <c:pt idx="168">
                  <c:v>1.68</c:v>
                </c:pt>
                <c:pt idx="169">
                  <c:v>1.69</c:v>
                </c:pt>
                <c:pt idx="170">
                  <c:v>1.7</c:v>
                </c:pt>
                <c:pt idx="171">
                  <c:v>1.71</c:v>
                </c:pt>
                <c:pt idx="172">
                  <c:v>1.72</c:v>
                </c:pt>
                <c:pt idx="173">
                  <c:v>1.73</c:v>
                </c:pt>
                <c:pt idx="174">
                  <c:v>1.74</c:v>
                </c:pt>
                <c:pt idx="175">
                  <c:v>1.75</c:v>
                </c:pt>
                <c:pt idx="176">
                  <c:v>1.76</c:v>
                </c:pt>
                <c:pt idx="177">
                  <c:v>1.77</c:v>
                </c:pt>
                <c:pt idx="178">
                  <c:v>1.78</c:v>
                </c:pt>
                <c:pt idx="179">
                  <c:v>1.79</c:v>
                </c:pt>
                <c:pt idx="180">
                  <c:v>1.8</c:v>
                </c:pt>
                <c:pt idx="181">
                  <c:v>1.81</c:v>
                </c:pt>
                <c:pt idx="182">
                  <c:v>1.82</c:v>
                </c:pt>
                <c:pt idx="183">
                  <c:v>1.83</c:v>
                </c:pt>
                <c:pt idx="184">
                  <c:v>1.84</c:v>
                </c:pt>
                <c:pt idx="185">
                  <c:v>1.85</c:v>
                </c:pt>
                <c:pt idx="186">
                  <c:v>1.86</c:v>
                </c:pt>
                <c:pt idx="187">
                  <c:v>1.87</c:v>
                </c:pt>
                <c:pt idx="188">
                  <c:v>1.88</c:v>
                </c:pt>
                <c:pt idx="189">
                  <c:v>1.89</c:v>
                </c:pt>
                <c:pt idx="190">
                  <c:v>1.9</c:v>
                </c:pt>
                <c:pt idx="191">
                  <c:v>1.91</c:v>
                </c:pt>
                <c:pt idx="192">
                  <c:v>1.92</c:v>
                </c:pt>
                <c:pt idx="193">
                  <c:v>1.93</c:v>
                </c:pt>
                <c:pt idx="194">
                  <c:v>1.94</c:v>
                </c:pt>
                <c:pt idx="195">
                  <c:v>1.95</c:v>
                </c:pt>
                <c:pt idx="196">
                  <c:v>1.96</c:v>
                </c:pt>
                <c:pt idx="197">
                  <c:v>1.97</c:v>
                </c:pt>
                <c:pt idx="198">
                  <c:v>1.98</c:v>
                </c:pt>
                <c:pt idx="199">
                  <c:v>1.99</c:v>
                </c:pt>
                <c:pt idx="200">
                  <c:v>2</c:v>
                </c:pt>
              </c:numCache>
            </c:numRef>
          </c:xVal>
          <c:yVal>
            <c:numRef>
              <c:f>'Power Calculations'!$AR$9:$AR$209</c:f>
              <c:numCache>
                <c:formatCode>0.0</c:formatCode>
                <c:ptCount val="201"/>
                <c:pt idx="0">
                  <c:v>1.2433156039598356</c:v>
                </c:pt>
                <c:pt idx="1">
                  <c:v>1.2967379199151317</c:v>
                </c:pt>
                <c:pt idx="2">
                  <c:v>1.35006222458137</c:v>
                </c:pt>
                <c:pt idx="3">
                  <c:v>1.4032885732043339</c:v>
                </c:pt>
                <c:pt idx="4">
                  <c:v>1.4564170208996745</c:v>
                </c:pt>
                <c:pt idx="5">
                  <c:v>1.5094476226529845</c:v>
                </c:pt>
                <c:pt idx="6">
                  <c:v>1.5623804333198685</c:v>
                </c:pt>
                <c:pt idx="7">
                  <c:v>1.6152155076260151</c:v>
                </c:pt>
                <c:pt idx="8">
                  <c:v>1.6679529001672651</c:v>
                </c:pt>
                <c:pt idx="9">
                  <c:v>1.7205926654096815</c:v>
                </c:pt>
                <c:pt idx="10">
                  <c:v>1.7731348576896213</c:v>
                </c:pt>
                <c:pt idx="11">
                  <c:v>1.8255795312138035</c:v>
                </c:pt>
                <c:pt idx="12">
                  <c:v>1.8779267400593769</c:v>
                </c:pt>
                <c:pt idx="13">
                  <c:v>1.9301765381739908</c:v>
                </c:pt>
                <c:pt idx="14">
                  <c:v>1.9823289793758589</c:v>
                </c:pt>
                <c:pt idx="15">
                  <c:v>2.0343841173538322</c:v>
                </c:pt>
                <c:pt idx="16">
                  <c:v>2.0863420056674595</c:v>
                </c:pt>
                <c:pt idx="17">
                  <c:v>2.1382026977470616</c:v>
                </c:pt>
                <c:pt idx="18">
                  <c:v>2.1899662468937904</c:v>
                </c:pt>
                <c:pt idx="19">
                  <c:v>2.241632706279701</c:v>
                </c:pt>
                <c:pt idx="20">
                  <c:v>2.2932021289478124</c:v>
                </c:pt>
                <c:pt idx="21">
                  <c:v>2.3446745678121745</c:v>
                </c:pt>
                <c:pt idx="22">
                  <c:v>2.3960500756579339</c:v>
                </c:pt>
                <c:pt idx="23">
                  <c:v>2.4250708715464024</c:v>
                </c:pt>
                <c:pt idx="24">
                  <c:v>2.4332193446594435</c:v>
                </c:pt>
                <c:pt idx="25">
                  <c:v>2.4414301058331724</c:v>
                </c:pt>
                <c:pt idx="26">
                  <c:v>2.4497031785131425</c:v>
                </c:pt>
                <c:pt idx="27">
                  <c:v>2.45803858623974</c:v>
                </c:pt>
                <c:pt idx="28">
                  <c:v>2.4664363526482873</c:v>
                </c:pt>
                <c:pt idx="29">
                  <c:v>2.4748965014691429</c:v>
                </c:pt>
                <c:pt idx="30">
                  <c:v>2.4834190565278029</c:v>
                </c:pt>
                <c:pt idx="31">
                  <c:v>2.4920040417450062</c:v>
                </c:pt>
                <c:pt idx="32">
                  <c:v>2.5006514811368321</c:v>
                </c:pt>
                <c:pt idx="33">
                  <c:v>2.5093613988148102</c:v>
                </c:pt>
                <c:pt idx="34">
                  <c:v>2.5181338189860165</c:v>
                </c:pt>
                <c:pt idx="35">
                  <c:v>2.5269687659531819</c:v>
                </c:pt>
                <c:pt idx="36">
                  <c:v>2.5358662641147975</c:v>
                </c:pt>
                <c:pt idx="37">
                  <c:v>2.5448263379652132</c:v>
                </c:pt>
                <c:pt idx="38">
                  <c:v>2.5538490120947483</c:v>
                </c:pt>
                <c:pt idx="39">
                  <c:v>2.5629343111897955</c:v>
                </c:pt>
                <c:pt idx="40">
                  <c:v>2.5720822600329258</c:v>
                </c:pt>
                <c:pt idx="41">
                  <c:v>2.5812928835029951</c:v>
                </c:pt>
                <c:pt idx="42">
                  <c:v>2.5905662065752493</c:v>
                </c:pt>
                <c:pt idx="43">
                  <c:v>2.5999022543214361</c:v>
                </c:pt>
                <c:pt idx="44">
                  <c:v>2.609301051909906</c:v>
                </c:pt>
                <c:pt idx="45">
                  <c:v>2.6187626246057247</c:v>
                </c:pt>
                <c:pt idx="46">
                  <c:v>2.6282869977707781</c:v>
                </c:pt>
                <c:pt idx="47">
                  <c:v>2.6378741968638852</c:v>
                </c:pt>
                <c:pt idx="48">
                  <c:v>2.6475242474409022</c:v>
                </c:pt>
                <c:pt idx="49">
                  <c:v>2.6572371751548336</c:v>
                </c:pt>
                <c:pt idx="50">
                  <c:v>2.667013005755944</c:v>
                </c:pt>
                <c:pt idx="51">
                  <c:v>2.6768517650918651</c:v>
                </c:pt>
                <c:pt idx="52">
                  <c:v>2.686753479107709</c:v>
                </c:pt>
                <c:pt idx="53">
                  <c:v>2.6967181738461772</c:v>
                </c:pt>
                <c:pt idx="54">
                  <c:v>2.7067458754476736</c:v>
                </c:pt>
                <c:pt idx="55">
                  <c:v>2.7168366101504149</c:v>
                </c:pt>
                <c:pt idx="56">
                  <c:v>2.7269904042905422</c:v>
                </c:pt>
                <c:pt idx="57">
                  <c:v>2.7372072843022379</c:v>
                </c:pt>
                <c:pt idx="58">
                  <c:v>2.7474872767178318</c:v>
                </c:pt>
                <c:pt idx="59">
                  <c:v>2.7578304081679206</c:v>
                </c:pt>
                <c:pt idx="60">
                  <c:v>2.7682367053814789</c:v>
                </c:pt>
                <c:pt idx="61">
                  <c:v>2.7787061951859746</c:v>
                </c:pt>
                <c:pt idx="62">
                  <c:v>2.7892389045074819</c:v>
                </c:pt>
                <c:pt idx="63">
                  <c:v>2.799834860370797</c:v>
                </c:pt>
                <c:pt idx="64">
                  <c:v>2.8104940898995565</c:v>
                </c:pt>
                <c:pt idx="65">
                  <c:v>2.8212166203163478</c:v>
                </c:pt>
                <c:pt idx="66">
                  <c:v>2.83200247894283</c:v>
                </c:pt>
                <c:pt idx="67">
                  <c:v>2.8428516931998491</c:v>
                </c:pt>
                <c:pt idx="68">
                  <c:v>2.8537642906075544</c:v>
                </c:pt>
                <c:pt idx="69">
                  <c:v>2.8647402987855175</c:v>
                </c:pt>
                <c:pt idx="70">
                  <c:v>2.875779745452848</c:v>
                </c:pt>
                <c:pt idx="71">
                  <c:v>2.8868826584283158</c:v>
                </c:pt>
                <c:pt idx="72">
                  <c:v>2.8980490656304649</c:v>
                </c:pt>
                <c:pt idx="73">
                  <c:v>2.909278995077738</c:v>
                </c:pt>
                <c:pt idx="74">
                  <c:v>2.920572474888592</c:v>
                </c:pt>
                <c:pt idx="75">
                  <c:v>2.9319295332816182</c:v>
                </c:pt>
                <c:pt idx="76">
                  <c:v>2.9433501985756672</c:v>
                </c:pt>
                <c:pt idx="77">
                  <c:v>2.9548344991899644</c:v>
                </c:pt>
                <c:pt idx="78">
                  <c:v>2.9663824636442353</c:v>
                </c:pt>
                <c:pt idx="79">
                  <c:v>2.9779941205588245</c:v>
                </c:pt>
                <c:pt idx="80">
                  <c:v>2.9896694986548202</c:v>
                </c:pt>
                <c:pt idx="81">
                  <c:v>3.0014086267541757</c:v>
                </c:pt>
                <c:pt idx="82">
                  <c:v>3.013211533779832</c:v>
                </c:pt>
                <c:pt idx="83">
                  <c:v>3.0250782487558423</c:v>
                </c:pt>
                <c:pt idx="84">
                  <c:v>3.0370088008074965</c:v>
                </c:pt>
                <c:pt idx="85">
                  <c:v>3.0490032191614431</c:v>
                </c:pt>
                <c:pt idx="86">
                  <c:v>3.061061533145816</c:v>
                </c:pt>
                <c:pt idx="87">
                  <c:v>3.0731837721903608</c:v>
                </c:pt>
                <c:pt idx="88">
                  <c:v>3.0853699658265565</c:v>
                </c:pt>
                <c:pt idx="89">
                  <c:v>3.0976201436877471</c:v>
                </c:pt>
                <c:pt idx="90">
                  <c:v>3.1099343355092626</c:v>
                </c:pt>
                <c:pt idx="91">
                  <c:v>3.1223125711285493</c:v>
                </c:pt>
                <c:pt idx="92">
                  <c:v>3.1347548804852963</c:v>
                </c:pt>
                <c:pt idx="93">
                  <c:v>3.1472612936215651</c:v>
                </c:pt>
                <c:pt idx="94">
                  <c:v>3.1598318406819148</c:v>
                </c:pt>
                <c:pt idx="95">
                  <c:v>3.172466551913534</c:v>
                </c:pt>
                <c:pt idx="96">
                  <c:v>3.1851654576663653</c:v>
                </c:pt>
                <c:pt idx="97">
                  <c:v>3.1979285883932422</c:v>
                </c:pt>
                <c:pt idx="98">
                  <c:v>3.2107559746500121</c:v>
                </c:pt>
                <c:pt idx="99">
                  <c:v>3.2236476470956701</c:v>
                </c:pt>
                <c:pt idx="100">
                  <c:v>3.2366036364924922</c:v>
                </c:pt>
                <c:pt idx="101">
                  <c:v>3.2496239737061594</c:v>
                </c:pt>
                <c:pt idx="102">
                  <c:v>3.2627086897059008</c:v>
                </c:pt>
                <c:pt idx="103">
                  <c:v>3.2758578155646148</c:v>
                </c:pt>
                <c:pt idx="104">
                  <c:v>3.2890713824590065</c:v>
                </c:pt>
                <c:pt idx="105">
                  <c:v>3.3023494216697244</c:v>
                </c:pt>
                <c:pt idx="106">
                  <c:v>3.3156919645814873</c:v>
                </c:pt>
                <c:pt idx="107">
                  <c:v>3.3290990426832248</c:v>
                </c:pt>
                <c:pt idx="108">
                  <c:v>3.3425706875682075</c:v>
                </c:pt>
                <c:pt idx="109">
                  <c:v>3.3561069309341831</c:v>
                </c:pt>
                <c:pt idx="110">
                  <c:v>3.3697078045835123</c:v>
                </c:pt>
                <c:pt idx="111">
                  <c:v>3.3833733404233057</c:v>
                </c:pt>
                <c:pt idx="112">
                  <c:v>3.3971035704655592</c:v>
                </c:pt>
                <c:pt idx="113">
                  <c:v>3.4108985268272907</c:v>
                </c:pt>
                <c:pt idx="114">
                  <c:v>3.4247582417306783</c:v>
                </c:pt>
                <c:pt idx="115">
                  <c:v>3.4386827475031962</c:v>
                </c:pt>
                <c:pt idx="116">
                  <c:v>3.4526720765777572</c:v>
                </c:pt>
                <c:pt idx="117">
                  <c:v>3.4667262614928438</c:v>
                </c:pt>
                <c:pt idx="118">
                  <c:v>3.480845334892658</c:v>
                </c:pt>
                <c:pt idx="119">
                  <c:v>3.4950293295272505</c:v>
                </c:pt>
                <c:pt idx="120">
                  <c:v>3.5092782782526677</c:v>
                </c:pt>
                <c:pt idx="121">
                  <c:v>3.52359221403109</c:v>
                </c:pt>
                <c:pt idx="122">
                  <c:v>3.5379711699309735</c:v>
                </c:pt>
                <c:pt idx="123">
                  <c:v>3.5524151791271894</c:v>
                </c:pt>
                <c:pt idx="124">
                  <c:v>3.5669242749011687</c:v>
                </c:pt>
                <c:pt idx="125">
                  <c:v>3.5814984906410445</c:v>
                </c:pt>
                <c:pt idx="126">
                  <c:v>3.5961378598417917</c:v>
                </c:pt>
                <c:pt idx="127">
                  <c:v>3.6108424161053763</c:v>
                </c:pt>
                <c:pt idx="128">
                  <c:v>3.6256121931408924</c:v>
                </c:pt>
                <c:pt idx="129">
                  <c:v>3.6404472247647135</c:v>
                </c:pt>
                <c:pt idx="130">
                  <c:v>3.655347544900633</c:v>
                </c:pt>
                <c:pt idx="131">
                  <c:v>3.6703131875800072</c:v>
                </c:pt>
                <c:pt idx="132">
                  <c:v>3.6853441869419097</c:v>
                </c:pt>
                <c:pt idx="133">
                  <c:v>3.70044057723327</c:v>
                </c:pt>
                <c:pt idx="134">
                  <c:v>3.7156023928090227</c:v>
                </c:pt>
                <c:pt idx="135">
                  <c:v>3.7308296681322548</c:v>
                </c:pt>
                <c:pt idx="136">
                  <c:v>3.7461224377743547</c:v>
                </c:pt>
                <c:pt idx="137">
                  <c:v>3.7614807364151583</c:v>
                </c:pt>
                <c:pt idx="138">
                  <c:v>3.7769045988431005</c:v>
                </c:pt>
                <c:pt idx="139">
                  <c:v>3.7923940599553609</c:v>
                </c:pt>
                <c:pt idx="140">
                  <c:v>3.807949154758016</c:v>
                </c:pt>
                <c:pt idx="141">
                  <c:v>3.8235699183661911</c:v>
                </c:pt>
                <c:pt idx="142">
                  <c:v>3.8392563860042035</c:v>
                </c:pt>
                <c:pt idx="143">
                  <c:v>3.8550085930057252</c:v>
                </c:pt>
                <c:pt idx="144">
                  <c:v>3.8708265748139237</c:v>
                </c:pt>
                <c:pt idx="145">
                  <c:v>3.886710366981621</c:v>
                </c:pt>
                <c:pt idx="146">
                  <c:v>3.9026600051714437</c:v>
                </c:pt>
                <c:pt idx="147">
                  <c:v>3.9186755251559768</c:v>
                </c:pt>
                <c:pt idx="148">
                  <c:v>3.9347569628179189</c:v>
                </c:pt>
                <c:pt idx="149">
                  <c:v>3.9509043541502304</c:v>
                </c:pt>
                <c:pt idx="150">
                  <c:v>3.9671177352562981</c:v>
                </c:pt>
                <c:pt idx="151">
                  <c:v>3.9833971423500816</c:v>
                </c:pt>
                <c:pt idx="152">
                  <c:v>3.9997426117562704</c:v>
                </c:pt>
                <c:pt idx="153">
                  <c:v>4.0161541799104468</c:v>
                </c:pt>
                <c:pt idx="154">
                  <c:v>4.0326318833592358</c:v>
                </c:pt>
                <c:pt idx="155">
                  <c:v>4.0491757587604633</c:v>
                </c:pt>
                <c:pt idx="156">
                  <c:v>4.0657858428833151</c:v>
                </c:pt>
                <c:pt idx="157">
                  <c:v>4.0824621726084969</c:v>
                </c:pt>
                <c:pt idx="158">
                  <c:v>4.0992047849283892</c:v>
                </c:pt>
                <c:pt idx="159">
                  <c:v>4.1160137169472089</c:v>
                </c:pt>
                <c:pt idx="160">
                  <c:v>4.1328890058811707</c:v>
                </c:pt>
                <c:pt idx="161">
                  <c:v>4.1498306890586409</c:v>
                </c:pt>
                <c:pt idx="162">
                  <c:v>4.1668388039203066</c:v>
                </c:pt>
                <c:pt idx="163">
                  <c:v>4.1839133880193327</c:v>
                </c:pt>
                <c:pt idx="164">
                  <c:v>4.2010544790215221</c:v>
                </c:pt>
                <c:pt idx="165">
                  <c:v>4.2182621147054835</c:v>
                </c:pt>
                <c:pt idx="166">
                  <c:v>4.2355363329627886</c:v>
                </c:pt>
                <c:pt idx="167">
                  <c:v>4.2528771717981373</c:v>
                </c:pt>
                <c:pt idx="168">
                  <c:v>4.2702846693295227</c:v>
                </c:pt>
                <c:pt idx="169">
                  <c:v>4.2877588637883992</c:v>
                </c:pt>
                <c:pt idx="170">
                  <c:v>4.3052997935198389</c:v>
                </c:pt>
                <c:pt idx="171">
                  <c:v>4.322907496982701</c:v>
                </c:pt>
                <c:pt idx="172">
                  <c:v>4.3405820127498025</c:v>
                </c:pt>
                <c:pt idx="173">
                  <c:v>4.3583233795080796</c:v>
                </c:pt>
                <c:pt idx="174">
                  <c:v>4.3761316360587541</c:v>
                </c:pt>
                <c:pt idx="175">
                  <c:v>4.394006821317503</c:v>
                </c:pt>
                <c:pt idx="176">
                  <c:v>4.4119489743146296</c:v>
                </c:pt>
                <c:pt idx="177">
                  <c:v>4.4299581341952301</c:v>
                </c:pt>
                <c:pt idx="178">
                  <c:v>4.4480343402193565</c:v>
                </c:pt>
                <c:pt idx="179">
                  <c:v>4.4661776317621964</c:v>
                </c:pt>
                <c:pt idx="180">
                  <c:v>4.484388048314238</c:v>
                </c:pt>
                <c:pt idx="181">
                  <c:v>4.5026656294814433</c:v>
                </c:pt>
                <c:pt idx="182">
                  <c:v>4.5210104149854153</c:v>
                </c:pt>
                <c:pt idx="183">
                  <c:v>4.5394224446635763</c:v>
                </c:pt>
                <c:pt idx="184">
                  <c:v>4.5579017584693329</c:v>
                </c:pt>
                <c:pt idx="185">
                  <c:v>4.5764483964722578</c:v>
                </c:pt>
                <c:pt idx="186">
                  <c:v>4.5950623988582571</c:v>
                </c:pt>
                <c:pt idx="187">
                  <c:v>4.6137438059297429</c:v>
                </c:pt>
                <c:pt idx="188">
                  <c:v>4.6324926581058143</c:v>
                </c:pt>
                <c:pt idx="189">
                  <c:v>4.6513089959224319</c:v>
                </c:pt>
                <c:pt idx="190">
                  <c:v>4.6701928600325893</c:v>
                </c:pt>
                <c:pt idx="191">
                  <c:v>4.689144291206488</c:v>
                </c:pt>
                <c:pt idx="192">
                  <c:v>4.7081633303317227</c:v>
                </c:pt>
                <c:pt idx="193">
                  <c:v>4.7272500184134545</c:v>
                </c:pt>
                <c:pt idx="194">
                  <c:v>4.7464043965745839</c:v>
                </c:pt>
                <c:pt idx="195">
                  <c:v>4.7656265060559377</c:v>
                </c:pt>
                <c:pt idx="196">
                  <c:v>4.7849163882164429</c:v>
                </c:pt>
                <c:pt idx="197">
                  <c:v>4.8042740845333096</c:v>
                </c:pt>
                <c:pt idx="198">
                  <c:v>4.8236996366022087</c:v>
                </c:pt>
                <c:pt idx="199">
                  <c:v>4.8431930861374521</c:v>
                </c:pt>
                <c:pt idx="200">
                  <c:v>4.8627544749721796</c:v>
                </c:pt>
              </c:numCache>
            </c:numRef>
          </c:yVal>
          <c:smooth val="0"/>
          <c:extLst>
            <c:ext xmlns:c16="http://schemas.microsoft.com/office/drawing/2014/chart" uri="{C3380CC4-5D6E-409C-BE32-E72D297353CC}">
              <c16:uniqueId val="{00000000-9EA1-4F4F-9ACD-6AF9DCA0F73F}"/>
            </c:ext>
          </c:extLst>
        </c:ser>
        <c:ser>
          <c:idx val="1"/>
          <c:order val="1"/>
          <c:tx>
            <c:v>Bottom FET</c:v>
          </c:tx>
          <c:spPr>
            <a:ln w="25400">
              <a:solidFill>
                <a:srgbClr val="FF0000"/>
              </a:solidFill>
              <a:prstDash val="solid"/>
            </a:ln>
          </c:spPr>
          <c:marker>
            <c:symbol val="none"/>
          </c:marker>
          <c:xVal>
            <c:numRef>
              <c:f>'Power Calculations'!$H$9:$H$209</c:f>
              <c:numCache>
                <c:formatCode>General</c:formatCode>
                <c:ptCount val="201"/>
                <c:pt idx="0">
                  <c:v>0</c:v>
                </c:pt>
                <c:pt idx="1">
                  <c:v>0.01</c:v>
                </c:pt>
                <c:pt idx="2">
                  <c:v>0.02</c:v>
                </c:pt>
                <c:pt idx="3">
                  <c:v>0.03</c:v>
                </c:pt>
                <c:pt idx="4">
                  <c:v>0.04</c:v>
                </c:pt>
                <c:pt idx="5">
                  <c:v>0.05</c:v>
                </c:pt>
                <c:pt idx="6">
                  <c:v>0.06</c:v>
                </c:pt>
                <c:pt idx="7">
                  <c:v>7.0000000000000007E-2</c:v>
                </c:pt>
                <c:pt idx="8">
                  <c:v>0.08</c:v>
                </c:pt>
                <c:pt idx="9">
                  <c:v>0.09</c:v>
                </c:pt>
                <c:pt idx="10">
                  <c:v>0.1</c:v>
                </c:pt>
                <c:pt idx="11">
                  <c:v>0.11</c:v>
                </c:pt>
                <c:pt idx="12">
                  <c:v>0.12</c:v>
                </c:pt>
                <c:pt idx="13">
                  <c:v>0.13</c:v>
                </c:pt>
                <c:pt idx="14">
                  <c:v>0.14000000000000001</c:v>
                </c:pt>
                <c:pt idx="15">
                  <c:v>0.15</c:v>
                </c:pt>
                <c:pt idx="16">
                  <c:v>0.16</c:v>
                </c:pt>
                <c:pt idx="17">
                  <c:v>0.17</c:v>
                </c:pt>
                <c:pt idx="18">
                  <c:v>0.18</c:v>
                </c:pt>
                <c:pt idx="19">
                  <c:v>0.19</c:v>
                </c:pt>
                <c:pt idx="20">
                  <c:v>0.2</c:v>
                </c:pt>
                <c:pt idx="21">
                  <c:v>0.21</c:v>
                </c:pt>
                <c:pt idx="22">
                  <c:v>0.22</c:v>
                </c:pt>
                <c:pt idx="23">
                  <c:v>0.23</c:v>
                </c:pt>
                <c:pt idx="24">
                  <c:v>0.24</c:v>
                </c:pt>
                <c:pt idx="25">
                  <c:v>0.25</c:v>
                </c:pt>
                <c:pt idx="26">
                  <c:v>0.26</c:v>
                </c:pt>
                <c:pt idx="27">
                  <c:v>0.27</c:v>
                </c:pt>
                <c:pt idx="28">
                  <c:v>0.28000000000000003</c:v>
                </c:pt>
                <c:pt idx="29">
                  <c:v>0.28999999999999998</c:v>
                </c:pt>
                <c:pt idx="30">
                  <c:v>0.3</c:v>
                </c:pt>
                <c:pt idx="31">
                  <c:v>0.31</c:v>
                </c:pt>
                <c:pt idx="32">
                  <c:v>0.32</c:v>
                </c:pt>
                <c:pt idx="33">
                  <c:v>0.33</c:v>
                </c:pt>
                <c:pt idx="34">
                  <c:v>0.34</c:v>
                </c:pt>
                <c:pt idx="35">
                  <c:v>0.35</c:v>
                </c:pt>
                <c:pt idx="36">
                  <c:v>0.36</c:v>
                </c:pt>
                <c:pt idx="37">
                  <c:v>0.37</c:v>
                </c:pt>
                <c:pt idx="38">
                  <c:v>0.38</c:v>
                </c:pt>
                <c:pt idx="39">
                  <c:v>0.39</c:v>
                </c:pt>
                <c:pt idx="40">
                  <c:v>0.4</c:v>
                </c:pt>
                <c:pt idx="41">
                  <c:v>0.41</c:v>
                </c:pt>
                <c:pt idx="42">
                  <c:v>0.42</c:v>
                </c:pt>
                <c:pt idx="43">
                  <c:v>0.43</c:v>
                </c:pt>
                <c:pt idx="44">
                  <c:v>0.44</c:v>
                </c:pt>
                <c:pt idx="45">
                  <c:v>0.45</c:v>
                </c:pt>
                <c:pt idx="46">
                  <c:v>0.46</c:v>
                </c:pt>
                <c:pt idx="47">
                  <c:v>0.47</c:v>
                </c:pt>
                <c:pt idx="48">
                  <c:v>0.48</c:v>
                </c:pt>
                <c:pt idx="49">
                  <c:v>0.49</c:v>
                </c:pt>
                <c:pt idx="50">
                  <c:v>0.5</c:v>
                </c:pt>
                <c:pt idx="51">
                  <c:v>0.51</c:v>
                </c:pt>
                <c:pt idx="52">
                  <c:v>0.52</c:v>
                </c:pt>
                <c:pt idx="53">
                  <c:v>0.53</c:v>
                </c:pt>
                <c:pt idx="54">
                  <c:v>0.54</c:v>
                </c:pt>
                <c:pt idx="55">
                  <c:v>0.55000000000000004</c:v>
                </c:pt>
                <c:pt idx="56">
                  <c:v>0.56000000000000005</c:v>
                </c:pt>
                <c:pt idx="57">
                  <c:v>0.56999999999999995</c:v>
                </c:pt>
                <c:pt idx="58">
                  <c:v>0.57999999999999996</c:v>
                </c:pt>
                <c:pt idx="59">
                  <c:v>0.59</c:v>
                </c:pt>
                <c:pt idx="60">
                  <c:v>0.6</c:v>
                </c:pt>
                <c:pt idx="61">
                  <c:v>0.61</c:v>
                </c:pt>
                <c:pt idx="62">
                  <c:v>0.62</c:v>
                </c:pt>
                <c:pt idx="63">
                  <c:v>0.63</c:v>
                </c:pt>
                <c:pt idx="64">
                  <c:v>0.64</c:v>
                </c:pt>
                <c:pt idx="65">
                  <c:v>0.65</c:v>
                </c:pt>
                <c:pt idx="66">
                  <c:v>0.66</c:v>
                </c:pt>
                <c:pt idx="67">
                  <c:v>0.67</c:v>
                </c:pt>
                <c:pt idx="68">
                  <c:v>0.68</c:v>
                </c:pt>
                <c:pt idx="69">
                  <c:v>0.69</c:v>
                </c:pt>
                <c:pt idx="70">
                  <c:v>0.7</c:v>
                </c:pt>
                <c:pt idx="71">
                  <c:v>0.71</c:v>
                </c:pt>
                <c:pt idx="72">
                  <c:v>0.72</c:v>
                </c:pt>
                <c:pt idx="73">
                  <c:v>0.73</c:v>
                </c:pt>
                <c:pt idx="74">
                  <c:v>0.74</c:v>
                </c:pt>
                <c:pt idx="75">
                  <c:v>0.75</c:v>
                </c:pt>
                <c:pt idx="76">
                  <c:v>0.76</c:v>
                </c:pt>
                <c:pt idx="77">
                  <c:v>0.77</c:v>
                </c:pt>
                <c:pt idx="78">
                  <c:v>0.78</c:v>
                </c:pt>
                <c:pt idx="79">
                  <c:v>0.79</c:v>
                </c:pt>
                <c:pt idx="80">
                  <c:v>0.8</c:v>
                </c:pt>
                <c:pt idx="81">
                  <c:v>0.81</c:v>
                </c:pt>
                <c:pt idx="82">
                  <c:v>0.82</c:v>
                </c:pt>
                <c:pt idx="83">
                  <c:v>0.83</c:v>
                </c:pt>
                <c:pt idx="84">
                  <c:v>0.84</c:v>
                </c:pt>
                <c:pt idx="85">
                  <c:v>0.85</c:v>
                </c:pt>
                <c:pt idx="86">
                  <c:v>0.86</c:v>
                </c:pt>
                <c:pt idx="87">
                  <c:v>0.87</c:v>
                </c:pt>
                <c:pt idx="88">
                  <c:v>0.88</c:v>
                </c:pt>
                <c:pt idx="89">
                  <c:v>0.89</c:v>
                </c:pt>
                <c:pt idx="90">
                  <c:v>0.9</c:v>
                </c:pt>
                <c:pt idx="91">
                  <c:v>0.91</c:v>
                </c:pt>
                <c:pt idx="92">
                  <c:v>0.92</c:v>
                </c:pt>
                <c:pt idx="93">
                  <c:v>0.93</c:v>
                </c:pt>
                <c:pt idx="94">
                  <c:v>0.94</c:v>
                </c:pt>
                <c:pt idx="95">
                  <c:v>0.95</c:v>
                </c:pt>
                <c:pt idx="96">
                  <c:v>0.96</c:v>
                </c:pt>
                <c:pt idx="97">
                  <c:v>0.97</c:v>
                </c:pt>
                <c:pt idx="98">
                  <c:v>0.98</c:v>
                </c:pt>
                <c:pt idx="99">
                  <c:v>0.99</c:v>
                </c:pt>
                <c:pt idx="100">
                  <c:v>1</c:v>
                </c:pt>
                <c:pt idx="101">
                  <c:v>1.01</c:v>
                </c:pt>
                <c:pt idx="102">
                  <c:v>1.02</c:v>
                </c:pt>
                <c:pt idx="103">
                  <c:v>1.03</c:v>
                </c:pt>
                <c:pt idx="104">
                  <c:v>1.04</c:v>
                </c:pt>
                <c:pt idx="105">
                  <c:v>1.05</c:v>
                </c:pt>
                <c:pt idx="106">
                  <c:v>1.06</c:v>
                </c:pt>
                <c:pt idx="107">
                  <c:v>1.07</c:v>
                </c:pt>
                <c:pt idx="108">
                  <c:v>1.08</c:v>
                </c:pt>
                <c:pt idx="109">
                  <c:v>1.0900000000000001</c:v>
                </c:pt>
                <c:pt idx="110">
                  <c:v>1.1000000000000001</c:v>
                </c:pt>
                <c:pt idx="111">
                  <c:v>1.1100000000000001</c:v>
                </c:pt>
                <c:pt idx="112">
                  <c:v>1.1200000000000001</c:v>
                </c:pt>
                <c:pt idx="113">
                  <c:v>1.1299999999999999</c:v>
                </c:pt>
                <c:pt idx="114">
                  <c:v>1.1399999999999999</c:v>
                </c:pt>
                <c:pt idx="115">
                  <c:v>1.1499999999999999</c:v>
                </c:pt>
                <c:pt idx="116">
                  <c:v>1.1599999999999999</c:v>
                </c:pt>
                <c:pt idx="117">
                  <c:v>1.17</c:v>
                </c:pt>
                <c:pt idx="118">
                  <c:v>1.18</c:v>
                </c:pt>
                <c:pt idx="119">
                  <c:v>1.19</c:v>
                </c:pt>
                <c:pt idx="120">
                  <c:v>1.2</c:v>
                </c:pt>
                <c:pt idx="121">
                  <c:v>1.21</c:v>
                </c:pt>
                <c:pt idx="122">
                  <c:v>1.22</c:v>
                </c:pt>
                <c:pt idx="123">
                  <c:v>1.23</c:v>
                </c:pt>
                <c:pt idx="124">
                  <c:v>1.24</c:v>
                </c:pt>
                <c:pt idx="125">
                  <c:v>1.25</c:v>
                </c:pt>
                <c:pt idx="126">
                  <c:v>1.26</c:v>
                </c:pt>
                <c:pt idx="127">
                  <c:v>1.27</c:v>
                </c:pt>
                <c:pt idx="128">
                  <c:v>1.28</c:v>
                </c:pt>
                <c:pt idx="129">
                  <c:v>1.29</c:v>
                </c:pt>
                <c:pt idx="130">
                  <c:v>1.3</c:v>
                </c:pt>
                <c:pt idx="131">
                  <c:v>1.31</c:v>
                </c:pt>
                <c:pt idx="132">
                  <c:v>1.32</c:v>
                </c:pt>
                <c:pt idx="133">
                  <c:v>1.33</c:v>
                </c:pt>
                <c:pt idx="134">
                  <c:v>1.34</c:v>
                </c:pt>
                <c:pt idx="135">
                  <c:v>1.35</c:v>
                </c:pt>
                <c:pt idx="136">
                  <c:v>1.36</c:v>
                </c:pt>
                <c:pt idx="137">
                  <c:v>1.37</c:v>
                </c:pt>
                <c:pt idx="138">
                  <c:v>1.38</c:v>
                </c:pt>
                <c:pt idx="139">
                  <c:v>1.39</c:v>
                </c:pt>
                <c:pt idx="140">
                  <c:v>1.4</c:v>
                </c:pt>
                <c:pt idx="141">
                  <c:v>1.41</c:v>
                </c:pt>
                <c:pt idx="142">
                  <c:v>1.42</c:v>
                </c:pt>
                <c:pt idx="143">
                  <c:v>1.43</c:v>
                </c:pt>
                <c:pt idx="144">
                  <c:v>1.44</c:v>
                </c:pt>
                <c:pt idx="145">
                  <c:v>1.45</c:v>
                </c:pt>
                <c:pt idx="146">
                  <c:v>1.46</c:v>
                </c:pt>
                <c:pt idx="147">
                  <c:v>1.47</c:v>
                </c:pt>
                <c:pt idx="148">
                  <c:v>1.48</c:v>
                </c:pt>
                <c:pt idx="149">
                  <c:v>1.49</c:v>
                </c:pt>
                <c:pt idx="150">
                  <c:v>1.5</c:v>
                </c:pt>
                <c:pt idx="151">
                  <c:v>1.51</c:v>
                </c:pt>
                <c:pt idx="152">
                  <c:v>1.52</c:v>
                </c:pt>
                <c:pt idx="153">
                  <c:v>1.53</c:v>
                </c:pt>
                <c:pt idx="154">
                  <c:v>1.54</c:v>
                </c:pt>
                <c:pt idx="155">
                  <c:v>1.55</c:v>
                </c:pt>
                <c:pt idx="156">
                  <c:v>1.56</c:v>
                </c:pt>
                <c:pt idx="157">
                  <c:v>1.57</c:v>
                </c:pt>
                <c:pt idx="158">
                  <c:v>1.58</c:v>
                </c:pt>
                <c:pt idx="159">
                  <c:v>1.59</c:v>
                </c:pt>
                <c:pt idx="160">
                  <c:v>1.6</c:v>
                </c:pt>
                <c:pt idx="161">
                  <c:v>1.61</c:v>
                </c:pt>
                <c:pt idx="162">
                  <c:v>1.62</c:v>
                </c:pt>
                <c:pt idx="163">
                  <c:v>1.63</c:v>
                </c:pt>
                <c:pt idx="164">
                  <c:v>1.64</c:v>
                </c:pt>
                <c:pt idx="165">
                  <c:v>1.65</c:v>
                </c:pt>
                <c:pt idx="166">
                  <c:v>1.66</c:v>
                </c:pt>
                <c:pt idx="167">
                  <c:v>1.67</c:v>
                </c:pt>
                <c:pt idx="168">
                  <c:v>1.68</c:v>
                </c:pt>
                <c:pt idx="169">
                  <c:v>1.69</c:v>
                </c:pt>
                <c:pt idx="170">
                  <c:v>1.7</c:v>
                </c:pt>
                <c:pt idx="171">
                  <c:v>1.71</c:v>
                </c:pt>
                <c:pt idx="172">
                  <c:v>1.72</c:v>
                </c:pt>
                <c:pt idx="173">
                  <c:v>1.73</c:v>
                </c:pt>
                <c:pt idx="174">
                  <c:v>1.74</c:v>
                </c:pt>
                <c:pt idx="175">
                  <c:v>1.75</c:v>
                </c:pt>
                <c:pt idx="176">
                  <c:v>1.76</c:v>
                </c:pt>
                <c:pt idx="177">
                  <c:v>1.77</c:v>
                </c:pt>
                <c:pt idx="178">
                  <c:v>1.78</c:v>
                </c:pt>
                <c:pt idx="179">
                  <c:v>1.79</c:v>
                </c:pt>
                <c:pt idx="180">
                  <c:v>1.8</c:v>
                </c:pt>
                <c:pt idx="181">
                  <c:v>1.81</c:v>
                </c:pt>
                <c:pt idx="182">
                  <c:v>1.82</c:v>
                </c:pt>
                <c:pt idx="183">
                  <c:v>1.83</c:v>
                </c:pt>
                <c:pt idx="184">
                  <c:v>1.84</c:v>
                </c:pt>
                <c:pt idx="185">
                  <c:v>1.85</c:v>
                </c:pt>
                <c:pt idx="186">
                  <c:v>1.86</c:v>
                </c:pt>
                <c:pt idx="187">
                  <c:v>1.87</c:v>
                </c:pt>
                <c:pt idx="188">
                  <c:v>1.88</c:v>
                </c:pt>
                <c:pt idx="189">
                  <c:v>1.89</c:v>
                </c:pt>
                <c:pt idx="190">
                  <c:v>1.9</c:v>
                </c:pt>
                <c:pt idx="191">
                  <c:v>1.91</c:v>
                </c:pt>
                <c:pt idx="192">
                  <c:v>1.92</c:v>
                </c:pt>
                <c:pt idx="193">
                  <c:v>1.93</c:v>
                </c:pt>
                <c:pt idx="194">
                  <c:v>1.94</c:v>
                </c:pt>
                <c:pt idx="195">
                  <c:v>1.95</c:v>
                </c:pt>
                <c:pt idx="196">
                  <c:v>1.96</c:v>
                </c:pt>
                <c:pt idx="197">
                  <c:v>1.97</c:v>
                </c:pt>
                <c:pt idx="198">
                  <c:v>1.98</c:v>
                </c:pt>
                <c:pt idx="199">
                  <c:v>1.99</c:v>
                </c:pt>
                <c:pt idx="200">
                  <c:v>2</c:v>
                </c:pt>
              </c:numCache>
            </c:numRef>
          </c:xVal>
          <c:yVal>
            <c:numRef>
              <c:f>'Power Calculations'!$AS$9:$AS$209</c:f>
              <c:numCache>
                <c:formatCode>0.0</c:formatCode>
                <c:ptCount val="201"/>
                <c:pt idx="0">
                  <c:v>0.18390106268456799</c:v>
                </c:pt>
                <c:pt idx="1">
                  <c:v>0.19177067509696955</c:v>
                </c:pt>
                <c:pt idx="2">
                  <c:v>0.1997459647509659</c:v>
                </c:pt>
                <c:pt idx="3">
                  <c:v>0.20782692763772825</c:v>
                </c:pt>
                <c:pt idx="4">
                  <c:v>0.21601356001433292</c:v>
                </c:pt>
                <c:pt idx="5">
                  <c:v>0.22430585840368628</c:v>
                </c:pt>
                <c:pt idx="6">
                  <c:v>0.23270381959445174</c:v>
                </c:pt>
                <c:pt idx="7">
                  <c:v>0.24120744064097832</c:v>
                </c:pt>
                <c:pt idx="8">
                  <c:v>0.24981671886323059</c:v>
                </c:pt>
                <c:pt idx="9">
                  <c:v>0.25853165184672106</c:v>
                </c:pt>
                <c:pt idx="10">
                  <c:v>0.26735223744244291</c:v>
                </c:pt>
                <c:pt idx="11">
                  <c:v>0.2762784737668062</c:v>
                </c:pt>
                <c:pt idx="12">
                  <c:v>0.28531035920157399</c:v>
                </c:pt>
                <c:pt idx="13">
                  <c:v>0.29444789239380154</c:v>
                </c:pt>
                <c:pt idx="14">
                  <c:v>0.30369107225577607</c:v>
                </c:pt>
                <c:pt idx="15">
                  <c:v>0.31303989796495946</c:v>
                </c:pt>
                <c:pt idx="16">
                  <c:v>0.32249436896393091</c:v>
                </c:pt>
                <c:pt idx="17">
                  <c:v>0.33205448496033302</c:v>
                </c:pt>
                <c:pt idx="18">
                  <c:v>0.34172024592681866</c:v>
                </c:pt>
                <c:pt idx="19">
                  <c:v>0.3514916521009992</c:v>
                </c:pt>
                <c:pt idx="20">
                  <c:v>0.36136870398539567</c:v>
                </c:pt>
                <c:pt idx="21">
                  <c:v>0.37135140234738939</c:v>
                </c:pt>
                <c:pt idx="22">
                  <c:v>0.38143974821917748</c:v>
                </c:pt>
                <c:pt idx="23">
                  <c:v>0.39564948995537019</c:v>
                </c:pt>
                <c:pt idx="24">
                  <c:v>0.41373505679404521</c:v>
                </c:pt>
                <c:pt idx="25">
                  <c:v>0.4319264384998206</c:v>
                </c:pt>
                <c:pt idx="26">
                  <c:v>0.45022364700340434</c:v>
                </c:pt>
                <c:pt idx="27">
                  <c:v>0.46862669449918154</c:v>
                </c:pt>
                <c:pt idx="28">
                  <c:v>0.48713559344521895</c:v>
                </c:pt>
                <c:pt idx="29">
                  <c:v>0.50575035656327194</c:v>
                </c:pt>
                <c:pt idx="30">
                  <c:v>0.52447099683879295</c:v>
                </c:pt>
                <c:pt idx="31">
                  <c:v>0.54329752752094074</c:v>
                </c:pt>
                <c:pt idx="32">
                  <c:v>0.56222996212259257</c:v>
                </c:pt>
                <c:pt idx="33">
                  <c:v>0.58126831442035731</c:v>
                </c:pt>
                <c:pt idx="34">
                  <c:v>0.6004125984545895</c:v>
                </c:pt>
                <c:pt idx="35">
                  <c:v>0.61966282852940746</c:v>
                </c:pt>
                <c:pt idx="36">
                  <c:v>0.63901901921270998</c:v>
                </c:pt>
                <c:pt idx="37">
                  <c:v>0.65848118533619693</c:v>
                </c:pt>
                <c:pt idx="38">
                  <c:v>0.67804934199539013</c:v>
                </c:pt>
                <c:pt idx="39">
                  <c:v>0.69772350454965715</c:v>
                </c:pt>
                <c:pt idx="40">
                  <c:v>0.71750368862223579</c:v>
                </c:pt>
                <c:pt idx="41">
                  <c:v>0.73738991010025989</c:v>
                </c:pt>
                <c:pt idx="42">
                  <c:v>0.7573821851347885</c:v>
                </c:pt>
                <c:pt idx="43">
                  <c:v>0.77748053014083496</c:v>
                </c:pt>
                <c:pt idx="44">
                  <c:v>0.79768496179739801</c:v>
                </c:pt>
                <c:pt idx="45">
                  <c:v>0.81799549704749497</c:v>
                </c:pt>
                <c:pt idx="46">
                  <c:v>0.83841215309819717</c:v>
                </c:pt>
                <c:pt idx="47">
                  <c:v>0.85893494742066478</c:v>
                </c:pt>
                <c:pt idx="48">
                  <c:v>0.87956389775018629</c:v>
                </c:pt>
                <c:pt idx="49">
                  <c:v>0.90029902208621682</c:v>
                </c:pt>
                <c:pt idx="50">
                  <c:v>0.92114033869241985</c:v>
                </c:pt>
                <c:pt idx="51">
                  <c:v>0.94208786609671091</c:v>
                </c:pt>
                <c:pt idx="52">
                  <c:v>0.96314162309130047</c:v>
                </c:pt>
                <c:pt idx="53">
                  <c:v>0.98430162873274174</c:v>
                </c:pt>
                <c:pt idx="54">
                  <c:v>1.0055679023419775</c:v>
                </c:pt>
                <c:pt idx="55">
                  <c:v>1.0269404635043893</c:v>
                </c:pt>
                <c:pt idx="56">
                  <c:v>1.0484193320698507</c:v>
                </c:pt>
                <c:pt idx="57">
                  <c:v>1.0700045281527772</c:v>
                </c:pt>
                <c:pt idx="58">
                  <c:v>1.0916960721321824</c:v>
                </c:pt>
                <c:pt idx="59">
                  <c:v>1.1134939846517338</c:v>
                </c:pt>
                <c:pt idx="60">
                  <c:v>1.1353982866198105</c:v>
                </c:pt>
                <c:pt idx="61">
                  <c:v>1.1574089992095618</c:v>
                </c:pt>
                <c:pt idx="62">
                  <c:v>1.1795261438589701</c:v>
                </c:pt>
                <c:pt idx="63">
                  <c:v>1.2017497422709116</c:v>
                </c:pt>
                <c:pt idx="64">
                  <c:v>1.2240798164132214</c:v>
                </c:pt>
                <c:pt idx="65">
                  <c:v>1.2465163885187605</c:v>
                </c:pt>
                <c:pt idx="66">
                  <c:v>1.2690594810854814</c:v>
                </c:pt>
                <c:pt idx="67">
                  <c:v>1.291709116876498</c:v>
                </c:pt>
                <c:pt idx="68">
                  <c:v>1.3144653189201594</c:v>
                </c:pt>
                <c:pt idx="69">
                  <c:v>1.3373281105101169</c:v>
                </c:pt>
                <c:pt idx="70">
                  <c:v>1.3602975152054047</c:v>
                </c:pt>
                <c:pt idx="71">
                  <c:v>1.3833735568305106</c:v>
                </c:pt>
                <c:pt idx="72">
                  <c:v>1.4065562594754546</c:v>
                </c:pt>
                <c:pt idx="73">
                  <c:v>1.4298456474958721</c:v>
                </c:pt>
                <c:pt idx="74">
                  <c:v>1.4532417455130886</c:v>
                </c:pt>
                <c:pt idx="75">
                  <c:v>1.4767445784142066</c:v>
                </c:pt>
                <c:pt idx="76">
                  <c:v>1.5003541713521891</c:v>
                </c:pt>
                <c:pt idx="77">
                  <c:v>1.5240705497459435</c:v>
                </c:pt>
                <c:pt idx="78">
                  <c:v>1.5478937392804115</c:v>
                </c:pt>
                <c:pt idx="79">
                  <c:v>1.5718237659066561</c:v>
                </c:pt>
                <c:pt idx="80">
                  <c:v>1.595860655841955</c:v>
                </c:pt>
                <c:pt idx="81">
                  <c:v>1.6200044355698895</c:v>
                </c:pt>
                <c:pt idx="82">
                  <c:v>1.6442551318404424</c:v>
                </c:pt>
                <c:pt idx="83">
                  <c:v>1.6686127716700914</c:v>
                </c:pt>
                <c:pt idx="84">
                  <c:v>1.6930773823419067</c:v>
                </c:pt>
                <c:pt idx="85">
                  <c:v>1.7176489914056516</c:v>
                </c:pt>
                <c:pt idx="86">
                  <c:v>1.742327626677882</c:v>
                </c:pt>
                <c:pt idx="87">
                  <c:v>1.767113316242048</c:v>
                </c:pt>
                <c:pt idx="88">
                  <c:v>1.7920060884486002</c:v>
                </c:pt>
                <c:pt idx="89">
                  <c:v>1.8170059719150942</c:v>
                </c:pt>
                <c:pt idx="90">
                  <c:v>1.8421129955262985</c:v>
                </c:pt>
                <c:pt idx="91">
                  <c:v>1.8673271884343028</c:v>
                </c:pt>
                <c:pt idx="92">
                  <c:v>1.8926485800586295</c:v>
                </c:pt>
                <c:pt idx="93">
                  <c:v>1.9180772000863457</c:v>
                </c:pt>
                <c:pt idx="94">
                  <c:v>1.9436130784721772</c:v>
                </c:pt>
                <c:pt idx="95">
                  <c:v>1.9692562454386267</c:v>
                </c:pt>
                <c:pt idx="96">
                  <c:v>1.9950067314760858</c:v>
                </c:pt>
                <c:pt idx="97">
                  <c:v>2.0208645673429597</c:v>
                </c:pt>
                <c:pt idx="98">
                  <c:v>2.0468297840657863</c:v>
                </c:pt>
                <c:pt idx="99">
                  <c:v>2.0729024129393552</c:v>
                </c:pt>
                <c:pt idx="100">
                  <c:v>2.0990824855268384</c:v>
                </c:pt>
                <c:pt idx="101">
                  <c:v>2.1253700336599102</c:v>
                </c:pt>
                <c:pt idx="102">
                  <c:v>2.1517650894388769</c:v>
                </c:pt>
                <c:pt idx="103">
                  <c:v>2.1782676852328064</c:v>
                </c:pt>
                <c:pt idx="104">
                  <c:v>2.20487785367966</c:v>
                </c:pt>
                <c:pt idx="105">
                  <c:v>2.2315956276864219</c:v>
                </c:pt>
                <c:pt idx="106">
                  <c:v>2.2584210404292362</c:v>
                </c:pt>
                <c:pt idx="107">
                  <c:v>2.2853541253535403</c:v>
                </c:pt>
                <c:pt idx="108">
                  <c:v>2.3123949161742061</c:v>
                </c:pt>
                <c:pt idx="109">
                  <c:v>2.3395434468756759</c:v>
                </c:pt>
                <c:pt idx="110">
                  <c:v>2.366799751712104</c:v>
                </c:pt>
                <c:pt idx="111">
                  <c:v>2.3941638652075001</c:v>
                </c:pt>
                <c:pt idx="112">
                  <c:v>2.4216358221558747</c:v>
                </c:pt>
                <c:pt idx="113">
                  <c:v>2.4492156576213828</c:v>
                </c:pt>
                <c:pt idx="114">
                  <c:v>2.4769034069384723</c:v>
                </c:pt>
                <c:pt idx="115">
                  <c:v>2.5046991057120342</c:v>
                </c:pt>
                <c:pt idx="116">
                  <c:v>2.5326027898175534</c:v>
                </c:pt>
                <c:pt idx="117">
                  <c:v>2.5606144954012615</c:v>
                </c:pt>
                <c:pt idx="118">
                  <c:v>2.5887342588802915</c:v>
                </c:pt>
                <c:pt idx="119">
                  <c:v>2.616962116942831</c:v>
                </c:pt>
                <c:pt idx="120">
                  <c:v>2.6452981065482852</c:v>
                </c:pt>
                <c:pt idx="121">
                  <c:v>2.6737422649274341</c:v>
                </c:pt>
                <c:pt idx="122">
                  <c:v>2.7022946295825916</c:v>
                </c:pt>
                <c:pt idx="123">
                  <c:v>2.7309552382877733</c:v>
                </c:pt>
                <c:pt idx="124">
                  <c:v>2.7597241290888581</c:v>
                </c:pt>
                <c:pt idx="125">
                  <c:v>2.7886013403037517</c:v>
                </c:pt>
                <c:pt idx="126">
                  <c:v>2.8175869105225617</c:v>
                </c:pt>
                <c:pt idx="127">
                  <c:v>2.8466808786077609</c:v>
                </c:pt>
                <c:pt idx="128">
                  <c:v>2.8758832836943644</c:v>
                </c:pt>
                <c:pt idx="129">
                  <c:v>2.9051941651900988</c:v>
                </c:pt>
                <c:pt idx="130">
                  <c:v>2.9346135627755769</c:v>
                </c:pt>
                <c:pt idx="131">
                  <c:v>2.9641415164044793</c:v>
                </c:pt>
                <c:pt idx="132">
                  <c:v>2.9937780663037268</c:v>
                </c:pt>
                <c:pt idx="133">
                  <c:v>3.0235232529736633</c:v>
                </c:pt>
                <c:pt idx="134">
                  <c:v>3.0533771171882398</c:v>
                </c:pt>
                <c:pt idx="135">
                  <c:v>3.083339699995193</c:v>
                </c:pt>
                <c:pt idx="136">
                  <c:v>3.1134110427162343</c:v>
                </c:pt>
                <c:pt idx="137">
                  <c:v>3.1435911869472353</c:v>
                </c:pt>
                <c:pt idx="138">
                  <c:v>3.1738801745584184</c:v>
                </c:pt>
                <c:pt idx="139">
                  <c:v>3.2042780476945443</c:v>
                </c:pt>
                <c:pt idx="140">
                  <c:v>3.2347848487751074</c:v>
                </c:pt>
                <c:pt idx="141">
                  <c:v>3.2654006204945265</c:v>
                </c:pt>
                <c:pt idx="142">
                  <c:v>3.2961254058223428</c:v>
                </c:pt>
                <c:pt idx="143">
                  <c:v>3.326959248003416</c:v>
                </c:pt>
                <c:pt idx="144">
                  <c:v>3.357902190558125</c:v>
                </c:pt>
                <c:pt idx="145">
                  <c:v>3.3889542772825694</c:v>
                </c:pt>
                <c:pt idx="146">
                  <c:v>3.4201155522487654</c:v>
                </c:pt>
                <c:pt idx="147">
                  <c:v>3.4513860598048596</c:v>
                </c:pt>
                <c:pt idx="148">
                  <c:v>3.4827658445753307</c:v>
                </c:pt>
                <c:pt idx="149">
                  <c:v>3.5142549514611972</c:v>
                </c:pt>
                <c:pt idx="150">
                  <c:v>3.5458534256402241</c:v>
                </c:pt>
                <c:pt idx="151">
                  <c:v>3.5775613125671435</c:v>
                </c:pt>
                <c:pt idx="152">
                  <c:v>3.6093786579738567</c:v>
                </c:pt>
                <c:pt idx="153">
                  <c:v>3.6413055078696575</c:v>
                </c:pt>
                <c:pt idx="154">
                  <c:v>3.6733419085414436</c:v>
                </c:pt>
                <c:pt idx="155">
                  <c:v>3.7054879065539374</c:v>
                </c:pt>
                <c:pt idx="156">
                  <c:v>3.737743548749906</c:v>
                </c:pt>
                <c:pt idx="157">
                  <c:v>3.7701088822503817</c:v>
                </c:pt>
                <c:pt idx="158">
                  <c:v>3.8025839544548887</c:v>
                </c:pt>
                <c:pt idx="159">
                  <c:v>3.8351688130416677</c:v>
                </c:pt>
                <c:pt idx="160">
                  <c:v>3.8678635059678985</c:v>
                </c:pt>
                <c:pt idx="161">
                  <c:v>3.9006680814699339</c:v>
                </c:pt>
                <c:pt idx="162">
                  <c:v>3.9335825880635329</c:v>
                </c:pt>
                <c:pt idx="163">
                  <c:v>3.966607074544084</c:v>
                </c:pt>
                <c:pt idx="164">
                  <c:v>3.9997415899868507</c:v>
                </c:pt>
                <c:pt idx="165">
                  <c:v>4.0329861837471981</c:v>
                </c:pt>
                <c:pt idx="166">
                  <c:v>4.0663409054608382</c:v>
                </c:pt>
                <c:pt idx="167">
                  <c:v>4.0998058050440624</c:v>
                </c:pt>
                <c:pt idx="168">
                  <c:v>4.1333809326939921</c:v>
                </c:pt>
                <c:pt idx="169">
                  <c:v>4.1670663388888132</c:v>
                </c:pt>
                <c:pt idx="170">
                  <c:v>4.2008620743880245</c:v>
                </c:pt>
                <c:pt idx="171">
                  <c:v>4.234768190232689</c:v>
                </c:pt>
                <c:pt idx="172">
                  <c:v>4.2687847377456754</c:v>
                </c:pt>
                <c:pt idx="173">
                  <c:v>4.3029117685319127</c:v>
                </c:pt>
                <c:pt idx="174">
                  <c:v>4.3371493344786396</c:v>
                </c:pt>
                <c:pt idx="175">
                  <c:v>4.371497487755664</c:v>
                </c:pt>
                <c:pt idx="176">
                  <c:v>4.4059562808156123</c:v>
                </c:pt>
                <c:pt idx="177">
                  <c:v>4.4405257663941944</c:v>
                </c:pt>
                <c:pt idx="178">
                  <c:v>4.4752059975104554</c:v>
                </c:pt>
                <c:pt idx="179">
                  <c:v>4.509997027467044</c:v>
                </c:pt>
                <c:pt idx="180">
                  <c:v>4.5448989098504704</c:v>
                </c:pt>
                <c:pt idx="181">
                  <c:v>4.5799116985313741</c:v>
                </c:pt>
                <c:pt idx="182">
                  <c:v>4.6150354476647886</c:v>
                </c:pt>
                <c:pt idx="183">
                  <c:v>4.6502702116904162</c:v>
                </c:pt>
                <c:pt idx="184">
                  <c:v>4.6856160453328872</c:v>
                </c:pt>
                <c:pt idx="185">
                  <c:v>4.7210730036020445</c:v>
                </c:pt>
                <c:pt idx="186">
                  <c:v>4.7566411417932111</c:v>
                </c:pt>
                <c:pt idx="187">
                  <c:v>4.7923205154874644</c:v>
                </c:pt>
                <c:pt idx="188">
                  <c:v>4.828111180551919</c:v>
                </c:pt>
                <c:pt idx="189">
                  <c:v>4.8640131931400079</c:v>
                </c:pt>
                <c:pt idx="190">
                  <c:v>4.9000266096917526</c:v>
                </c:pt>
                <c:pt idx="191">
                  <c:v>4.9361514869340599</c:v>
                </c:pt>
                <c:pt idx="192">
                  <c:v>4.9723878818810014</c:v>
                </c:pt>
                <c:pt idx="193">
                  <c:v>5.0087358518341007</c:v>
                </c:pt>
                <c:pt idx="194">
                  <c:v>5.0451954543826192</c:v>
                </c:pt>
                <c:pt idx="195">
                  <c:v>5.0817667474038553</c:v>
                </c:pt>
                <c:pt idx="196">
                  <c:v>5.118449789063428</c:v>
                </c:pt>
                <c:pt idx="197">
                  <c:v>5.1552446378155796</c:v>
                </c:pt>
                <c:pt idx="198">
                  <c:v>5.1921513524034646</c:v>
                </c:pt>
                <c:pt idx="199">
                  <c:v>5.2291699918594521</c:v>
                </c:pt>
                <c:pt idx="200">
                  <c:v>5.2663006155054282</c:v>
                </c:pt>
              </c:numCache>
            </c:numRef>
          </c:yVal>
          <c:smooth val="0"/>
          <c:extLst>
            <c:ext xmlns:c16="http://schemas.microsoft.com/office/drawing/2014/chart" uri="{C3380CC4-5D6E-409C-BE32-E72D297353CC}">
              <c16:uniqueId val="{00000001-9EA1-4F4F-9ACD-6AF9DCA0F73F}"/>
            </c:ext>
          </c:extLst>
        </c:ser>
        <c:dLbls>
          <c:showLegendKey val="0"/>
          <c:showVal val="0"/>
          <c:showCatName val="0"/>
          <c:showSerName val="0"/>
          <c:showPercent val="0"/>
          <c:showBubbleSize val="0"/>
        </c:dLbls>
        <c:axId val="177513600"/>
        <c:axId val="177515520"/>
      </c:scatterChart>
      <c:valAx>
        <c:axId val="177513600"/>
        <c:scaling>
          <c:orientation val="minMax"/>
          <c:min val="0"/>
        </c:scaling>
        <c:delete val="0"/>
        <c:axPos val="b"/>
        <c:majorGridlines/>
        <c:title>
          <c:tx>
            <c:rich>
              <a:bodyPr/>
              <a:lstStyle/>
              <a:p>
                <a:pPr>
                  <a:defRPr sz="925" b="1" i="0" u="none" strike="noStrike" baseline="0">
                    <a:solidFill>
                      <a:srgbClr val="000000"/>
                    </a:solidFill>
                    <a:latin typeface="Arial"/>
                    <a:ea typeface="Arial"/>
                    <a:cs typeface="Arial"/>
                  </a:defRPr>
                </a:pPr>
                <a:r>
                  <a:rPr lang="en-US"/>
                  <a:t>Iout (A)</a:t>
                </a:r>
              </a:p>
            </c:rich>
          </c:tx>
          <c:layout>
            <c:manualLayout>
              <c:xMode val="edge"/>
              <c:yMode val="edge"/>
              <c:x val="0.52774047357748588"/>
              <c:y val="0.93535544420583794"/>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925" b="1" i="0" u="none" strike="noStrike" baseline="0">
                <a:solidFill>
                  <a:srgbClr val="000000"/>
                </a:solidFill>
                <a:latin typeface="Arial"/>
                <a:ea typeface="Arial"/>
                <a:cs typeface="Arial"/>
              </a:defRPr>
            </a:pPr>
            <a:endParaRPr lang="en-US"/>
          </a:p>
        </c:txPr>
        <c:crossAx val="177515520"/>
        <c:crosses val="autoZero"/>
        <c:crossBetween val="midCat"/>
      </c:valAx>
      <c:valAx>
        <c:axId val="177515520"/>
        <c:scaling>
          <c:orientation val="minMax"/>
        </c:scaling>
        <c:delete val="0"/>
        <c:axPos val="l"/>
        <c:majorGridlines>
          <c:spPr>
            <a:ln w="3175">
              <a:solidFill>
                <a:srgbClr val="000000"/>
              </a:solidFill>
              <a:prstDash val="solid"/>
            </a:ln>
          </c:spPr>
        </c:majorGridlines>
        <c:title>
          <c:tx>
            <c:rich>
              <a:bodyPr/>
              <a:lstStyle/>
              <a:p>
                <a:pPr>
                  <a:defRPr sz="925" b="1" i="0" u="none" strike="noStrike" baseline="0">
                    <a:solidFill>
                      <a:srgbClr val="000000"/>
                    </a:solidFill>
                    <a:latin typeface="Arial"/>
                    <a:ea typeface="Arial"/>
                    <a:cs typeface="Arial"/>
                  </a:defRPr>
                </a:pPr>
                <a:r>
                  <a:rPr lang="en-US"/>
                  <a:t>Temperature (°C)</a:t>
                </a:r>
              </a:p>
            </c:rich>
          </c:tx>
          <c:layout>
            <c:manualLayout>
              <c:xMode val="edge"/>
              <c:yMode val="edge"/>
              <c:x val="5.5931438881371219E-2"/>
              <c:y val="0.3797988281767809"/>
            </c:manualLayout>
          </c:layout>
          <c:overlay val="0"/>
          <c:spPr>
            <a:noFill/>
            <a:ln w="25400">
              <a:noFill/>
            </a:ln>
          </c:spPr>
        </c:title>
        <c:numFmt formatCode="General" sourceLinked="0"/>
        <c:majorTickMark val="out"/>
        <c:minorTickMark val="none"/>
        <c:tickLblPos val="nextTo"/>
        <c:spPr>
          <a:ln w="3175">
            <a:solidFill>
              <a:srgbClr val="000000"/>
            </a:solidFill>
            <a:prstDash val="solid"/>
          </a:ln>
        </c:spPr>
        <c:txPr>
          <a:bodyPr rot="0" vert="horz"/>
          <a:lstStyle/>
          <a:p>
            <a:pPr>
              <a:defRPr sz="925" b="1" i="0" u="none" strike="noStrike" baseline="0">
                <a:solidFill>
                  <a:srgbClr val="000000"/>
                </a:solidFill>
                <a:latin typeface="Arial"/>
                <a:ea typeface="Arial"/>
                <a:cs typeface="Arial"/>
              </a:defRPr>
            </a:pPr>
            <a:endParaRPr lang="en-US"/>
          </a:p>
        </c:txPr>
        <c:crossAx val="177513600"/>
        <c:crosses val="autoZero"/>
        <c:crossBetween val="midCat"/>
      </c:valAx>
      <c:spPr>
        <a:solidFill>
          <a:srgbClr val="C0C0C0"/>
        </a:solidFill>
        <a:ln w="12700">
          <a:solidFill>
            <a:srgbClr val="808080"/>
          </a:solidFill>
          <a:prstDash val="solid"/>
        </a:ln>
      </c:spPr>
    </c:plotArea>
    <c:legend>
      <c:legendPos val="t"/>
      <c:layout>
        <c:manualLayout>
          <c:xMode val="edge"/>
          <c:yMode val="edge"/>
          <c:x val="0.85385713118742423"/>
          <c:y val="1.0101010101010105E-2"/>
          <c:w val="0.14073085925152451"/>
          <c:h val="8.2828494922983206E-2"/>
        </c:manualLayout>
      </c:layout>
      <c:overlay val="0"/>
      <c:spPr>
        <a:solidFill>
          <a:srgbClr val="FFFFFF"/>
        </a:solidFill>
        <a:ln w="3175">
          <a:solidFill>
            <a:srgbClr val="000000"/>
          </a:solidFill>
          <a:prstDash val="solid"/>
        </a:ln>
      </c:spPr>
      <c:txPr>
        <a:bodyPr/>
        <a:lstStyle/>
        <a:p>
          <a:pPr>
            <a:defRPr sz="78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925" b="0" i="0" u="none" strike="noStrike" baseline="0">
          <a:solidFill>
            <a:srgbClr val="000000"/>
          </a:solidFill>
          <a:latin typeface="Arial"/>
          <a:ea typeface="Arial"/>
          <a:cs typeface="Arial"/>
        </a:defRPr>
      </a:pPr>
      <a:endParaRPr lang="en-US"/>
    </a:p>
  </c:txPr>
  <c:printSettings>
    <c:headerFooter alignWithMargins="0"/>
    <c:pageMargins b="1" l="0.750000000000006" r="0.750000000000006" t="1" header="0.5" footer="0.5"/>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25" b="1" i="0" u="none" strike="noStrike" baseline="0">
                <a:solidFill>
                  <a:srgbClr val="000000"/>
                </a:solidFill>
                <a:latin typeface="Arial"/>
                <a:ea typeface="Arial"/>
                <a:cs typeface="Arial"/>
              </a:defRPr>
            </a:pPr>
            <a:r>
              <a:rPr lang="en-US"/>
              <a:t> FET Power Disipation</a:t>
            </a:r>
          </a:p>
        </c:rich>
      </c:tx>
      <c:layout>
        <c:manualLayout>
          <c:xMode val="edge"/>
          <c:yMode val="edge"/>
          <c:x val="0.39872611464968688"/>
          <c:y val="3.0241935483871732E-2"/>
        </c:manualLayout>
      </c:layout>
      <c:overlay val="0"/>
      <c:spPr>
        <a:noFill/>
        <a:ln w="25400">
          <a:noFill/>
        </a:ln>
      </c:spPr>
    </c:title>
    <c:autoTitleDeleted val="0"/>
    <c:plotArea>
      <c:layout>
        <c:manualLayout>
          <c:layoutTarget val="inner"/>
          <c:xMode val="edge"/>
          <c:yMode val="edge"/>
          <c:x val="8.6624203821656268E-2"/>
          <c:y val="0.15927435034411094"/>
          <c:w val="0.8471337579617837"/>
          <c:h val="0.70362972493790654"/>
        </c:manualLayout>
      </c:layout>
      <c:scatterChart>
        <c:scatterStyle val="lineMarker"/>
        <c:varyColors val="0"/>
        <c:ser>
          <c:idx val="2"/>
          <c:order val="0"/>
          <c:tx>
            <c:v>Top FET</c:v>
          </c:tx>
          <c:spPr>
            <a:ln w="25400">
              <a:solidFill>
                <a:srgbClr val="000080"/>
              </a:solidFill>
              <a:prstDash val="solid"/>
            </a:ln>
          </c:spPr>
          <c:marker>
            <c:symbol val="none"/>
          </c:marker>
          <c:xVal>
            <c:numRef>
              <c:f>'Power Calculations'!$H$9:$H$209</c:f>
              <c:numCache>
                <c:formatCode>General</c:formatCode>
                <c:ptCount val="201"/>
                <c:pt idx="0">
                  <c:v>0</c:v>
                </c:pt>
                <c:pt idx="1">
                  <c:v>0.01</c:v>
                </c:pt>
                <c:pt idx="2">
                  <c:v>0.02</c:v>
                </c:pt>
                <c:pt idx="3">
                  <c:v>0.03</c:v>
                </c:pt>
                <c:pt idx="4">
                  <c:v>0.04</c:v>
                </c:pt>
                <c:pt idx="5">
                  <c:v>0.05</c:v>
                </c:pt>
                <c:pt idx="6">
                  <c:v>0.06</c:v>
                </c:pt>
                <c:pt idx="7">
                  <c:v>7.0000000000000007E-2</c:v>
                </c:pt>
                <c:pt idx="8">
                  <c:v>0.08</c:v>
                </c:pt>
                <c:pt idx="9">
                  <c:v>0.09</c:v>
                </c:pt>
                <c:pt idx="10">
                  <c:v>0.1</c:v>
                </c:pt>
                <c:pt idx="11">
                  <c:v>0.11</c:v>
                </c:pt>
                <c:pt idx="12">
                  <c:v>0.12</c:v>
                </c:pt>
                <c:pt idx="13">
                  <c:v>0.13</c:v>
                </c:pt>
                <c:pt idx="14">
                  <c:v>0.14000000000000001</c:v>
                </c:pt>
                <c:pt idx="15">
                  <c:v>0.15</c:v>
                </c:pt>
                <c:pt idx="16">
                  <c:v>0.16</c:v>
                </c:pt>
                <c:pt idx="17">
                  <c:v>0.17</c:v>
                </c:pt>
                <c:pt idx="18">
                  <c:v>0.18</c:v>
                </c:pt>
                <c:pt idx="19">
                  <c:v>0.19</c:v>
                </c:pt>
                <c:pt idx="20">
                  <c:v>0.2</c:v>
                </c:pt>
                <c:pt idx="21">
                  <c:v>0.21</c:v>
                </c:pt>
                <c:pt idx="22">
                  <c:v>0.22</c:v>
                </c:pt>
                <c:pt idx="23">
                  <c:v>0.23</c:v>
                </c:pt>
                <c:pt idx="24">
                  <c:v>0.24</c:v>
                </c:pt>
                <c:pt idx="25">
                  <c:v>0.25</c:v>
                </c:pt>
                <c:pt idx="26">
                  <c:v>0.26</c:v>
                </c:pt>
                <c:pt idx="27">
                  <c:v>0.27</c:v>
                </c:pt>
                <c:pt idx="28">
                  <c:v>0.28000000000000003</c:v>
                </c:pt>
                <c:pt idx="29">
                  <c:v>0.28999999999999998</c:v>
                </c:pt>
                <c:pt idx="30">
                  <c:v>0.3</c:v>
                </c:pt>
                <c:pt idx="31">
                  <c:v>0.31</c:v>
                </c:pt>
                <c:pt idx="32">
                  <c:v>0.32</c:v>
                </c:pt>
                <c:pt idx="33">
                  <c:v>0.33</c:v>
                </c:pt>
                <c:pt idx="34">
                  <c:v>0.34</c:v>
                </c:pt>
                <c:pt idx="35">
                  <c:v>0.35</c:v>
                </c:pt>
                <c:pt idx="36">
                  <c:v>0.36</c:v>
                </c:pt>
                <c:pt idx="37">
                  <c:v>0.37</c:v>
                </c:pt>
                <c:pt idx="38">
                  <c:v>0.38</c:v>
                </c:pt>
                <c:pt idx="39">
                  <c:v>0.39</c:v>
                </c:pt>
                <c:pt idx="40">
                  <c:v>0.4</c:v>
                </c:pt>
                <c:pt idx="41">
                  <c:v>0.41</c:v>
                </c:pt>
                <c:pt idx="42">
                  <c:v>0.42</c:v>
                </c:pt>
                <c:pt idx="43">
                  <c:v>0.43</c:v>
                </c:pt>
                <c:pt idx="44">
                  <c:v>0.44</c:v>
                </c:pt>
                <c:pt idx="45">
                  <c:v>0.45</c:v>
                </c:pt>
                <c:pt idx="46">
                  <c:v>0.46</c:v>
                </c:pt>
                <c:pt idx="47">
                  <c:v>0.47</c:v>
                </c:pt>
                <c:pt idx="48">
                  <c:v>0.48</c:v>
                </c:pt>
                <c:pt idx="49">
                  <c:v>0.49</c:v>
                </c:pt>
                <c:pt idx="50">
                  <c:v>0.5</c:v>
                </c:pt>
                <c:pt idx="51">
                  <c:v>0.51</c:v>
                </c:pt>
                <c:pt idx="52">
                  <c:v>0.52</c:v>
                </c:pt>
                <c:pt idx="53">
                  <c:v>0.53</c:v>
                </c:pt>
                <c:pt idx="54">
                  <c:v>0.54</c:v>
                </c:pt>
                <c:pt idx="55">
                  <c:v>0.55000000000000004</c:v>
                </c:pt>
                <c:pt idx="56">
                  <c:v>0.56000000000000005</c:v>
                </c:pt>
                <c:pt idx="57">
                  <c:v>0.56999999999999995</c:v>
                </c:pt>
                <c:pt idx="58">
                  <c:v>0.57999999999999996</c:v>
                </c:pt>
                <c:pt idx="59">
                  <c:v>0.59</c:v>
                </c:pt>
                <c:pt idx="60">
                  <c:v>0.6</c:v>
                </c:pt>
                <c:pt idx="61">
                  <c:v>0.61</c:v>
                </c:pt>
                <c:pt idx="62">
                  <c:v>0.62</c:v>
                </c:pt>
                <c:pt idx="63">
                  <c:v>0.63</c:v>
                </c:pt>
                <c:pt idx="64">
                  <c:v>0.64</c:v>
                </c:pt>
                <c:pt idx="65">
                  <c:v>0.65</c:v>
                </c:pt>
                <c:pt idx="66">
                  <c:v>0.66</c:v>
                </c:pt>
                <c:pt idx="67">
                  <c:v>0.67</c:v>
                </c:pt>
                <c:pt idx="68">
                  <c:v>0.68</c:v>
                </c:pt>
                <c:pt idx="69">
                  <c:v>0.69</c:v>
                </c:pt>
                <c:pt idx="70">
                  <c:v>0.7</c:v>
                </c:pt>
                <c:pt idx="71">
                  <c:v>0.71</c:v>
                </c:pt>
                <c:pt idx="72">
                  <c:v>0.72</c:v>
                </c:pt>
                <c:pt idx="73">
                  <c:v>0.73</c:v>
                </c:pt>
                <c:pt idx="74">
                  <c:v>0.74</c:v>
                </c:pt>
                <c:pt idx="75">
                  <c:v>0.75</c:v>
                </c:pt>
                <c:pt idx="76">
                  <c:v>0.76</c:v>
                </c:pt>
                <c:pt idx="77">
                  <c:v>0.77</c:v>
                </c:pt>
                <c:pt idx="78">
                  <c:v>0.78</c:v>
                </c:pt>
                <c:pt idx="79">
                  <c:v>0.79</c:v>
                </c:pt>
                <c:pt idx="80">
                  <c:v>0.8</c:v>
                </c:pt>
                <c:pt idx="81">
                  <c:v>0.81</c:v>
                </c:pt>
                <c:pt idx="82">
                  <c:v>0.82</c:v>
                </c:pt>
                <c:pt idx="83">
                  <c:v>0.83</c:v>
                </c:pt>
                <c:pt idx="84">
                  <c:v>0.84</c:v>
                </c:pt>
                <c:pt idx="85">
                  <c:v>0.85</c:v>
                </c:pt>
                <c:pt idx="86">
                  <c:v>0.86</c:v>
                </c:pt>
                <c:pt idx="87">
                  <c:v>0.87</c:v>
                </c:pt>
                <c:pt idx="88">
                  <c:v>0.88</c:v>
                </c:pt>
                <c:pt idx="89">
                  <c:v>0.89</c:v>
                </c:pt>
                <c:pt idx="90">
                  <c:v>0.9</c:v>
                </c:pt>
                <c:pt idx="91">
                  <c:v>0.91</c:v>
                </c:pt>
                <c:pt idx="92">
                  <c:v>0.92</c:v>
                </c:pt>
                <c:pt idx="93">
                  <c:v>0.93</c:v>
                </c:pt>
                <c:pt idx="94">
                  <c:v>0.94</c:v>
                </c:pt>
                <c:pt idx="95">
                  <c:v>0.95</c:v>
                </c:pt>
                <c:pt idx="96">
                  <c:v>0.96</c:v>
                </c:pt>
                <c:pt idx="97">
                  <c:v>0.97</c:v>
                </c:pt>
                <c:pt idx="98">
                  <c:v>0.98</c:v>
                </c:pt>
                <c:pt idx="99">
                  <c:v>0.99</c:v>
                </c:pt>
                <c:pt idx="100">
                  <c:v>1</c:v>
                </c:pt>
                <c:pt idx="101">
                  <c:v>1.01</c:v>
                </c:pt>
                <c:pt idx="102">
                  <c:v>1.02</c:v>
                </c:pt>
                <c:pt idx="103">
                  <c:v>1.03</c:v>
                </c:pt>
                <c:pt idx="104">
                  <c:v>1.04</c:v>
                </c:pt>
                <c:pt idx="105">
                  <c:v>1.05</c:v>
                </c:pt>
                <c:pt idx="106">
                  <c:v>1.06</c:v>
                </c:pt>
                <c:pt idx="107">
                  <c:v>1.07</c:v>
                </c:pt>
                <c:pt idx="108">
                  <c:v>1.08</c:v>
                </c:pt>
                <c:pt idx="109">
                  <c:v>1.0900000000000001</c:v>
                </c:pt>
                <c:pt idx="110">
                  <c:v>1.1000000000000001</c:v>
                </c:pt>
                <c:pt idx="111">
                  <c:v>1.1100000000000001</c:v>
                </c:pt>
                <c:pt idx="112">
                  <c:v>1.1200000000000001</c:v>
                </c:pt>
                <c:pt idx="113">
                  <c:v>1.1299999999999999</c:v>
                </c:pt>
                <c:pt idx="114">
                  <c:v>1.1399999999999999</c:v>
                </c:pt>
                <c:pt idx="115">
                  <c:v>1.1499999999999999</c:v>
                </c:pt>
                <c:pt idx="116">
                  <c:v>1.1599999999999999</c:v>
                </c:pt>
                <c:pt idx="117">
                  <c:v>1.17</c:v>
                </c:pt>
                <c:pt idx="118">
                  <c:v>1.18</c:v>
                </c:pt>
                <c:pt idx="119">
                  <c:v>1.19</c:v>
                </c:pt>
                <c:pt idx="120">
                  <c:v>1.2</c:v>
                </c:pt>
                <c:pt idx="121">
                  <c:v>1.21</c:v>
                </c:pt>
                <c:pt idx="122">
                  <c:v>1.22</c:v>
                </c:pt>
                <c:pt idx="123">
                  <c:v>1.23</c:v>
                </c:pt>
                <c:pt idx="124">
                  <c:v>1.24</c:v>
                </c:pt>
                <c:pt idx="125">
                  <c:v>1.25</c:v>
                </c:pt>
                <c:pt idx="126">
                  <c:v>1.26</c:v>
                </c:pt>
                <c:pt idx="127">
                  <c:v>1.27</c:v>
                </c:pt>
                <c:pt idx="128">
                  <c:v>1.28</c:v>
                </c:pt>
                <c:pt idx="129">
                  <c:v>1.29</c:v>
                </c:pt>
                <c:pt idx="130">
                  <c:v>1.3</c:v>
                </c:pt>
                <c:pt idx="131">
                  <c:v>1.31</c:v>
                </c:pt>
                <c:pt idx="132">
                  <c:v>1.32</c:v>
                </c:pt>
                <c:pt idx="133">
                  <c:v>1.33</c:v>
                </c:pt>
                <c:pt idx="134">
                  <c:v>1.34</c:v>
                </c:pt>
                <c:pt idx="135">
                  <c:v>1.35</c:v>
                </c:pt>
                <c:pt idx="136">
                  <c:v>1.36</c:v>
                </c:pt>
                <c:pt idx="137">
                  <c:v>1.37</c:v>
                </c:pt>
                <c:pt idx="138">
                  <c:v>1.38</c:v>
                </c:pt>
                <c:pt idx="139">
                  <c:v>1.39</c:v>
                </c:pt>
                <c:pt idx="140">
                  <c:v>1.4</c:v>
                </c:pt>
                <c:pt idx="141">
                  <c:v>1.41</c:v>
                </c:pt>
                <c:pt idx="142">
                  <c:v>1.42</c:v>
                </c:pt>
                <c:pt idx="143">
                  <c:v>1.43</c:v>
                </c:pt>
                <c:pt idx="144">
                  <c:v>1.44</c:v>
                </c:pt>
                <c:pt idx="145">
                  <c:v>1.45</c:v>
                </c:pt>
                <c:pt idx="146">
                  <c:v>1.46</c:v>
                </c:pt>
                <c:pt idx="147">
                  <c:v>1.47</c:v>
                </c:pt>
                <c:pt idx="148">
                  <c:v>1.48</c:v>
                </c:pt>
                <c:pt idx="149">
                  <c:v>1.49</c:v>
                </c:pt>
                <c:pt idx="150">
                  <c:v>1.5</c:v>
                </c:pt>
                <c:pt idx="151">
                  <c:v>1.51</c:v>
                </c:pt>
                <c:pt idx="152">
                  <c:v>1.52</c:v>
                </c:pt>
                <c:pt idx="153">
                  <c:v>1.53</c:v>
                </c:pt>
                <c:pt idx="154">
                  <c:v>1.54</c:v>
                </c:pt>
                <c:pt idx="155">
                  <c:v>1.55</c:v>
                </c:pt>
                <c:pt idx="156">
                  <c:v>1.56</c:v>
                </c:pt>
                <c:pt idx="157">
                  <c:v>1.57</c:v>
                </c:pt>
                <c:pt idx="158">
                  <c:v>1.58</c:v>
                </c:pt>
                <c:pt idx="159">
                  <c:v>1.59</c:v>
                </c:pt>
                <c:pt idx="160">
                  <c:v>1.6</c:v>
                </c:pt>
                <c:pt idx="161">
                  <c:v>1.61</c:v>
                </c:pt>
                <c:pt idx="162">
                  <c:v>1.62</c:v>
                </c:pt>
                <c:pt idx="163">
                  <c:v>1.63</c:v>
                </c:pt>
                <c:pt idx="164">
                  <c:v>1.64</c:v>
                </c:pt>
                <c:pt idx="165">
                  <c:v>1.65</c:v>
                </c:pt>
                <c:pt idx="166">
                  <c:v>1.66</c:v>
                </c:pt>
                <c:pt idx="167">
                  <c:v>1.67</c:v>
                </c:pt>
                <c:pt idx="168">
                  <c:v>1.68</c:v>
                </c:pt>
                <c:pt idx="169">
                  <c:v>1.69</c:v>
                </c:pt>
                <c:pt idx="170">
                  <c:v>1.7</c:v>
                </c:pt>
                <c:pt idx="171">
                  <c:v>1.71</c:v>
                </c:pt>
                <c:pt idx="172">
                  <c:v>1.72</c:v>
                </c:pt>
                <c:pt idx="173">
                  <c:v>1.73</c:v>
                </c:pt>
                <c:pt idx="174">
                  <c:v>1.74</c:v>
                </c:pt>
                <c:pt idx="175">
                  <c:v>1.75</c:v>
                </c:pt>
                <c:pt idx="176">
                  <c:v>1.76</c:v>
                </c:pt>
                <c:pt idx="177">
                  <c:v>1.77</c:v>
                </c:pt>
                <c:pt idx="178">
                  <c:v>1.78</c:v>
                </c:pt>
                <c:pt idx="179">
                  <c:v>1.79</c:v>
                </c:pt>
                <c:pt idx="180">
                  <c:v>1.8</c:v>
                </c:pt>
                <c:pt idx="181">
                  <c:v>1.81</c:v>
                </c:pt>
                <c:pt idx="182">
                  <c:v>1.82</c:v>
                </c:pt>
                <c:pt idx="183">
                  <c:v>1.83</c:v>
                </c:pt>
                <c:pt idx="184">
                  <c:v>1.84</c:v>
                </c:pt>
                <c:pt idx="185">
                  <c:v>1.85</c:v>
                </c:pt>
                <c:pt idx="186">
                  <c:v>1.86</c:v>
                </c:pt>
                <c:pt idx="187">
                  <c:v>1.87</c:v>
                </c:pt>
                <c:pt idx="188">
                  <c:v>1.88</c:v>
                </c:pt>
                <c:pt idx="189">
                  <c:v>1.89</c:v>
                </c:pt>
                <c:pt idx="190">
                  <c:v>1.9</c:v>
                </c:pt>
                <c:pt idx="191">
                  <c:v>1.91</c:v>
                </c:pt>
                <c:pt idx="192">
                  <c:v>1.92</c:v>
                </c:pt>
                <c:pt idx="193">
                  <c:v>1.93</c:v>
                </c:pt>
                <c:pt idx="194">
                  <c:v>1.94</c:v>
                </c:pt>
                <c:pt idx="195">
                  <c:v>1.95</c:v>
                </c:pt>
                <c:pt idx="196">
                  <c:v>1.96</c:v>
                </c:pt>
                <c:pt idx="197">
                  <c:v>1.97</c:v>
                </c:pt>
                <c:pt idx="198">
                  <c:v>1.98</c:v>
                </c:pt>
                <c:pt idx="199">
                  <c:v>1.99</c:v>
                </c:pt>
                <c:pt idx="200">
                  <c:v>2</c:v>
                </c:pt>
              </c:numCache>
            </c:numRef>
          </c:xVal>
          <c:yVal>
            <c:numRef>
              <c:f>'Power Calculations'!$AC$9:$AC$209</c:f>
              <c:numCache>
                <c:formatCode>0.0000</c:formatCode>
                <c:ptCount val="201"/>
                <c:pt idx="0">
                  <c:v>2.7629235643551901E-2</c:v>
                </c:pt>
                <c:pt idx="1">
                  <c:v>2.881639822033626E-2</c:v>
                </c:pt>
                <c:pt idx="2">
                  <c:v>3.0001382768474888E-2</c:v>
                </c:pt>
                <c:pt idx="3">
                  <c:v>3.1184190515651865E-2</c:v>
                </c:pt>
                <c:pt idx="4">
                  <c:v>3.2364822686659432E-2</c:v>
                </c:pt>
                <c:pt idx="5">
                  <c:v>3.3543280503399657E-2</c:v>
                </c:pt>
                <c:pt idx="6">
                  <c:v>3.4719565184885968E-2</c:v>
                </c:pt>
                <c:pt idx="7">
                  <c:v>3.5893677947244781E-2</c:v>
                </c:pt>
                <c:pt idx="8">
                  <c:v>3.7065620003716999E-2</c:v>
                </c:pt>
                <c:pt idx="9">
                  <c:v>3.823539256465959E-2</c:v>
                </c:pt>
                <c:pt idx="10">
                  <c:v>3.9402996837547138E-2</c:v>
                </c:pt>
                <c:pt idx="11">
                  <c:v>4.056843402697341E-2</c:v>
                </c:pt>
                <c:pt idx="12">
                  <c:v>4.173170533465282E-2</c:v>
                </c:pt>
                <c:pt idx="13">
                  <c:v>4.2892811959422017E-2</c:v>
                </c:pt>
                <c:pt idx="14">
                  <c:v>4.405175509724131E-2</c:v>
                </c:pt>
                <c:pt idx="15">
                  <c:v>4.5208535941196268E-2</c:v>
                </c:pt>
                <c:pt idx="16">
                  <c:v>4.6363155681499103E-2</c:v>
                </c:pt>
                <c:pt idx="17">
                  <c:v>4.7515615505490258E-2</c:v>
                </c:pt>
                <c:pt idx="18">
                  <c:v>4.8665916597639788E-2</c:v>
                </c:pt>
                <c:pt idx="19">
                  <c:v>4.9814060139548914E-2</c:v>
                </c:pt>
                <c:pt idx="20">
                  <c:v>5.0960047309951385E-2</c:v>
                </c:pt>
                <c:pt idx="21">
                  <c:v>5.2103879284714986E-2</c:v>
                </c:pt>
                <c:pt idx="22">
                  <c:v>5.3245557236842975E-2</c:v>
                </c:pt>
                <c:pt idx="23">
                  <c:v>5.3890463812142277E-2</c:v>
                </c:pt>
                <c:pt idx="24">
                  <c:v>5.4071540992432075E-2</c:v>
                </c:pt>
                <c:pt idx="25">
                  <c:v>5.4254002351848275E-2</c:v>
                </c:pt>
                <c:pt idx="26">
                  <c:v>5.4437848411403165E-2</c:v>
                </c:pt>
                <c:pt idx="27">
                  <c:v>5.4623079694216446E-2</c:v>
                </c:pt>
                <c:pt idx="28">
                  <c:v>5.4809696725517491E-2</c:v>
                </c:pt>
                <c:pt idx="29">
                  <c:v>5.4997700032647617E-2</c:v>
                </c:pt>
                <c:pt idx="30">
                  <c:v>5.518709014506229E-2</c:v>
                </c:pt>
                <c:pt idx="31">
                  <c:v>5.5377867594333469E-2</c:v>
                </c:pt>
                <c:pt idx="32">
                  <c:v>5.5570032914151829E-2</c:v>
                </c:pt>
                <c:pt idx="33">
                  <c:v>5.5763586640329113E-2</c:v>
                </c:pt>
                <c:pt idx="34">
                  <c:v>5.5958529310800365E-2</c:v>
                </c:pt>
                <c:pt idx="35">
                  <c:v>5.6154861465626267E-2</c:v>
                </c:pt>
                <c:pt idx="36">
                  <c:v>5.6352583646995497E-2</c:v>
                </c:pt>
                <c:pt idx="37">
                  <c:v>5.6551696399226956E-2</c:v>
                </c:pt>
                <c:pt idx="38">
                  <c:v>5.6752200268772181E-2</c:v>
                </c:pt>
                <c:pt idx="39">
                  <c:v>5.6954095804217682E-2</c:v>
                </c:pt>
                <c:pt idx="40">
                  <c:v>5.7157383556287238E-2</c:v>
                </c:pt>
                <c:pt idx="41">
                  <c:v>5.7362064077844332E-2</c:v>
                </c:pt>
                <c:pt idx="42">
                  <c:v>5.7568137923894432E-2</c:v>
                </c:pt>
                <c:pt idx="43">
                  <c:v>5.7775605651587465E-2</c:v>
                </c:pt>
                <c:pt idx="44">
                  <c:v>5.7984467820220133E-2</c:v>
                </c:pt>
                <c:pt idx="45">
                  <c:v>5.8194724991238324E-2</c:v>
                </c:pt>
                <c:pt idx="46">
                  <c:v>5.8406377728239513E-2</c:v>
                </c:pt>
                <c:pt idx="47">
                  <c:v>5.8619426596975228E-2</c:v>
                </c:pt>
                <c:pt idx="48">
                  <c:v>5.8833872165353379E-2</c:v>
                </c:pt>
                <c:pt idx="49">
                  <c:v>5.9049715003440743E-2</c:v>
                </c:pt>
                <c:pt idx="50">
                  <c:v>5.9266955683465419E-2</c:v>
                </c:pt>
                <c:pt idx="51">
                  <c:v>5.9485594779819219E-2</c:v>
                </c:pt>
                <c:pt idx="52">
                  <c:v>5.97056328690602E-2</c:v>
                </c:pt>
                <c:pt idx="53">
                  <c:v>5.9927070529915048E-2</c:v>
                </c:pt>
                <c:pt idx="54">
                  <c:v>6.0149908343281641E-2</c:v>
                </c:pt>
                <c:pt idx="55">
                  <c:v>6.0374146892231445E-2</c:v>
                </c:pt>
                <c:pt idx="56">
                  <c:v>6.0599786762012053E-2</c:v>
                </c:pt>
                <c:pt idx="57">
                  <c:v>6.0826828540049734E-2</c:v>
                </c:pt>
                <c:pt idx="58">
                  <c:v>6.1055272815951821E-2</c:v>
                </c:pt>
                <c:pt idx="59">
                  <c:v>6.1285120181509348E-2</c:v>
                </c:pt>
                <c:pt idx="60">
                  <c:v>6.1516371230699536E-2</c:v>
                </c:pt>
                <c:pt idx="61">
                  <c:v>6.1749026559688329E-2</c:v>
                </c:pt>
                <c:pt idx="62">
                  <c:v>6.198308676683293E-2</c:v>
                </c:pt>
                <c:pt idx="63">
                  <c:v>6.2218552452684379E-2</c:v>
                </c:pt>
                <c:pt idx="64">
                  <c:v>6.2455424219990147E-2</c:v>
                </c:pt>
                <c:pt idx="65">
                  <c:v>6.2693702673696616E-2</c:v>
                </c:pt>
                <c:pt idx="66">
                  <c:v>6.293338842095178E-2</c:v>
                </c:pt>
                <c:pt idx="67">
                  <c:v>6.3174482071107763E-2</c:v>
                </c:pt>
                <c:pt idx="68">
                  <c:v>6.3416984235723436E-2</c:v>
                </c:pt>
                <c:pt idx="69">
                  <c:v>6.366089552856706E-2</c:v>
                </c:pt>
                <c:pt idx="70">
                  <c:v>6.3906216565618845E-2</c:v>
                </c:pt>
                <c:pt idx="71">
                  <c:v>6.4152947965073689E-2</c:v>
                </c:pt>
                <c:pt idx="72">
                  <c:v>6.4401090347343662E-2</c:v>
                </c:pt>
                <c:pt idx="73">
                  <c:v>6.4650644335060847E-2</c:v>
                </c:pt>
                <c:pt idx="74">
                  <c:v>6.4901610553079817E-2</c:v>
                </c:pt>
                <c:pt idx="75">
                  <c:v>6.5153989628480402E-2</c:v>
                </c:pt>
                <c:pt idx="76">
                  <c:v>6.5407782190570377E-2</c:v>
                </c:pt>
                <c:pt idx="77">
                  <c:v>6.5662988870888103E-2</c:v>
                </c:pt>
                <c:pt idx="78">
                  <c:v>6.5919610303205228E-2</c:v>
                </c:pt>
                <c:pt idx="79">
                  <c:v>6.6177647123529429E-2</c:v>
                </c:pt>
                <c:pt idx="80">
                  <c:v>6.6437099970107119E-2</c:v>
                </c:pt>
                <c:pt idx="81">
                  <c:v>6.6697969483426128E-2</c:v>
                </c:pt>
                <c:pt idx="82">
                  <c:v>6.6960256306218491E-2</c:v>
                </c:pt>
                <c:pt idx="83">
                  <c:v>6.7223961083463166E-2</c:v>
                </c:pt>
                <c:pt idx="84">
                  <c:v>6.7489084462388813E-2</c:v>
                </c:pt>
                <c:pt idx="85">
                  <c:v>6.7755627092476511E-2</c:v>
                </c:pt>
                <c:pt idx="86">
                  <c:v>6.802358962546258E-2</c:v>
                </c:pt>
                <c:pt idx="87">
                  <c:v>6.8292972715341349E-2</c:v>
                </c:pt>
                <c:pt idx="88">
                  <c:v>6.8563777018367925E-2</c:v>
                </c:pt>
                <c:pt idx="89">
                  <c:v>6.8836003193061046E-2</c:v>
                </c:pt>
                <c:pt idx="90">
                  <c:v>6.9109651900205835E-2</c:v>
                </c:pt>
                <c:pt idx="91">
                  <c:v>6.9384723802856652E-2</c:v>
                </c:pt>
                <c:pt idx="92">
                  <c:v>6.9661219566339916E-2</c:v>
                </c:pt>
                <c:pt idx="93">
                  <c:v>6.9939139858257005E-2</c:v>
                </c:pt>
                <c:pt idx="94">
                  <c:v>7.0218485348487E-2</c:v>
                </c:pt>
                <c:pt idx="95">
                  <c:v>7.0499256709189648E-2</c:v>
                </c:pt>
                <c:pt idx="96">
                  <c:v>7.0781454614808115E-2</c:v>
                </c:pt>
                <c:pt idx="97">
                  <c:v>7.1065079742072046E-2</c:v>
                </c:pt>
                <c:pt idx="98">
                  <c:v>7.1350132770000269E-2</c:v>
                </c:pt>
                <c:pt idx="99">
                  <c:v>7.1636614379903776E-2</c:v>
                </c:pt>
                <c:pt idx="100">
                  <c:v>7.1924525255388713E-2</c:v>
                </c:pt>
                <c:pt idx="101">
                  <c:v>7.2213866082359093E-2</c:v>
                </c:pt>
                <c:pt idx="102">
                  <c:v>7.2504637549020021E-2</c:v>
                </c:pt>
                <c:pt idx="103">
                  <c:v>7.2796840345880326E-2</c:v>
                </c:pt>
                <c:pt idx="104">
                  <c:v>7.3090475165755703E-2</c:v>
                </c:pt>
                <c:pt idx="105">
                  <c:v>7.338554270377165E-2</c:v>
                </c:pt>
                <c:pt idx="106">
                  <c:v>7.3682043657366386E-2</c:v>
                </c:pt>
                <c:pt idx="107">
                  <c:v>7.3979978726293888E-2</c:v>
                </c:pt>
                <c:pt idx="108">
                  <c:v>7.4279348612626833E-2</c:v>
                </c:pt>
                <c:pt idx="109">
                  <c:v>7.4580154020759626E-2</c:v>
                </c:pt>
                <c:pt idx="110">
                  <c:v>7.488239565741138E-2</c:v>
                </c:pt>
                <c:pt idx="111">
                  <c:v>7.5186074231629013E-2</c:v>
                </c:pt>
                <c:pt idx="112">
                  <c:v>7.5491190454790205E-2</c:v>
                </c:pt>
                <c:pt idx="113">
                  <c:v>7.5797745040606462E-2</c:v>
                </c:pt>
                <c:pt idx="114">
                  <c:v>7.6105738705126186E-2</c:v>
                </c:pt>
                <c:pt idx="115">
                  <c:v>7.6415172166737697E-2</c:v>
                </c:pt>
                <c:pt idx="116">
                  <c:v>7.6726046146172386E-2</c:v>
                </c:pt>
                <c:pt idx="117">
                  <c:v>7.7038361366507643E-2</c:v>
                </c:pt>
                <c:pt idx="118">
                  <c:v>7.7352118553170174E-2</c:v>
                </c:pt>
                <c:pt idx="119">
                  <c:v>7.7667318433938898E-2</c:v>
                </c:pt>
                <c:pt idx="120">
                  <c:v>7.7983961738948171E-2</c:v>
                </c:pt>
                <c:pt idx="121">
                  <c:v>7.8302049200690893E-2</c:v>
                </c:pt>
                <c:pt idx="122">
                  <c:v>7.862158155402163E-2</c:v>
                </c:pt>
                <c:pt idx="123">
                  <c:v>7.8942559536159765E-2</c:v>
                </c:pt>
                <c:pt idx="124">
                  <c:v>7.9264983886692633E-2</c:v>
                </c:pt>
                <c:pt idx="125">
                  <c:v>7.9588855347578771E-2</c:v>
                </c:pt>
                <c:pt idx="126">
                  <c:v>7.9914174663150928E-2</c:v>
                </c:pt>
                <c:pt idx="127">
                  <c:v>8.0240942580119476E-2</c:v>
                </c:pt>
                <c:pt idx="128">
                  <c:v>8.0569159847575386E-2</c:v>
                </c:pt>
                <c:pt idx="129">
                  <c:v>8.0898827216993638E-2</c:v>
                </c:pt>
                <c:pt idx="130">
                  <c:v>8.1229945442236287E-2</c:v>
                </c:pt>
                <c:pt idx="131">
                  <c:v>8.1562515279555714E-2</c:v>
                </c:pt>
                <c:pt idx="132">
                  <c:v>8.1896537487597995E-2</c:v>
                </c:pt>
                <c:pt idx="133">
                  <c:v>8.2232012827405998E-2</c:v>
                </c:pt>
                <c:pt idx="134">
                  <c:v>8.2568942062422726E-2</c:v>
                </c:pt>
                <c:pt idx="135">
                  <c:v>8.2907325958494552E-2</c:v>
                </c:pt>
                <c:pt idx="136">
                  <c:v>8.3247165283874547E-2</c:v>
                </c:pt>
                <c:pt idx="137">
                  <c:v>8.3588460809225745E-2</c:v>
                </c:pt>
                <c:pt idx="138">
                  <c:v>8.3931213307624458E-2</c:v>
                </c:pt>
                <c:pt idx="139">
                  <c:v>8.4275423554563578E-2</c:v>
                </c:pt>
                <c:pt idx="140">
                  <c:v>8.4621092327955907E-2</c:v>
                </c:pt>
                <c:pt idx="141">
                  <c:v>8.4968220408137576E-2</c:v>
                </c:pt>
                <c:pt idx="142">
                  <c:v>8.5316808577871189E-2</c:v>
                </c:pt>
                <c:pt idx="143">
                  <c:v>8.5666857622349449E-2</c:v>
                </c:pt>
                <c:pt idx="144">
                  <c:v>8.6018368329198305E-2</c:v>
                </c:pt>
                <c:pt idx="145">
                  <c:v>8.6371341488480469E-2</c:v>
                </c:pt>
                <c:pt idx="146">
                  <c:v>8.6725777892698752E-2</c:v>
                </c:pt>
                <c:pt idx="147">
                  <c:v>8.7081678336799487E-2</c:v>
                </c:pt>
                <c:pt idx="148">
                  <c:v>8.7439043618175977E-2</c:v>
                </c:pt>
                <c:pt idx="149">
                  <c:v>8.7797874536671788E-2</c:v>
                </c:pt>
                <c:pt idx="150">
                  <c:v>8.81581718945844E-2</c:v>
                </c:pt>
                <c:pt idx="151">
                  <c:v>8.8519936496668478E-2</c:v>
                </c:pt>
                <c:pt idx="152">
                  <c:v>8.8883169150139343E-2</c:v>
                </c:pt>
                <c:pt idx="153">
                  <c:v>8.9247870664676598E-2</c:v>
                </c:pt>
                <c:pt idx="154">
                  <c:v>8.9614041852427453E-2</c:v>
                </c:pt>
                <c:pt idx="155">
                  <c:v>8.9981683528010295E-2</c:v>
                </c:pt>
                <c:pt idx="156">
                  <c:v>9.0350796508518114E-2</c:v>
                </c:pt>
                <c:pt idx="157">
                  <c:v>9.0721381613522153E-2</c:v>
                </c:pt>
                <c:pt idx="158">
                  <c:v>9.1093439665075326E-2</c:v>
                </c:pt>
                <c:pt idx="159">
                  <c:v>9.1466971487715751E-2</c:v>
                </c:pt>
                <c:pt idx="160">
                  <c:v>9.1841977908470457E-2</c:v>
                </c:pt>
                <c:pt idx="161">
                  <c:v>9.2218459756858689E-2</c:v>
                </c:pt>
                <c:pt idx="162">
                  <c:v>9.2596417864895711E-2</c:v>
                </c:pt>
                <c:pt idx="163">
                  <c:v>9.2975853067096284E-2</c:v>
                </c:pt>
                <c:pt idx="164">
                  <c:v>9.3356766200478267E-2</c:v>
                </c:pt>
                <c:pt idx="165">
                  <c:v>9.3739158104566303E-2</c:v>
                </c:pt>
                <c:pt idx="166">
                  <c:v>9.4123029621395307E-2</c:v>
                </c:pt>
                <c:pt idx="167">
                  <c:v>9.4508381595514154E-2</c:v>
                </c:pt>
                <c:pt idx="168">
                  <c:v>9.48952148739894E-2</c:v>
                </c:pt>
                <c:pt idx="169">
                  <c:v>9.5283530306408876E-2</c:v>
                </c:pt>
                <c:pt idx="170">
                  <c:v>9.5673328744885308E-2</c:v>
                </c:pt>
                <c:pt idx="171">
                  <c:v>9.6064611044060014E-2</c:v>
                </c:pt>
                <c:pt idx="172">
                  <c:v>9.6457378061106727E-2</c:v>
                </c:pt>
                <c:pt idx="173">
                  <c:v>9.6851630655735099E-2</c:v>
                </c:pt>
                <c:pt idx="174">
                  <c:v>9.7247369690194527E-2</c:v>
                </c:pt>
                <c:pt idx="175">
                  <c:v>9.7644596029277844E-2</c:v>
                </c:pt>
                <c:pt idx="176">
                  <c:v>9.8043310540325113E-2</c:v>
                </c:pt>
                <c:pt idx="177">
                  <c:v>9.8443514093227338E-2</c:v>
                </c:pt>
                <c:pt idx="178">
                  <c:v>9.8845207560430137E-2</c:v>
                </c:pt>
                <c:pt idx="179">
                  <c:v>9.9248391816937703E-2</c:v>
                </c:pt>
                <c:pt idx="180">
                  <c:v>9.9653067740316403E-2</c:v>
                </c:pt>
                <c:pt idx="181">
                  <c:v>0.10005923621069875</c:v>
                </c:pt>
                <c:pt idx="182">
                  <c:v>0.100466898110787</c:v>
                </c:pt>
                <c:pt idx="183">
                  <c:v>0.10087605432585725</c:v>
                </c:pt>
                <c:pt idx="184">
                  <c:v>0.10128670574376296</c:v>
                </c:pt>
                <c:pt idx="185">
                  <c:v>0.10169885325493906</c:v>
                </c:pt>
                <c:pt idx="186">
                  <c:v>0.1021124977524057</c:v>
                </c:pt>
                <c:pt idx="187">
                  <c:v>0.10252764013177205</c:v>
                </c:pt>
                <c:pt idx="188">
                  <c:v>0.10294428129124032</c:v>
                </c:pt>
                <c:pt idx="189">
                  <c:v>0.10336242213160959</c:v>
                </c:pt>
                <c:pt idx="190">
                  <c:v>0.10378206355627975</c:v>
                </c:pt>
                <c:pt idx="191">
                  <c:v>0.10420320647125529</c:v>
                </c:pt>
                <c:pt idx="192">
                  <c:v>0.1046258517851494</c:v>
                </c:pt>
                <c:pt idx="193">
                  <c:v>0.10505000040918788</c:v>
                </c:pt>
                <c:pt idx="194">
                  <c:v>0.10547565325721298</c:v>
                </c:pt>
                <c:pt idx="195">
                  <c:v>0.1059028112456875</c:v>
                </c:pt>
                <c:pt idx="196">
                  <c:v>0.10633147529369873</c:v>
                </c:pt>
                <c:pt idx="197">
                  <c:v>0.10676164632296244</c:v>
                </c:pt>
                <c:pt idx="198">
                  <c:v>0.10719332525782686</c:v>
                </c:pt>
                <c:pt idx="199">
                  <c:v>0.10762651302527672</c:v>
                </c:pt>
                <c:pt idx="200">
                  <c:v>0.10806121055493732</c:v>
                </c:pt>
              </c:numCache>
            </c:numRef>
          </c:yVal>
          <c:smooth val="0"/>
          <c:extLst>
            <c:ext xmlns:c16="http://schemas.microsoft.com/office/drawing/2014/chart" uri="{C3380CC4-5D6E-409C-BE32-E72D297353CC}">
              <c16:uniqueId val="{00000000-224D-4C5D-9638-87D4BF1AF418}"/>
            </c:ext>
          </c:extLst>
        </c:ser>
        <c:ser>
          <c:idx val="3"/>
          <c:order val="1"/>
          <c:tx>
            <c:v>Bottom FET</c:v>
          </c:tx>
          <c:spPr>
            <a:ln w="25400">
              <a:solidFill>
                <a:srgbClr val="FF0000"/>
              </a:solidFill>
              <a:prstDash val="solid"/>
            </a:ln>
          </c:spPr>
          <c:marker>
            <c:symbol val="none"/>
          </c:marker>
          <c:xVal>
            <c:numRef>
              <c:f>'Power Calculations'!$H$9:$H$209</c:f>
              <c:numCache>
                <c:formatCode>General</c:formatCode>
                <c:ptCount val="201"/>
                <c:pt idx="0">
                  <c:v>0</c:v>
                </c:pt>
                <c:pt idx="1">
                  <c:v>0.01</c:v>
                </c:pt>
                <c:pt idx="2">
                  <c:v>0.02</c:v>
                </c:pt>
                <c:pt idx="3">
                  <c:v>0.03</c:v>
                </c:pt>
                <c:pt idx="4">
                  <c:v>0.04</c:v>
                </c:pt>
                <c:pt idx="5">
                  <c:v>0.05</c:v>
                </c:pt>
                <c:pt idx="6">
                  <c:v>0.06</c:v>
                </c:pt>
                <c:pt idx="7">
                  <c:v>7.0000000000000007E-2</c:v>
                </c:pt>
                <c:pt idx="8">
                  <c:v>0.08</c:v>
                </c:pt>
                <c:pt idx="9">
                  <c:v>0.09</c:v>
                </c:pt>
                <c:pt idx="10">
                  <c:v>0.1</c:v>
                </c:pt>
                <c:pt idx="11">
                  <c:v>0.11</c:v>
                </c:pt>
                <c:pt idx="12">
                  <c:v>0.12</c:v>
                </c:pt>
                <c:pt idx="13">
                  <c:v>0.13</c:v>
                </c:pt>
                <c:pt idx="14">
                  <c:v>0.14000000000000001</c:v>
                </c:pt>
                <c:pt idx="15">
                  <c:v>0.15</c:v>
                </c:pt>
                <c:pt idx="16">
                  <c:v>0.16</c:v>
                </c:pt>
                <c:pt idx="17">
                  <c:v>0.17</c:v>
                </c:pt>
                <c:pt idx="18">
                  <c:v>0.18</c:v>
                </c:pt>
                <c:pt idx="19">
                  <c:v>0.19</c:v>
                </c:pt>
                <c:pt idx="20">
                  <c:v>0.2</c:v>
                </c:pt>
                <c:pt idx="21">
                  <c:v>0.21</c:v>
                </c:pt>
                <c:pt idx="22">
                  <c:v>0.22</c:v>
                </c:pt>
                <c:pt idx="23">
                  <c:v>0.23</c:v>
                </c:pt>
                <c:pt idx="24">
                  <c:v>0.24</c:v>
                </c:pt>
                <c:pt idx="25">
                  <c:v>0.25</c:v>
                </c:pt>
                <c:pt idx="26">
                  <c:v>0.26</c:v>
                </c:pt>
                <c:pt idx="27">
                  <c:v>0.27</c:v>
                </c:pt>
                <c:pt idx="28">
                  <c:v>0.28000000000000003</c:v>
                </c:pt>
                <c:pt idx="29">
                  <c:v>0.28999999999999998</c:v>
                </c:pt>
                <c:pt idx="30">
                  <c:v>0.3</c:v>
                </c:pt>
                <c:pt idx="31">
                  <c:v>0.31</c:v>
                </c:pt>
                <c:pt idx="32">
                  <c:v>0.32</c:v>
                </c:pt>
                <c:pt idx="33">
                  <c:v>0.33</c:v>
                </c:pt>
                <c:pt idx="34">
                  <c:v>0.34</c:v>
                </c:pt>
                <c:pt idx="35">
                  <c:v>0.35</c:v>
                </c:pt>
                <c:pt idx="36">
                  <c:v>0.36</c:v>
                </c:pt>
                <c:pt idx="37">
                  <c:v>0.37</c:v>
                </c:pt>
                <c:pt idx="38">
                  <c:v>0.38</c:v>
                </c:pt>
                <c:pt idx="39">
                  <c:v>0.39</c:v>
                </c:pt>
                <c:pt idx="40">
                  <c:v>0.4</c:v>
                </c:pt>
                <c:pt idx="41">
                  <c:v>0.41</c:v>
                </c:pt>
                <c:pt idx="42">
                  <c:v>0.42</c:v>
                </c:pt>
                <c:pt idx="43">
                  <c:v>0.43</c:v>
                </c:pt>
                <c:pt idx="44">
                  <c:v>0.44</c:v>
                </c:pt>
                <c:pt idx="45">
                  <c:v>0.45</c:v>
                </c:pt>
                <c:pt idx="46">
                  <c:v>0.46</c:v>
                </c:pt>
                <c:pt idx="47">
                  <c:v>0.47</c:v>
                </c:pt>
                <c:pt idx="48">
                  <c:v>0.48</c:v>
                </c:pt>
                <c:pt idx="49">
                  <c:v>0.49</c:v>
                </c:pt>
                <c:pt idx="50">
                  <c:v>0.5</c:v>
                </c:pt>
                <c:pt idx="51">
                  <c:v>0.51</c:v>
                </c:pt>
                <c:pt idx="52">
                  <c:v>0.52</c:v>
                </c:pt>
                <c:pt idx="53">
                  <c:v>0.53</c:v>
                </c:pt>
                <c:pt idx="54">
                  <c:v>0.54</c:v>
                </c:pt>
                <c:pt idx="55">
                  <c:v>0.55000000000000004</c:v>
                </c:pt>
                <c:pt idx="56">
                  <c:v>0.56000000000000005</c:v>
                </c:pt>
                <c:pt idx="57">
                  <c:v>0.56999999999999995</c:v>
                </c:pt>
                <c:pt idx="58">
                  <c:v>0.57999999999999996</c:v>
                </c:pt>
                <c:pt idx="59">
                  <c:v>0.59</c:v>
                </c:pt>
                <c:pt idx="60">
                  <c:v>0.6</c:v>
                </c:pt>
                <c:pt idx="61">
                  <c:v>0.61</c:v>
                </c:pt>
                <c:pt idx="62">
                  <c:v>0.62</c:v>
                </c:pt>
                <c:pt idx="63">
                  <c:v>0.63</c:v>
                </c:pt>
                <c:pt idx="64">
                  <c:v>0.64</c:v>
                </c:pt>
                <c:pt idx="65">
                  <c:v>0.65</c:v>
                </c:pt>
                <c:pt idx="66">
                  <c:v>0.66</c:v>
                </c:pt>
                <c:pt idx="67">
                  <c:v>0.67</c:v>
                </c:pt>
                <c:pt idx="68">
                  <c:v>0.68</c:v>
                </c:pt>
                <c:pt idx="69">
                  <c:v>0.69</c:v>
                </c:pt>
                <c:pt idx="70">
                  <c:v>0.7</c:v>
                </c:pt>
                <c:pt idx="71">
                  <c:v>0.71</c:v>
                </c:pt>
                <c:pt idx="72">
                  <c:v>0.72</c:v>
                </c:pt>
                <c:pt idx="73">
                  <c:v>0.73</c:v>
                </c:pt>
                <c:pt idx="74">
                  <c:v>0.74</c:v>
                </c:pt>
                <c:pt idx="75">
                  <c:v>0.75</c:v>
                </c:pt>
                <c:pt idx="76">
                  <c:v>0.76</c:v>
                </c:pt>
                <c:pt idx="77">
                  <c:v>0.77</c:v>
                </c:pt>
                <c:pt idx="78">
                  <c:v>0.78</c:v>
                </c:pt>
                <c:pt idx="79">
                  <c:v>0.79</c:v>
                </c:pt>
                <c:pt idx="80">
                  <c:v>0.8</c:v>
                </c:pt>
                <c:pt idx="81">
                  <c:v>0.81</c:v>
                </c:pt>
                <c:pt idx="82">
                  <c:v>0.82</c:v>
                </c:pt>
                <c:pt idx="83">
                  <c:v>0.83</c:v>
                </c:pt>
                <c:pt idx="84">
                  <c:v>0.84</c:v>
                </c:pt>
                <c:pt idx="85">
                  <c:v>0.85</c:v>
                </c:pt>
                <c:pt idx="86">
                  <c:v>0.86</c:v>
                </c:pt>
                <c:pt idx="87">
                  <c:v>0.87</c:v>
                </c:pt>
                <c:pt idx="88">
                  <c:v>0.88</c:v>
                </c:pt>
                <c:pt idx="89">
                  <c:v>0.89</c:v>
                </c:pt>
                <c:pt idx="90">
                  <c:v>0.9</c:v>
                </c:pt>
                <c:pt idx="91">
                  <c:v>0.91</c:v>
                </c:pt>
                <c:pt idx="92">
                  <c:v>0.92</c:v>
                </c:pt>
                <c:pt idx="93">
                  <c:v>0.93</c:v>
                </c:pt>
                <c:pt idx="94">
                  <c:v>0.94</c:v>
                </c:pt>
                <c:pt idx="95">
                  <c:v>0.95</c:v>
                </c:pt>
                <c:pt idx="96">
                  <c:v>0.96</c:v>
                </c:pt>
                <c:pt idx="97">
                  <c:v>0.97</c:v>
                </c:pt>
                <c:pt idx="98">
                  <c:v>0.98</c:v>
                </c:pt>
                <c:pt idx="99">
                  <c:v>0.99</c:v>
                </c:pt>
                <c:pt idx="100">
                  <c:v>1</c:v>
                </c:pt>
                <c:pt idx="101">
                  <c:v>1.01</c:v>
                </c:pt>
                <c:pt idx="102">
                  <c:v>1.02</c:v>
                </c:pt>
                <c:pt idx="103">
                  <c:v>1.03</c:v>
                </c:pt>
                <c:pt idx="104">
                  <c:v>1.04</c:v>
                </c:pt>
                <c:pt idx="105">
                  <c:v>1.05</c:v>
                </c:pt>
                <c:pt idx="106">
                  <c:v>1.06</c:v>
                </c:pt>
                <c:pt idx="107">
                  <c:v>1.07</c:v>
                </c:pt>
                <c:pt idx="108">
                  <c:v>1.08</c:v>
                </c:pt>
                <c:pt idx="109">
                  <c:v>1.0900000000000001</c:v>
                </c:pt>
                <c:pt idx="110">
                  <c:v>1.1000000000000001</c:v>
                </c:pt>
                <c:pt idx="111">
                  <c:v>1.1100000000000001</c:v>
                </c:pt>
                <c:pt idx="112">
                  <c:v>1.1200000000000001</c:v>
                </c:pt>
                <c:pt idx="113">
                  <c:v>1.1299999999999999</c:v>
                </c:pt>
                <c:pt idx="114">
                  <c:v>1.1399999999999999</c:v>
                </c:pt>
                <c:pt idx="115">
                  <c:v>1.1499999999999999</c:v>
                </c:pt>
                <c:pt idx="116">
                  <c:v>1.1599999999999999</c:v>
                </c:pt>
                <c:pt idx="117">
                  <c:v>1.17</c:v>
                </c:pt>
                <c:pt idx="118">
                  <c:v>1.18</c:v>
                </c:pt>
                <c:pt idx="119">
                  <c:v>1.19</c:v>
                </c:pt>
                <c:pt idx="120">
                  <c:v>1.2</c:v>
                </c:pt>
                <c:pt idx="121">
                  <c:v>1.21</c:v>
                </c:pt>
                <c:pt idx="122">
                  <c:v>1.22</c:v>
                </c:pt>
                <c:pt idx="123">
                  <c:v>1.23</c:v>
                </c:pt>
                <c:pt idx="124">
                  <c:v>1.24</c:v>
                </c:pt>
                <c:pt idx="125">
                  <c:v>1.25</c:v>
                </c:pt>
                <c:pt idx="126">
                  <c:v>1.26</c:v>
                </c:pt>
                <c:pt idx="127">
                  <c:v>1.27</c:v>
                </c:pt>
                <c:pt idx="128">
                  <c:v>1.28</c:v>
                </c:pt>
                <c:pt idx="129">
                  <c:v>1.29</c:v>
                </c:pt>
                <c:pt idx="130">
                  <c:v>1.3</c:v>
                </c:pt>
                <c:pt idx="131">
                  <c:v>1.31</c:v>
                </c:pt>
                <c:pt idx="132">
                  <c:v>1.32</c:v>
                </c:pt>
                <c:pt idx="133">
                  <c:v>1.33</c:v>
                </c:pt>
                <c:pt idx="134">
                  <c:v>1.34</c:v>
                </c:pt>
                <c:pt idx="135">
                  <c:v>1.35</c:v>
                </c:pt>
                <c:pt idx="136">
                  <c:v>1.36</c:v>
                </c:pt>
                <c:pt idx="137">
                  <c:v>1.37</c:v>
                </c:pt>
                <c:pt idx="138">
                  <c:v>1.38</c:v>
                </c:pt>
                <c:pt idx="139">
                  <c:v>1.39</c:v>
                </c:pt>
                <c:pt idx="140">
                  <c:v>1.4</c:v>
                </c:pt>
                <c:pt idx="141">
                  <c:v>1.41</c:v>
                </c:pt>
                <c:pt idx="142">
                  <c:v>1.42</c:v>
                </c:pt>
                <c:pt idx="143">
                  <c:v>1.43</c:v>
                </c:pt>
                <c:pt idx="144">
                  <c:v>1.44</c:v>
                </c:pt>
                <c:pt idx="145">
                  <c:v>1.45</c:v>
                </c:pt>
                <c:pt idx="146">
                  <c:v>1.46</c:v>
                </c:pt>
                <c:pt idx="147">
                  <c:v>1.47</c:v>
                </c:pt>
                <c:pt idx="148">
                  <c:v>1.48</c:v>
                </c:pt>
                <c:pt idx="149">
                  <c:v>1.49</c:v>
                </c:pt>
                <c:pt idx="150">
                  <c:v>1.5</c:v>
                </c:pt>
                <c:pt idx="151">
                  <c:v>1.51</c:v>
                </c:pt>
                <c:pt idx="152">
                  <c:v>1.52</c:v>
                </c:pt>
                <c:pt idx="153">
                  <c:v>1.53</c:v>
                </c:pt>
                <c:pt idx="154">
                  <c:v>1.54</c:v>
                </c:pt>
                <c:pt idx="155">
                  <c:v>1.55</c:v>
                </c:pt>
                <c:pt idx="156">
                  <c:v>1.56</c:v>
                </c:pt>
                <c:pt idx="157">
                  <c:v>1.57</c:v>
                </c:pt>
                <c:pt idx="158">
                  <c:v>1.58</c:v>
                </c:pt>
                <c:pt idx="159">
                  <c:v>1.59</c:v>
                </c:pt>
                <c:pt idx="160">
                  <c:v>1.6</c:v>
                </c:pt>
                <c:pt idx="161">
                  <c:v>1.61</c:v>
                </c:pt>
                <c:pt idx="162">
                  <c:v>1.62</c:v>
                </c:pt>
                <c:pt idx="163">
                  <c:v>1.63</c:v>
                </c:pt>
                <c:pt idx="164">
                  <c:v>1.64</c:v>
                </c:pt>
                <c:pt idx="165">
                  <c:v>1.65</c:v>
                </c:pt>
                <c:pt idx="166">
                  <c:v>1.66</c:v>
                </c:pt>
                <c:pt idx="167">
                  <c:v>1.67</c:v>
                </c:pt>
                <c:pt idx="168">
                  <c:v>1.68</c:v>
                </c:pt>
                <c:pt idx="169">
                  <c:v>1.69</c:v>
                </c:pt>
                <c:pt idx="170">
                  <c:v>1.7</c:v>
                </c:pt>
                <c:pt idx="171">
                  <c:v>1.71</c:v>
                </c:pt>
                <c:pt idx="172">
                  <c:v>1.72</c:v>
                </c:pt>
                <c:pt idx="173">
                  <c:v>1.73</c:v>
                </c:pt>
                <c:pt idx="174">
                  <c:v>1.74</c:v>
                </c:pt>
                <c:pt idx="175">
                  <c:v>1.75</c:v>
                </c:pt>
                <c:pt idx="176">
                  <c:v>1.76</c:v>
                </c:pt>
                <c:pt idx="177">
                  <c:v>1.77</c:v>
                </c:pt>
                <c:pt idx="178">
                  <c:v>1.78</c:v>
                </c:pt>
                <c:pt idx="179">
                  <c:v>1.79</c:v>
                </c:pt>
                <c:pt idx="180">
                  <c:v>1.8</c:v>
                </c:pt>
                <c:pt idx="181">
                  <c:v>1.81</c:v>
                </c:pt>
                <c:pt idx="182">
                  <c:v>1.82</c:v>
                </c:pt>
                <c:pt idx="183">
                  <c:v>1.83</c:v>
                </c:pt>
                <c:pt idx="184">
                  <c:v>1.84</c:v>
                </c:pt>
                <c:pt idx="185">
                  <c:v>1.85</c:v>
                </c:pt>
                <c:pt idx="186">
                  <c:v>1.86</c:v>
                </c:pt>
                <c:pt idx="187">
                  <c:v>1.87</c:v>
                </c:pt>
                <c:pt idx="188">
                  <c:v>1.88</c:v>
                </c:pt>
                <c:pt idx="189">
                  <c:v>1.89</c:v>
                </c:pt>
                <c:pt idx="190">
                  <c:v>1.9</c:v>
                </c:pt>
                <c:pt idx="191">
                  <c:v>1.91</c:v>
                </c:pt>
                <c:pt idx="192">
                  <c:v>1.92</c:v>
                </c:pt>
                <c:pt idx="193">
                  <c:v>1.93</c:v>
                </c:pt>
                <c:pt idx="194">
                  <c:v>1.94</c:v>
                </c:pt>
                <c:pt idx="195">
                  <c:v>1.95</c:v>
                </c:pt>
                <c:pt idx="196">
                  <c:v>1.96</c:v>
                </c:pt>
                <c:pt idx="197">
                  <c:v>1.97</c:v>
                </c:pt>
                <c:pt idx="198">
                  <c:v>1.98</c:v>
                </c:pt>
                <c:pt idx="199">
                  <c:v>1.99</c:v>
                </c:pt>
                <c:pt idx="200">
                  <c:v>2</c:v>
                </c:pt>
              </c:numCache>
            </c:numRef>
          </c:xVal>
          <c:yVal>
            <c:numRef>
              <c:f>'Power Calculations'!$AG$9:$AG$209</c:f>
              <c:numCache>
                <c:formatCode>0.0000</c:formatCode>
                <c:ptCount val="201"/>
                <c:pt idx="0">
                  <c:v>4.5975265671141996E-3</c:v>
                </c:pt>
                <c:pt idx="1">
                  <c:v>4.7942668774242385E-3</c:v>
                </c:pt>
                <c:pt idx="2">
                  <c:v>4.9936491187741478E-3</c:v>
                </c:pt>
                <c:pt idx="3">
                  <c:v>5.1956731909432062E-3</c:v>
                </c:pt>
                <c:pt idx="4">
                  <c:v>5.4003390003583233E-3</c:v>
                </c:pt>
                <c:pt idx="5">
                  <c:v>5.6076464600921571E-3</c:v>
                </c:pt>
                <c:pt idx="6">
                  <c:v>5.8175954898612939E-3</c:v>
                </c:pt>
                <c:pt idx="7">
                  <c:v>6.0301860160244577E-3</c:v>
                </c:pt>
                <c:pt idx="8">
                  <c:v>6.2454179715807651E-3</c:v>
                </c:pt>
                <c:pt idx="9">
                  <c:v>6.4632912961680262E-3</c:v>
                </c:pt>
                <c:pt idx="10">
                  <c:v>6.6838059360610725E-3</c:v>
                </c:pt>
                <c:pt idx="11">
                  <c:v>6.9069618441701544E-3</c:v>
                </c:pt>
                <c:pt idx="12">
                  <c:v>7.1327589800393495E-3</c:v>
                </c:pt>
                <c:pt idx="13">
                  <c:v>7.3611973098450384E-3</c:v>
                </c:pt>
                <c:pt idx="14">
                  <c:v>7.592276806394402E-3</c:v>
                </c:pt>
                <c:pt idx="15">
                  <c:v>7.8259974491239857E-3</c:v>
                </c:pt>
                <c:pt idx="16">
                  <c:v>8.0623592240982728E-3</c:v>
                </c:pt>
                <c:pt idx="17">
                  <c:v>8.3013621240083258E-3</c:v>
                </c:pt>
                <c:pt idx="18">
                  <c:v>8.543006148170466E-3</c:v>
                </c:pt>
                <c:pt idx="19">
                  <c:v>8.7872913025249799E-3</c:v>
                </c:pt>
                <c:pt idx="20">
                  <c:v>9.034217599634891E-3</c:v>
                </c:pt>
                <c:pt idx="21">
                  <c:v>9.2837850586847352E-3</c:v>
                </c:pt>
                <c:pt idx="22">
                  <c:v>9.5359937054794366E-3</c:v>
                </c:pt>
                <c:pt idx="23">
                  <c:v>9.8912372488842541E-3</c:v>
                </c:pt>
                <c:pt idx="24">
                  <c:v>1.0343376419851131E-2</c:v>
                </c:pt>
                <c:pt idx="25">
                  <c:v>1.0798160962495515E-2</c:v>
                </c:pt>
                <c:pt idx="26">
                  <c:v>1.1255591175085108E-2</c:v>
                </c:pt>
                <c:pt idx="27">
                  <c:v>1.1715667362479538E-2</c:v>
                </c:pt>
                <c:pt idx="28">
                  <c:v>1.2178389836130473E-2</c:v>
                </c:pt>
                <c:pt idx="29">
                  <c:v>1.2643758914081798E-2</c:v>
                </c:pt>
                <c:pt idx="30">
                  <c:v>1.3111774920969824E-2</c:v>
                </c:pt>
                <c:pt idx="31">
                  <c:v>1.3582438188023519E-2</c:v>
                </c:pt>
                <c:pt idx="32">
                  <c:v>1.4055749053064816E-2</c:v>
                </c:pt>
                <c:pt idx="33">
                  <c:v>1.4531707860508933E-2</c:v>
                </c:pt>
                <c:pt idx="34">
                  <c:v>1.5010314961364738E-2</c:v>
                </c:pt>
                <c:pt idx="35">
                  <c:v>1.5491570713235186E-2</c:v>
                </c:pt>
                <c:pt idx="36">
                  <c:v>1.597547548031775E-2</c:v>
                </c:pt>
                <c:pt idx="37">
                  <c:v>1.6462029633404922E-2</c:v>
                </c:pt>
                <c:pt idx="38">
                  <c:v>1.6951233549884752E-2</c:v>
                </c:pt>
                <c:pt idx="39">
                  <c:v>1.7443087613741429E-2</c:v>
                </c:pt>
                <c:pt idx="40">
                  <c:v>1.7937592215555895E-2</c:v>
                </c:pt>
                <c:pt idx="41">
                  <c:v>1.8434747752506496E-2</c:v>
                </c:pt>
                <c:pt idx="42">
                  <c:v>1.8934554628369713E-2</c:v>
                </c:pt>
                <c:pt idx="43">
                  <c:v>1.9437013253520874E-2</c:v>
                </c:pt>
                <c:pt idx="44">
                  <c:v>1.994212404493495E-2</c:v>
                </c:pt>
                <c:pt idx="45">
                  <c:v>2.0449887426187374E-2</c:v>
                </c:pt>
                <c:pt idx="46">
                  <c:v>2.0960303827454931E-2</c:v>
                </c:pt>
                <c:pt idx="47">
                  <c:v>2.147337368551662E-2</c:v>
                </c:pt>
                <c:pt idx="48">
                  <c:v>2.1989097443754657E-2</c:v>
                </c:pt>
                <c:pt idx="49">
                  <c:v>2.2507475552155421E-2</c:v>
                </c:pt>
                <c:pt idx="50">
                  <c:v>2.3028508467310495E-2</c:v>
                </c:pt>
                <c:pt idx="51">
                  <c:v>2.3552196652417774E-2</c:v>
                </c:pt>
                <c:pt idx="52">
                  <c:v>2.4078540577282512E-2</c:v>
                </c:pt>
                <c:pt idx="53">
                  <c:v>2.4607540718318544E-2</c:v>
                </c:pt>
                <c:pt idx="54">
                  <c:v>2.5139197558549438E-2</c:v>
                </c:pt>
                <c:pt idx="55">
                  <c:v>2.5673511587609735E-2</c:v>
                </c:pt>
                <c:pt idx="56">
                  <c:v>2.621048330174627E-2</c:v>
                </c:pt>
                <c:pt idx="57">
                  <c:v>2.6750113203819433E-2</c:v>
                </c:pt>
                <c:pt idx="58">
                  <c:v>2.7292401803304559E-2</c:v>
                </c:pt>
                <c:pt idx="59">
                  <c:v>2.7837349616293344E-2</c:v>
                </c:pt>
                <c:pt idx="60">
                  <c:v>2.8384957165495259E-2</c:v>
                </c:pt>
                <c:pt idx="61">
                  <c:v>2.8935224980239045E-2</c:v>
                </c:pt>
                <c:pt idx="62">
                  <c:v>2.9488153596474252E-2</c:v>
                </c:pt>
                <c:pt idx="63">
                  <c:v>3.0043743556772789E-2</c:v>
                </c:pt>
                <c:pt idx="64">
                  <c:v>3.0601995410330533E-2</c:v>
                </c:pt>
                <c:pt idx="65">
                  <c:v>3.1162909712969013E-2</c:v>
                </c:pt>
                <c:pt idx="66">
                  <c:v>3.1726487027137033E-2</c:v>
                </c:pt>
                <c:pt idx="67">
                  <c:v>3.2292727921912449E-2</c:v>
                </c:pt>
                <c:pt idx="68">
                  <c:v>3.2861632973003985E-2</c:v>
                </c:pt>
                <c:pt idx="69">
                  <c:v>3.3433202762752925E-2</c:v>
                </c:pt>
                <c:pt idx="70">
                  <c:v>3.4007437880135119E-2</c:v>
                </c:pt>
                <c:pt idx="71">
                  <c:v>3.4584338920762764E-2</c:v>
                </c:pt>
                <c:pt idx="72">
                  <c:v>3.5163906486886366E-2</c:v>
                </c:pt>
                <c:pt idx="73">
                  <c:v>3.5746141187396802E-2</c:v>
                </c:pt>
                <c:pt idx="74">
                  <c:v>3.6331043637827215E-2</c:v>
                </c:pt>
                <c:pt idx="75">
                  <c:v>3.6918614460355166E-2</c:v>
                </c:pt>
                <c:pt idx="76">
                  <c:v>3.7508854283804724E-2</c:v>
                </c:pt>
                <c:pt idx="77">
                  <c:v>3.8101763743648584E-2</c:v>
                </c:pt>
                <c:pt idx="78">
                  <c:v>3.8697343482010288E-2</c:v>
                </c:pt>
                <c:pt idx="79">
                  <c:v>3.9295594147666403E-2</c:v>
                </c:pt>
                <c:pt idx="80">
                  <c:v>3.9896516396048874E-2</c:v>
                </c:pt>
                <c:pt idx="81">
                  <c:v>4.0500110889247237E-2</c:v>
                </c:pt>
                <c:pt idx="82">
                  <c:v>4.1106378296011062E-2</c:v>
                </c:pt>
                <c:pt idx="83">
                  <c:v>4.1715319291752283E-2</c:v>
                </c:pt>
                <c:pt idx="84">
                  <c:v>4.232693455854767E-2</c:v>
                </c:pt>
                <c:pt idx="85">
                  <c:v>4.2941224785141292E-2</c:v>
                </c:pt>
                <c:pt idx="86">
                  <c:v>4.355819066694705E-2</c:v>
                </c:pt>
                <c:pt idx="87">
                  <c:v>4.41778329060512E-2</c:v>
                </c:pt>
                <c:pt idx="88">
                  <c:v>4.4800152211215007E-2</c:v>
                </c:pt>
                <c:pt idx="89">
                  <c:v>4.5425149297877353E-2</c:v>
                </c:pt>
                <c:pt idx="90">
                  <c:v>4.6052824888157463E-2</c:v>
                </c:pt>
                <c:pt idx="91">
                  <c:v>4.6683179710857572E-2</c:v>
                </c:pt>
                <c:pt idx="92">
                  <c:v>4.7316214501465739E-2</c:v>
                </c:pt>
                <c:pt idx="93">
                  <c:v>4.7951930002158645E-2</c:v>
                </c:pt>
                <c:pt idx="94">
                  <c:v>4.8590326961804431E-2</c:v>
                </c:pt>
                <c:pt idx="95">
                  <c:v>4.9231406135965668E-2</c:v>
                </c:pt>
                <c:pt idx="96">
                  <c:v>4.9875168286902145E-2</c:v>
                </c:pt>
                <c:pt idx="97">
                  <c:v>5.0521614183573996E-2</c:v>
                </c:pt>
                <c:pt idx="98">
                  <c:v>5.1170744601644655E-2</c:v>
                </c:pt>
                <c:pt idx="99">
                  <c:v>5.1822560323483882E-2</c:v>
                </c:pt>
                <c:pt idx="100">
                  <c:v>5.2477062138170966E-2</c:v>
                </c:pt>
                <c:pt idx="101">
                  <c:v>5.3134250841497754E-2</c:v>
                </c:pt>
                <c:pt idx="102">
                  <c:v>5.379412723597192E-2</c:v>
                </c:pt>
                <c:pt idx="103">
                  <c:v>5.4456692130820161E-2</c:v>
                </c:pt>
                <c:pt idx="104">
                  <c:v>5.5121946341991503E-2</c:v>
                </c:pt>
                <c:pt idx="105">
                  <c:v>5.5789890692160546E-2</c:v>
                </c:pt>
                <c:pt idx="106">
                  <c:v>5.6460526010730899E-2</c:v>
                </c:pt>
                <c:pt idx="107">
                  <c:v>5.7133853133838508E-2</c:v>
                </c:pt>
                <c:pt idx="108">
                  <c:v>5.7809872904355158E-2</c:v>
                </c:pt>
                <c:pt idx="109">
                  <c:v>5.8488586171891899E-2</c:v>
                </c:pt>
                <c:pt idx="110">
                  <c:v>5.9169993792802598E-2</c:v>
                </c:pt>
                <c:pt idx="111">
                  <c:v>5.9854096630187502E-2</c:v>
                </c:pt>
                <c:pt idx="112">
                  <c:v>6.054089555389687E-2</c:v>
                </c:pt>
                <c:pt idx="113">
                  <c:v>6.1230391440534569E-2</c:v>
                </c:pt>
                <c:pt idx="114">
                  <c:v>6.1922585173461803E-2</c:v>
                </c:pt>
                <c:pt idx="115">
                  <c:v>6.2617477642800859E-2</c:v>
                </c:pt>
                <c:pt idx="116">
                  <c:v>6.3315069745438837E-2</c:v>
                </c:pt>
                <c:pt idx="117">
                  <c:v>6.4015362385031541E-2</c:v>
                </c:pt>
                <c:pt idx="118">
                  <c:v>6.4718356472007285E-2</c:v>
                </c:pt>
                <c:pt idx="119">
                  <c:v>6.5424052923570772E-2</c:v>
                </c:pt>
                <c:pt idx="120">
                  <c:v>6.6132452663707125E-2</c:v>
                </c:pt>
                <c:pt idx="121">
                  <c:v>6.6843556623185849E-2</c:v>
                </c:pt>
                <c:pt idx="122">
                  <c:v>6.7557365739564793E-2</c:v>
                </c:pt>
                <c:pt idx="123">
                  <c:v>6.8273880957194333E-2</c:v>
                </c:pt>
                <c:pt idx="124">
                  <c:v>6.899310322722145E-2</c:v>
                </c:pt>
                <c:pt idx="125">
                  <c:v>6.9715033507593796E-2</c:v>
                </c:pt>
                <c:pt idx="126">
                  <c:v>7.0439672763064037E-2</c:v>
                </c:pt>
                <c:pt idx="127">
                  <c:v>7.1167021965194019E-2</c:v>
                </c:pt>
                <c:pt idx="128">
                  <c:v>7.1897082092359108E-2</c:v>
                </c:pt>
                <c:pt idx="129">
                  <c:v>7.2629854129752466E-2</c:v>
                </c:pt>
                <c:pt idx="130">
                  <c:v>7.3365339069389426E-2</c:v>
                </c:pt>
                <c:pt idx="131">
                  <c:v>7.4103537910111983E-2</c:v>
                </c:pt>
                <c:pt idx="132">
                  <c:v>7.4844451657593167E-2</c:v>
                </c:pt>
                <c:pt idx="133">
                  <c:v>7.5588081324341583E-2</c:v>
                </c:pt>
                <c:pt idx="134">
                  <c:v>7.6334427929705989E-2</c:v>
                </c:pt>
                <c:pt idx="135">
                  <c:v>7.7083492499879822E-2</c:v>
                </c:pt>
                <c:pt idx="136">
                  <c:v>7.7835276067905856E-2</c:v>
                </c:pt>
                <c:pt idx="137">
                  <c:v>7.8589779673680887E-2</c:v>
                </c:pt>
                <c:pt idx="138">
                  <c:v>7.9347004363960458E-2</c:v>
                </c:pt>
                <c:pt idx="139">
                  <c:v>8.0106951192363607E-2</c:v>
                </c:pt>
                <c:pt idx="140">
                  <c:v>8.0869621219377685E-2</c:v>
                </c:pt>
                <c:pt idx="141">
                  <c:v>8.1635015512363157E-2</c:v>
                </c:pt>
                <c:pt idx="142">
                  <c:v>8.2403135145558568E-2</c:v>
                </c:pt>
                <c:pt idx="143">
                  <c:v>8.3173981200085401E-2</c:v>
                </c:pt>
                <c:pt idx="144">
                  <c:v>8.3947554763953131E-2</c:v>
                </c:pt>
                <c:pt idx="145">
                  <c:v>8.4723856932064232E-2</c:v>
                </c:pt>
                <c:pt idx="146">
                  <c:v>8.5502888806219132E-2</c:v>
                </c:pt>
                <c:pt idx="147">
                  <c:v>8.6284651495121489E-2</c:v>
                </c:pt>
                <c:pt idx="148">
                  <c:v>8.7069146114383267E-2</c:v>
                </c:pt>
                <c:pt idx="149">
                  <c:v>8.7856373786529926E-2</c:v>
                </c:pt>
                <c:pt idx="150">
                  <c:v>8.8646335641005602E-2</c:v>
                </c:pt>
                <c:pt idx="151">
                  <c:v>8.9439032814178587E-2</c:v>
                </c:pt>
                <c:pt idx="152">
                  <c:v>9.023446644934642E-2</c:v>
                </c:pt>
                <c:pt idx="153">
                  <c:v>9.1032637696741442E-2</c:v>
                </c:pt>
                <c:pt idx="154">
                  <c:v>9.1833547713536093E-2</c:v>
                </c:pt>
                <c:pt idx="155">
                  <c:v>9.2637197663848439E-2</c:v>
                </c:pt>
                <c:pt idx="156">
                  <c:v>9.3443588718747653E-2</c:v>
                </c:pt>
                <c:pt idx="157">
                  <c:v>9.4252722056259536E-2</c:v>
                </c:pt>
                <c:pt idx="158">
                  <c:v>9.5064598861372224E-2</c:v>
                </c:pt>
                <c:pt idx="159">
                  <c:v>9.5879220326041695E-2</c:v>
                </c:pt>
                <c:pt idx="160">
                  <c:v>9.669658764919746E-2</c:v>
                </c:pt>
                <c:pt idx="161">
                  <c:v>9.7516702036748351E-2</c:v>
                </c:pt>
                <c:pt idx="162">
                  <c:v>9.833956470158832E-2</c:v>
                </c:pt>
                <c:pt idx="163">
                  <c:v>9.91651768636021E-2</c:v>
                </c:pt>
                <c:pt idx="164">
                  <c:v>9.9993539749671262E-2</c:v>
                </c:pt>
                <c:pt idx="165">
                  <c:v>0.10082465459367995</c:v>
                </c:pt>
                <c:pt idx="166">
                  <c:v>0.10165852263652095</c:v>
                </c:pt>
                <c:pt idx="167">
                  <c:v>0.10249514512610156</c:v>
                </c:pt>
                <c:pt idx="168">
                  <c:v>0.10333452331734981</c:v>
                </c:pt>
                <c:pt idx="169">
                  <c:v>0.10417665847222032</c:v>
                </c:pt>
                <c:pt idx="170">
                  <c:v>0.10502155185970062</c:v>
                </c:pt>
                <c:pt idx="171">
                  <c:v>0.10586920475581724</c:v>
                </c:pt>
                <c:pt idx="172">
                  <c:v>0.10671961844364189</c:v>
                </c:pt>
                <c:pt idx="173">
                  <c:v>0.10757279421329781</c:v>
                </c:pt>
                <c:pt idx="174">
                  <c:v>0.10842873336196598</c:v>
                </c:pt>
                <c:pt idx="175">
                  <c:v>0.1092874371938916</c:v>
                </c:pt>
                <c:pt idx="176">
                  <c:v>0.11014890702039032</c:v>
                </c:pt>
                <c:pt idx="177">
                  <c:v>0.11101314415985486</c:v>
                </c:pt>
                <c:pt idx="178">
                  <c:v>0.11188014993776139</c:v>
                </c:pt>
                <c:pt idx="179">
                  <c:v>0.11274992568667611</c:v>
                </c:pt>
                <c:pt idx="180">
                  <c:v>0.11362247274626176</c:v>
                </c:pt>
                <c:pt idx="181">
                  <c:v>0.11449779246328436</c:v>
                </c:pt>
                <c:pt idx="182">
                  <c:v>0.11537588619161972</c:v>
                </c:pt>
                <c:pt idx="183">
                  <c:v>0.1162567552922604</c:v>
                </c:pt>
                <c:pt idx="184">
                  <c:v>0.11714040113332219</c:v>
                </c:pt>
                <c:pt idx="185">
                  <c:v>0.11802682509005111</c:v>
                </c:pt>
                <c:pt idx="186">
                  <c:v>0.11891602854483027</c:v>
                </c:pt>
                <c:pt idx="187">
                  <c:v>0.11980801288718661</c:v>
                </c:pt>
                <c:pt idx="188">
                  <c:v>0.12070277951379797</c:v>
                </c:pt>
                <c:pt idx="189">
                  <c:v>0.12160032982850019</c:v>
                </c:pt>
                <c:pt idx="190">
                  <c:v>0.12250066524229382</c:v>
                </c:pt>
                <c:pt idx="191">
                  <c:v>0.12340378717335149</c:v>
                </c:pt>
                <c:pt idx="192">
                  <c:v>0.12430969704702505</c:v>
                </c:pt>
                <c:pt idx="193">
                  <c:v>0.12521839629585252</c:v>
                </c:pt>
                <c:pt idx="194">
                  <c:v>0.12612988635956549</c:v>
                </c:pt>
                <c:pt idx="195">
                  <c:v>0.12704416868509638</c:v>
                </c:pt>
                <c:pt idx="196">
                  <c:v>0.12796124472658571</c:v>
                </c:pt>
                <c:pt idx="197">
                  <c:v>0.12888111594538948</c:v>
                </c:pt>
                <c:pt idx="198">
                  <c:v>0.12980378381008661</c:v>
                </c:pt>
                <c:pt idx="199">
                  <c:v>0.13072924979648631</c:v>
                </c:pt>
                <c:pt idx="200">
                  <c:v>0.1316575153876357</c:v>
                </c:pt>
              </c:numCache>
            </c:numRef>
          </c:yVal>
          <c:smooth val="0"/>
          <c:extLst>
            <c:ext xmlns:c16="http://schemas.microsoft.com/office/drawing/2014/chart" uri="{C3380CC4-5D6E-409C-BE32-E72D297353CC}">
              <c16:uniqueId val="{00000001-224D-4C5D-9638-87D4BF1AF418}"/>
            </c:ext>
          </c:extLst>
        </c:ser>
        <c:ser>
          <c:idx val="0"/>
          <c:order val="2"/>
          <c:tx>
            <c:v>Inductor Loss</c:v>
          </c:tx>
          <c:spPr>
            <a:ln w="38100">
              <a:solidFill>
                <a:srgbClr val="FF6600"/>
              </a:solidFill>
              <a:prstDash val="solid"/>
            </a:ln>
          </c:spPr>
          <c:marker>
            <c:symbol val="none"/>
          </c:marker>
          <c:xVal>
            <c:numRef>
              <c:f>'Power Calculations'!$H$9:$H$209</c:f>
              <c:numCache>
                <c:formatCode>General</c:formatCode>
                <c:ptCount val="201"/>
                <c:pt idx="0">
                  <c:v>0</c:v>
                </c:pt>
                <c:pt idx="1">
                  <c:v>0.01</c:v>
                </c:pt>
                <c:pt idx="2">
                  <c:v>0.02</c:v>
                </c:pt>
                <c:pt idx="3">
                  <c:v>0.03</c:v>
                </c:pt>
                <c:pt idx="4">
                  <c:v>0.04</c:v>
                </c:pt>
                <c:pt idx="5">
                  <c:v>0.05</c:v>
                </c:pt>
                <c:pt idx="6">
                  <c:v>0.06</c:v>
                </c:pt>
                <c:pt idx="7">
                  <c:v>7.0000000000000007E-2</c:v>
                </c:pt>
                <c:pt idx="8">
                  <c:v>0.08</c:v>
                </c:pt>
                <c:pt idx="9">
                  <c:v>0.09</c:v>
                </c:pt>
                <c:pt idx="10">
                  <c:v>0.1</c:v>
                </c:pt>
                <c:pt idx="11">
                  <c:v>0.11</c:v>
                </c:pt>
                <c:pt idx="12">
                  <c:v>0.12</c:v>
                </c:pt>
                <c:pt idx="13">
                  <c:v>0.13</c:v>
                </c:pt>
                <c:pt idx="14">
                  <c:v>0.14000000000000001</c:v>
                </c:pt>
                <c:pt idx="15">
                  <c:v>0.15</c:v>
                </c:pt>
                <c:pt idx="16">
                  <c:v>0.16</c:v>
                </c:pt>
                <c:pt idx="17">
                  <c:v>0.17</c:v>
                </c:pt>
                <c:pt idx="18">
                  <c:v>0.18</c:v>
                </c:pt>
                <c:pt idx="19">
                  <c:v>0.19</c:v>
                </c:pt>
                <c:pt idx="20">
                  <c:v>0.2</c:v>
                </c:pt>
                <c:pt idx="21">
                  <c:v>0.21</c:v>
                </c:pt>
                <c:pt idx="22">
                  <c:v>0.22</c:v>
                </c:pt>
                <c:pt idx="23">
                  <c:v>0.23</c:v>
                </c:pt>
                <c:pt idx="24">
                  <c:v>0.24</c:v>
                </c:pt>
                <c:pt idx="25">
                  <c:v>0.25</c:v>
                </c:pt>
                <c:pt idx="26">
                  <c:v>0.26</c:v>
                </c:pt>
                <c:pt idx="27">
                  <c:v>0.27</c:v>
                </c:pt>
                <c:pt idx="28">
                  <c:v>0.28000000000000003</c:v>
                </c:pt>
                <c:pt idx="29">
                  <c:v>0.28999999999999998</c:v>
                </c:pt>
                <c:pt idx="30">
                  <c:v>0.3</c:v>
                </c:pt>
                <c:pt idx="31">
                  <c:v>0.31</c:v>
                </c:pt>
                <c:pt idx="32">
                  <c:v>0.32</c:v>
                </c:pt>
                <c:pt idx="33">
                  <c:v>0.33</c:v>
                </c:pt>
                <c:pt idx="34">
                  <c:v>0.34</c:v>
                </c:pt>
                <c:pt idx="35">
                  <c:v>0.35</c:v>
                </c:pt>
                <c:pt idx="36">
                  <c:v>0.36</c:v>
                </c:pt>
                <c:pt idx="37">
                  <c:v>0.37</c:v>
                </c:pt>
                <c:pt idx="38">
                  <c:v>0.38</c:v>
                </c:pt>
                <c:pt idx="39">
                  <c:v>0.39</c:v>
                </c:pt>
                <c:pt idx="40">
                  <c:v>0.4</c:v>
                </c:pt>
                <c:pt idx="41">
                  <c:v>0.41</c:v>
                </c:pt>
                <c:pt idx="42">
                  <c:v>0.42</c:v>
                </c:pt>
                <c:pt idx="43">
                  <c:v>0.43</c:v>
                </c:pt>
                <c:pt idx="44">
                  <c:v>0.44</c:v>
                </c:pt>
                <c:pt idx="45">
                  <c:v>0.45</c:v>
                </c:pt>
                <c:pt idx="46">
                  <c:v>0.46</c:v>
                </c:pt>
                <c:pt idx="47">
                  <c:v>0.47</c:v>
                </c:pt>
                <c:pt idx="48">
                  <c:v>0.48</c:v>
                </c:pt>
                <c:pt idx="49">
                  <c:v>0.49</c:v>
                </c:pt>
                <c:pt idx="50">
                  <c:v>0.5</c:v>
                </c:pt>
                <c:pt idx="51">
                  <c:v>0.51</c:v>
                </c:pt>
                <c:pt idx="52">
                  <c:v>0.52</c:v>
                </c:pt>
                <c:pt idx="53">
                  <c:v>0.53</c:v>
                </c:pt>
                <c:pt idx="54">
                  <c:v>0.54</c:v>
                </c:pt>
                <c:pt idx="55">
                  <c:v>0.55000000000000004</c:v>
                </c:pt>
                <c:pt idx="56">
                  <c:v>0.56000000000000005</c:v>
                </c:pt>
                <c:pt idx="57">
                  <c:v>0.56999999999999995</c:v>
                </c:pt>
                <c:pt idx="58">
                  <c:v>0.57999999999999996</c:v>
                </c:pt>
                <c:pt idx="59">
                  <c:v>0.59</c:v>
                </c:pt>
                <c:pt idx="60">
                  <c:v>0.6</c:v>
                </c:pt>
                <c:pt idx="61">
                  <c:v>0.61</c:v>
                </c:pt>
                <c:pt idx="62">
                  <c:v>0.62</c:v>
                </c:pt>
                <c:pt idx="63">
                  <c:v>0.63</c:v>
                </c:pt>
                <c:pt idx="64">
                  <c:v>0.64</c:v>
                </c:pt>
                <c:pt idx="65">
                  <c:v>0.65</c:v>
                </c:pt>
                <c:pt idx="66">
                  <c:v>0.66</c:v>
                </c:pt>
                <c:pt idx="67">
                  <c:v>0.67</c:v>
                </c:pt>
                <c:pt idx="68">
                  <c:v>0.68</c:v>
                </c:pt>
                <c:pt idx="69">
                  <c:v>0.69</c:v>
                </c:pt>
                <c:pt idx="70">
                  <c:v>0.7</c:v>
                </c:pt>
                <c:pt idx="71">
                  <c:v>0.71</c:v>
                </c:pt>
                <c:pt idx="72">
                  <c:v>0.72</c:v>
                </c:pt>
                <c:pt idx="73">
                  <c:v>0.73</c:v>
                </c:pt>
                <c:pt idx="74">
                  <c:v>0.74</c:v>
                </c:pt>
                <c:pt idx="75">
                  <c:v>0.75</c:v>
                </c:pt>
                <c:pt idx="76">
                  <c:v>0.76</c:v>
                </c:pt>
                <c:pt idx="77">
                  <c:v>0.77</c:v>
                </c:pt>
                <c:pt idx="78">
                  <c:v>0.78</c:v>
                </c:pt>
                <c:pt idx="79">
                  <c:v>0.79</c:v>
                </c:pt>
                <c:pt idx="80">
                  <c:v>0.8</c:v>
                </c:pt>
                <c:pt idx="81">
                  <c:v>0.81</c:v>
                </c:pt>
                <c:pt idx="82">
                  <c:v>0.82</c:v>
                </c:pt>
                <c:pt idx="83">
                  <c:v>0.83</c:v>
                </c:pt>
                <c:pt idx="84">
                  <c:v>0.84</c:v>
                </c:pt>
                <c:pt idx="85">
                  <c:v>0.85</c:v>
                </c:pt>
                <c:pt idx="86">
                  <c:v>0.86</c:v>
                </c:pt>
                <c:pt idx="87">
                  <c:v>0.87</c:v>
                </c:pt>
                <c:pt idx="88">
                  <c:v>0.88</c:v>
                </c:pt>
                <c:pt idx="89">
                  <c:v>0.89</c:v>
                </c:pt>
                <c:pt idx="90">
                  <c:v>0.9</c:v>
                </c:pt>
                <c:pt idx="91">
                  <c:v>0.91</c:v>
                </c:pt>
                <c:pt idx="92">
                  <c:v>0.92</c:v>
                </c:pt>
                <c:pt idx="93">
                  <c:v>0.93</c:v>
                </c:pt>
                <c:pt idx="94">
                  <c:v>0.94</c:v>
                </c:pt>
                <c:pt idx="95">
                  <c:v>0.95</c:v>
                </c:pt>
                <c:pt idx="96">
                  <c:v>0.96</c:v>
                </c:pt>
                <c:pt idx="97">
                  <c:v>0.97</c:v>
                </c:pt>
                <c:pt idx="98">
                  <c:v>0.98</c:v>
                </c:pt>
                <c:pt idx="99">
                  <c:v>0.99</c:v>
                </c:pt>
                <c:pt idx="100">
                  <c:v>1</c:v>
                </c:pt>
                <c:pt idx="101">
                  <c:v>1.01</c:v>
                </c:pt>
                <c:pt idx="102">
                  <c:v>1.02</c:v>
                </c:pt>
                <c:pt idx="103">
                  <c:v>1.03</c:v>
                </c:pt>
                <c:pt idx="104">
                  <c:v>1.04</c:v>
                </c:pt>
                <c:pt idx="105">
                  <c:v>1.05</c:v>
                </c:pt>
                <c:pt idx="106">
                  <c:v>1.06</c:v>
                </c:pt>
                <c:pt idx="107">
                  <c:v>1.07</c:v>
                </c:pt>
                <c:pt idx="108">
                  <c:v>1.08</c:v>
                </c:pt>
                <c:pt idx="109">
                  <c:v>1.0900000000000001</c:v>
                </c:pt>
                <c:pt idx="110">
                  <c:v>1.1000000000000001</c:v>
                </c:pt>
                <c:pt idx="111">
                  <c:v>1.1100000000000001</c:v>
                </c:pt>
                <c:pt idx="112">
                  <c:v>1.1200000000000001</c:v>
                </c:pt>
                <c:pt idx="113">
                  <c:v>1.1299999999999999</c:v>
                </c:pt>
                <c:pt idx="114">
                  <c:v>1.1399999999999999</c:v>
                </c:pt>
                <c:pt idx="115">
                  <c:v>1.1499999999999999</c:v>
                </c:pt>
                <c:pt idx="116">
                  <c:v>1.1599999999999999</c:v>
                </c:pt>
                <c:pt idx="117">
                  <c:v>1.17</c:v>
                </c:pt>
                <c:pt idx="118">
                  <c:v>1.18</c:v>
                </c:pt>
                <c:pt idx="119">
                  <c:v>1.19</c:v>
                </c:pt>
                <c:pt idx="120">
                  <c:v>1.2</c:v>
                </c:pt>
                <c:pt idx="121">
                  <c:v>1.21</c:v>
                </c:pt>
                <c:pt idx="122">
                  <c:v>1.22</c:v>
                </c:pt>
                <c:pt idx="123">
                  <c:v>1.23</c:v>
                </c:pt>
                <c:pt idx="124">
                  <c:v>1.24</c:v>
                </c:pt>
                <c:pt idx="125">
                  <c:v>1.25</c:v>
                </c:pt>
                <c:pt idx="126">
                  <c:v>1.26</c:v>
                </c:pt>
                <c:pt idx="127">
                  <c:v>1.27</c:v>
                </c:pt>
                <c:pt idx="128">
                  <c:v>1.28</c:v>
                </c:pt>
                <c:pt idx="129">
                  <c:v>1.29</c:v>
                </c:pt>
                <c:pt idx="130">
                  <c:v>1.3</c:v>
                </c:pt>
                <c:pt idx="131">
                  <c:v>1.31</c:v>
                </c:pt>
                <c:pt idx="132">
                  <c:v>1.32</c:v>
                </c:pt>
                <c:pt idx="133">
                  <c:v>1.33</c:v>
                </c:pt>
                <c:pt idx="134">
                  <c:v>1.34</c:v>
                </c:pt>
                <c:pt idx="135">
                  <c:v>1.35</c:v>
                </c:pt>
                <c:pt idx="136">
                  <c:v>1.36</c:v>
                </c:pt>
                <c:pt idx="137">
                  <c:v>1.37</c:v>
                </c:pt>
                <c:pt idx="138">
                  <c:v>1.38</c:v>
                </c:pt>
                <c:pt idx="139">
                  <c:v>1.39</c:v>
                </c:pt>
                <c:pt idx="140">
                  <c:v>1.4</c:v>
                </c:pt>
                <c:pt idx="141">
                  <c:v>1.41</c:v>
                </c:pt>
                <c:pt idx="142">
                  <c:v>1.42</c:v>
                </c:pt>
                <c:pt idx="143">
                  <c:v>1.43</c:v>
                </c:pt>
                <c:pt idx="144">
                  <c:v>1.44</c:v>
                </c:pt>
                <c:pt idx="145">
                  <c:v>1.45</c:v>
                </c:pt>
                <c:pt idx="146">
                  <c:v>1.46</c:v>
                </c:pt>
                <c:pt idx="147">
                  <c:v>1.47</c:v>
                </c:pt>
                <c:pt idx="148">
                  <c:v>1.48</c:v>
                </c:pt>
                <c:pt idx="149">
                  <c:v>1.49</c:v>
                </c:pt>
                <c:pt idx="150">
                  <c:v>1.5</c:v>
                </c:pt>
                <c:pt idx="151">
                  <c:v>1.51</c:v>
                </c:pt>
                <c:pt idx="152">
                  <c:v>1.52</c:v>
                </c:pt>
                <c:pt idx="153">
                  <c:v>1.53</c:v>
                </c:pt>
                <c:pt idx="154">
                  <c:v>1.54</c:v>
                </c:pt>
                <c:pt idx="155">
                  <c:v>1.55</c:v>
                </c:pt>
                <c:pt idx="156">
                  <c:v>1.56</c:v>
                </c:pt>
                <c:pt idx="157">
                  <c:v>1.57</c:v>
                </c:pt>
                <c:pt idx="158">
                  <c:v>1.58</c:v>
                </c:pt>
                <c:pt idx="159">
                  <c:v>1.59</c:v>
                </c:pt>
                <c:pt idx="160">
                  <c:v>1.6</c:v>
                </c:pt>
                <c:pt idx="161">
                  <c:v>1.61</c:v>
                </c:pt>
                <c:pt idx="162">
                  <c:v>1.62</c:v>
                </c:pt>
                <c:pt idx="163">
                  <c:v>1.63</c:v>
                </c:pt>
                <c:pt idx="164">
                  <c:v>1.64</c:v>
                </c:pt>
                <c:pt idx="165">
                  <c:v>1.65</c:v>
                </c:pt>
                <c:pt idx="166">
                  <c:v>1.66</c:v>
                </c:pt>
                <c:pt idx="167">
                  <c:v>1.67</c:v>
                </c:pt>
                <c:pt idx="168">
                  <c:v>1.68</c:v>
                </c:pt>
                <c:pt idx="169">
                  <c:v>1.69</c:v>
                </c:pt>
                <c:pt idx="170">
                  <c:v>1.7</c:v>
                </c:pt>
                <c:pt idx="171">
                  <c:v>1.71</c:v>
                </c:pt>
                <c:pt idx="172">
                  <c:v>1.72</c:v>
                </c:pt>
                <c:pt idx="173">
                  <c:v>1.73</c:v>
                </c:pt>
                <c:pt idx="174">
                  <c:v>1.74</c:v>
                </c:pt>
                <c:pt idx="175">
                  <c:v>1.75</c:v>
                </c:pt>
                <c:pt idx="176">
                  <c:v>1.76</c:v>
                </c:pt>
                <c:pt idx="177">
                  <c:v>1.77</c:v>
                </c:pt>
                <c:pt idx="178">
                  <c:v>1.78</c:v>
                </c:pt>
                <c:pt idx="179">
                  <c:v>1.79</c:v>
                </c:pt>
                <c:pt idx="180">
                  <c:v>1.8</c:v>
                </c:pt>
                <c:pt idx="181">
                  <c:v>1.81</c:v>
                </c:pt>
                <c:pt idx="182">
                  <c:v>1.82</c:v>
                </c:pt>
                <c:pt idx="183">
                  <c:v>1.83</c:v>
                </c:pt>
                <c:pt idx="184">
                  <c:v>1.84</c:v>
                </c:pt>
                <c:pt idx="185">
                  <c:v>1.85</c:v>
                </c:pt>
                <c:pt idx="186">
                  <c:v>1.86</c:v>
                </c:pt>
                <c:pt idx="187">
                  <c:v>1.87</c:v>
                </c:pt>
                <c:pt idx="188">
                  <c:v>1.88</c:v>
                </c:pt>
                <c:pt idx="189">
                  <c:v>1.89</c:v>
                </c:pt>
                <c:pt idx="190">
                  <c:v>1.9</c:v>
                </c:pt>
                <c:pt idx="191">
                  <c:v>1.91</c:v>
                </c:pt>
                <c:pt idx="192">
                  <c:v>1.92</c:v>
                </c:pt>
                <c:pt idx="193">
                  <c:v>1.93</c:v>
                </c:pt>
                <c:pt idx="194">
                  <c:v>1.94</c:v>
                </c:pt>
                <c:pt idx="195">
                  <c:v>1.95</c:v>
                </c:pt>
                <c:pt idx="196">
                  <c:v>1.96</c:v>
                </c:pt>
                <c:pt idx="197">
                  <c:v>1.97</c:v>
                </c:pt>
                <c:pt idx="198">
                  <c:v>1.98</c:v>
                </c:pt>
                <c:pt idx="199">
                  <c:v>1.99</c:v>
                </c:pt>
                <c:pt idx="200">
                  <c:v>2</c:v>
                </c:pt>
              </c:numCache>
            </c:numRef>
          </c:xVal>
          <c:yVal>
            <c:numRef>
              <c:f>'Power Calculations'!$Q$9:$Q$209</c:f>
              <c:numCache>
                <c:formatCode>0.0000</c:formatCode>
                <c:ptCount val="201"/>
                <c:pt idx="0">
                  <c:v>0.20041460621540902</c:v>
                </c:pt>
                <c:pt idx="1">
                  <c:v>0.2004171490634078</c:v>
                </c:pt>
                <c:pt idx="2">
                  <c:v>0.20042463225249391</c:v>
                </c:pt>
                <c:pt idx="3">
                  <c:v>0.20043705580041213</c:v>
                </c:pt>
                <c:pt idx="4">
                  <c:v>0.20045441973662231</c:v>
                </c:pt>
                <c:pt idx="5">
                  <c:v>0.20047672410229958</c:v>
                </c:pt>
                <c:pt idx="6">
                  <c:v>0.20050396895033451</c:v>
                </c:pt>
                <c:pt idx="7">
                  <c:v>0.20053615434533356</c:v>
                </c:pt>
                <c:pt idx="8">
                  <c:v>0.20057328036361929</c:v>
                </c:pt>
                <c:pt idx="9">
                  <c:v>0.20061534709323101</c:v>
                </c:pt>
                <c:pt idx="10">
                  <c:v>0.20066235463392507</c:v>
                </c:pt>
                <c:pt idx="11">
                  <c:v>0.20071430309717569</c:v>
                </c:pt>
                <c:pt idx="12">
                  <c:v>0.20077119260617549</c:v>
                </c:pt>
                <c:pt idx="13">
                  <c:v>0.20083302329583616</c:v>
                </c:pt>
                <c:pt idx="14">
                  <c:v>0.2008997953127894</c:v>
                </c:pt>
                <c:pt idx="15">
                  <c:v>0.20097150881538772</c:v>
                </c:pt>
                <c:pt idx="16">
                  <c:v>0.2010481639737054</c:v>
                </c:pt>
                <c:pt idx="17">
                  <c:v>0.20112976096953947</c:v>
                </c:pt>
                <c:pt idx="18">
                  <c:v>0.2012162999964108</c:v>
                </c:pt>
                <c:pt idx="19">
                  <c:v>0.20130778125956528</c:v>
                </c:pt>
                <c:pt idx="20">
                  <c:v>0.20140420497597492</c:v>
                </c:pt>
                <c:pt idx="21">
                  <c:v>0.20150557137433933</c:v>
                </c:pt>
                <c:pt idx="22">
                  <c:v>0.20161188069508695</c:v>
                </c:pt>
                <c:pt idx="23">
                  <c:v>0.20172313319037644</c:v>
                </c:pt>
                <c:pt idx="24">
                  <c:v>0.20183932912409827</c:v>
                </c:pt>
                <c:pt idx="25">
                  <c:v>0.20196046877187626</c:v>
                </c:pt>
                <c:pt idx="26">
                  <c:v>0.20208655242106918</c:v>
                </c:pt>
                <c:pt idx="27">
                  <c:v>0.20221758037077248</c:v>
                </c:pt>
                <c:pt idx="28">
                  <c:v>0.20235355293182003</c:v>
                </c:pt>
                <c:pt idx="29">
                  <c:v>0.20249447042678609</c:v>
                </c:pt>
                <c:pt idx="30">
                  <c:v>0.20264033318998703</c:v>
                </c:pt>
                <c:pt idx="31">
                  <c:v>0.20279114156748343</c:v>
                </c:pt>
                <c:pt idx="32">
                  <c:v>0.20294689591708218</c:v>
                </c:pt>
                <c:pt idx="33">
                  <c:v>0.20310759660833841</c:v>
                </c:pt>
                <c:pt idx="34">
                  <c:v>0.20327324402255795</c:v>
                </c:pt>
                <c:pt idx="35">
                  <c:v>0.20344383855279935</c:v>
                </c:pt>
                <c:pt idx="36">
                  <c:v>0.20361938060387635</c:v>
                </c:pt>
                <c:pt idx="37">
                  <c:v>0.20379987059236029</c:v>
                </c:pt>
                <c:pt idx="38">
                  <c:v>0.20398530894658246</c:v>
                </c:pt>
                <c:pt idx="39">
                  <c:v>0.20417569610663677</c:v>
                </c:pt>
                <c:pt idx="40">
                  <c:v>0.2043710325243823</c:v>
                </c:pt>
                <c:pt idx="41">
                  <c:v>0.20457131866344597</c:v>
                </c:pt>
                <c:pt idx="42">
                  <c:v>0.20477655499922537</c:v>
                </c:pt>
                <c:pt idx="43">
                  <c:v>0.20498674201889153</c:v>
                </c:pt>
                <c:pt idx="44">
                  <c:v>0.20520188022139171</c:v>
                </c:pt>
                <c:pt idx="45">
                  <c:v>0.20542197011745261</c:v>
                </c:pt>
                <c:pt idx="46">
                  <c:v>0.20564701222958315</c:v>
                </c:pt>
                <c:pt idx="47">
                  <c:v>0.20587700709207771</c:v>
                </c:pt>
                <c:pt idx="48">
                  <c:v>0.2061119552510193</c:v>
                </c:pt>
                <c:pt idx="49">
                  <c:v>0.20635185726428276</c:v>
                </c:pt>
                <c:pt idx="50">
                  <c:v>0.20659671370153807</c:v>
                </c:pt>
                <c:pt idx="51">
                  <c:v>0.20684652514425375</c:v>
                </c:pt>
                <c:pt idx="52">
                  <c:v>0.20710129218570034</c:v>
                </c:pt>
                <c:pt idx="53">
                  <c:v>0.20736101543095392</c:v>
                </c:pt>
                <c:pt idx="54">
                  <c:v>0.20762569549689966</c:v>
                </c:pt>
                <c:pt idx="55">
                  <c:v>0.20789533301223553</c:v>
                </c:pt>
                <c:pt idx="56">
                  <c:v>0.20816992861747596</c:v>
                </c:pt>
                <c:pt idx="57">
                  <c:v>0.20844948296495583</c:v>
                </c:pt>
                <c:pt idx="58">
                  <c:v>0.20873399671883408</c:v>
                </c:pt>
                <c:pt idx="59">
                  <c:v>0.2090234705550979</c:v>
                </c:pt>
                <c:pt idx="60">
                  <c:v>0.20931790516156665</c:v>
                </c:pt>
                <c:pt idx="61">
                  <c:v>0.20961730123789588</c:v>
                </c:pt>
                <c:pt idx="62">
                  <c:v>0.20992165949558161</c:v>
                </c:pt>
                <c:pt idx="63">
                  <c:v>0.2102309806579645</c:v>
                </c:pt>
                <c:pt idx="64">
                  <c:v>0.21054526546023419</c:v>
                </c:pt>
                <c:pt idx="65">
                  <c:v>0.21086451464943362</c:v>
                </c:pt>
                <c:pt idx="66">
                  <c:v>0.2111887289844635</c:v>
                </c:pt>
                <c:pt idx="67">
                  <c:v>0.21151790923608682</c:v>
                </c:pt>
                <c:pt idx="68">
                  <c:v>0.21185205618693345</c:v>
                </c:pt>
                <c:pt idx="69">
                  <c:v>0.21219117063150481</c:v>
                </c:pt>
                <c:pt idx="70">
                  <c:v>0.21253525337617854</c:v>
                </c:pt>
                <c:pt idx="71">
                  <c:v>0.21288430523921337</c:v>
                </c:pt>
                <c:pt idx="72">
                  <c:v>0.21323832705075393</c:v>
                </c:pt>
                <c:pt idx="73">
                  <c:v>0.21359731965283577</c:v>
                </c:pt>
                <c:pt idx="74">
                  <c:v>0.21396128389939023</c:v>
                </c:pt>
                <c:pt idx="75">
                  <c:v>0.21433022065624971</c:v>
                </c:pt>
                <c:pt idx="76">
                  <c:v>0.21470413080115267</c:v>
                </c:pt>
                <c:pt idx="77">
                  <c:v>0.21508301522374898</c:v>
                </c:pt>
                <c:pt idx="78">
                  <c:v>0.21546687482560514</c:v>
                </c:pt>
                <c:pt idx="79">
                  <c:v>0.21585571052020966</c:v>
                </c:pt>
                <c:pt idx="80">
                  <c:v>0.21624952323297852</c:v>
                </c:pt>
                <c:pt idx="81">
                  <c:v>0.21664831390126071</c:v>
                </c:pt>
                <c:pt idx="82">
                  <c:v>0.21705208347434379</c:v>
                </c:pt>
                <c:pt idx="83">
                  <c:v>0.2174608329134595</c:v>
                </c:pt>
                <c:pt idx="84">
                  <c:v>0.21787456319178958</c:v>
                </c:pt>
                <c:pt idx="85">
                  <c:v>0.21829327529447154</c:v>
                </c:pt>
                <c:pt idx="86">
                  <c:v>0.21871697021860448</c:v>
                </c:pt>
                <c:pt idx="87">
                  <c:v>0.21914564897325517</c:v>
                </c:pt>
                <c:pt idx="88">
                  <c:v>0.21957931257946389</c:v>
                </c:pt>
                <c:pt idx="89">
                  <c:v>0.22001796207025068</c:v>
                </c:pt>
                <c:pt idx="90">
                  <c:v>0.22046159849062141</c:v>
                </c:pt>
                <c:pt idx="91">
                  <c:v>0.22091022289757409</c:v>
                </c:pt>
                <c:pt idx="92">
                  <c:v>0.22136383636010507</c:v>
                </c:pt>
                <c:pt idx="93">
                  <c:v>0.22182243995921552</c:v>
                </c:pt>
                <c:pt idx="94">
                  <c:v>0.22228603478791786</c:v>
                </c:pt>
                <c:pt idx="95">
                  <c:v>0.22275462195124229</c:v>
                </c:pt>
                <c:pt idx="96">
                  <c:v>0.22322820256624337</c:v>
                </c:pt>
                <c:pt idx="97">
                  <c:v>0.22370677776200668</c:v>
                </c:pt>
                <c:pt idx="98">
                  <c:v>0.22419034867965562</c:v>
                </c:pt>
                <c:pt idx="99">
                  <c:v>0.22467891647235819</c:v>
                </c:pt>
                <c:pt idx="100">
                  <c:v>0.22517248230533385</c:v>
                </c:pt>
                <c:pt idx="101">
                  <c:v>0.22567104735586063</c:v>
                </c:pt>
                <c:pt idx="102">
                  <c:v>0.22617461281328191</c:v>
                </c:pt>
                <c:pt idx="103">
                  <c:v>0.22668317987901385</c:v>
                </c:pt>
                <c:pt idx="104">
                  <c:v>0.22719674976655227</c:v>
                </c:pt>
                <c:pt idx="105">
                  <c:v>0.22771532370148018</c:v>
                </c:pt>
                <c:pt idx="106">
                  <c:v>0.22823890292147481</c:v>
                </c:pt>
                <c:pt idx="107">
                  <c:v>0.22876748867631538</c:v>
                </c:pt>
                <c:pt idx="108">
                  <c:v>0.22930108222789028</c:v>
                </c:pt>
                <c:pt idx="109">
                  <c:v>0.2298396848502047</c:v>
                </c:pt>
                <c:pt idx="110">
                  <c:v>0.23038329782938841</c:v>
                </c:pt>
                <c:pt idx="111">
                  <c:v>0.23093192246370323</c:v>
                </c:pt>
                <c:pt idx="112">
                  <c:v>0.23148556006355095</c:v>
                </c:pt>
                <c:pt idx="113">
                  <c:v>0.23204421195148117</c:v>
                </c:pt>
                <c:pt idx="114">
                  <c:v>0.23260787946219919</c:v>
                </c:pt>
                <c:pt idx="115">
                  <c:v>0.23317656394257397</c:v>
                </c:pt>
                <c:pt idx="116">
                  <c:v>0.23375026675164634</c:v>
                </c:pt>
                <c:pt idx="117">
                  <c:v>0.234328989260637</c:v>
                </c:pt>
                <c:pt idx="118">
                  <c:v>0.23491273285295483</c:v>
                </c:pt>
                <c:pt idx="119">
                  <c:v>0.23550149892420508</c:v>
                </c:pt>
                <c:pt idx="120">
                  <c:v>0.23609528888219794</c:v>
                </c:pt>
                <c:pt idx="121">
                  <c:v>0.23669410414695682</c:v>
                </c:pt>
                <c:pt idx="122">
                  <c:v>0.23729794615072689</c:v>
                </c:pt>
                <c:pt idx="123">
                  <c:v>0.23790681633798369</c:v>
                </c:pt>
                <c:pt idx="124">
                  <c:v>0.2385207161654419</c:v>
                </c:pt>
                <c:pt idx="125">
                  <c:v>0.23913964710206392</c:v>
                </c:pt>
                <c:pt idx="126">
                  <c:v>0.23976361062906881</c:v>
                </c:pt>
                <c:pt idx="127">
                  <c:v>0.24039260823994119</c:v>
                </c:pt>
                <c:pt idx="128">
                  <c:v>0.24102664144044011</c:v>
                </c:pt>
                <c:pt idx="129">
                  <c:v>0.24166571174860821</c:v>
                </c:pt>
                <c:pt idx="130">
                  <c:v>0.24230982069478077</c:v>
                </c:pt>
                <c:pt idx="131">
                  <c:v>0.24295896982159504</c:v>
                </c:pt>
                <c:pt idx="132">
                  <c:v>0.24361316068399924</c:v>
                </c:pt>
                <c:pt idx="133">
                  <c:v>0.2442723948492623</c:v>
                </c:pt>
                <c:pt idx="134">
                  <c:v>0.24493667389698295</c:v>
                </c:pt>
                <c:pt idx="135">
                  <c:v>0.24560599941909941</c:v>
                </c:pt>
                <c:pt idx="136">
                  <c:v>0.24628037301989886</c:v>
                </c:pt>
                <c:pt idx="137">
                  <c:v>0.24695979631602727</c:v>
                </c:pt>
                <c:pt idx="138">
                  <c:v>0.24764427093649891</c:v>
                </c:pt>
                <c:pt idx="139">
                  <c:v>0.24833379852270634</c:v>
                </c:pt>
                <c:pt idx="140">
                  <c:v>0.24902838072843028</c:v>
                </c:pt>
                <c:pt idx="141">
                  <c:v>0.24972801921984944</c:v>
                </c:pt>
                <c:pt idx="142">
                  <c:v>0.2504327156755507</c:v>
                </c:pt>
                <c:pt idx="143">
                  <c:v>0.25114247178653915</c:v>
                </c:pt>
                <c:pt idx="144">
                  <c:v>0.25185728925624845</c:v>
                </c:pt>
                <c:pt idx="145">
                  <c:v>0.25257716980055078</c:v>
                </c:pt>
                <c:pt idx="146">
                  <c:v>0.25330211514776751</c:v>
                </c:pt>
                <c:pt idx="147">
                  <c:v>0.25403212703867956</c:v>
                </c:pt>
                <c:pt idx="148">
                  <c:v>0.25476720722653773</c:v>
                </c:pt>
                <c:pt idx="149">
                  <c:v>0.25550735747707348</c:v>
                </c:pt>
                <c:pt idx="150">
                  <c:v>0.25625257956850955</c:v>
                </c:pt>
                <c:pt idx="151">
                  <c:v>0.25700287529157068</c:v>
                </c:pt>
                <c:pt idx="152">
                  <c:v>0.25775824644949441</c:v>
                </c:pt>
                <c:pt idx="153">
                  <c:v>0.25851869485804191</c:v>
                </c:pt>
                <c:pt idx="154">
                  <c:v>0.25928422234550924</c:v>
                </c:pt>
                <c:pt idx="155">
                  <c:v>0.26005483075273811</c:v>
                </c:pt>
                <c:pt idx="156">
                  <c:v>0.26083052193312706</c:v>
                </c:pt>
                <c:pt idx="157">
                  <c:v>0.26161129775264275</c:v>
                </c:pt>
                <c:pt idx="158">
                  <c:v>0.26239716008983138</c:v>
                </c:pt>
                <c:pt idx="159">
                  <c:v>0.26318811083582971</c:v>
                </c:pt>
                <c:pt idx="160">
                  <c:v>0.26398415189437696</c:v>
                </c:pt>
                <c:pt idx="161">
                  <c:v>0.26478528518182576</c:v>
                </c:pt>
                <c:pt idx="162">
                  <c:v>0.26559151262715441</c:v>
                </c:pt>
                <c:pt idx="163">
                  <c:v>0.26640283617197813</c:v>
                </c:pt>
                <c:pt idx="164">
                  <c:v>0.26721925777056094</c:v>
                </c:pt>
                <c:pt idx="165">
                  <c:v>0.26804077938982757</c:v>
                </c:pt>
                <c:pt idx="166">
                  <c:v>0.26886740300937523</c:v>
                </c:pt>
                <c:pt idx="167">
                  <c:v>0.26969913062148587</c:v>
                </c:pt>
                <c:pt idx="168">
                  <c:v>0.27053596423113818</c:v>
                </c:pt>
                <c:pt idx="169">
                  <c:v>0.27137790585601951</c:v>
                </c:pt>
                <c:pt idx="170">
                  <c:v>0.27222495752653847</c:v>
                </c:pt>
                <c:pt idx="171">
                  <c:v>0.27307712128583705</c:v>
                </c:pt>
                <c:pt idx="172">
                  <c:v>0.27393439918980322</c:v>
                </c:pt>
                <c:pt idx="173">
                  <c:v>0.27479679330708312</c:v>
                </c:pt>
                <c:pt idx="174">
                  <c:v>0.275664305719094</c:v>
                </c:pt>
                <c:pt idx="175">
                  <c:v>0.27653693852003658</c:v>
                </c:pt>
                <c:pt idx="176">
                  <c:v>0.27741469381690786</c:v>
                </c:pt>
                <c:pt idx="177">
                  <c:v>0.27829757372951419</c:v>
                </c:pt>
                <c:pt idx="178">
                  <c:v>0.27918558039048375</c:v>
                </c:pt>
                <c:pt idx="179">
                  <c:v>0.28007871594527989</c:v>
                </c:pt>
                <c:pt idx="180">
                  <c:v>0.28097698255221382</c:v>
                </c:pt>
                <c:pt idx="181">
                  <c:v>0.28188038238245833</c:v>
                </c:pt>
                <c:pt idx="182">
                  <c:v>0.28278891762006042</c:v>
                </c:pt>
                <c:pt idx="183">
                  <c:v>0.28370259046195501</c:v>
                </c:pt>
                <c:pt idx="184">
                  <c:v>0.28462140311797807</c:v>
                </c:pt>
                <c:pt idx="185">
                  <c:v>0.28554535781088036</c:v>
                </c:pt>
                <c:pt idx="186">
                  <c:v>0.28647445677634076</c:v>
                </c:pt>
                <c:pt idx="187">
                  <c:v>0.28740870226297993</c:v>
                </c:pt>
                <c:pt idx="188">
                  <c:v>0.28834809653237436</c:v>
                </c:pt>
                <c:pt idx="189">
                  <c:v>0.28929264185906978</c:v>
                </c:pt>
                <c:pt idx="190">
                  <c:v>0.29024234053059517</c:v>
                </c:pt>
                <c:pt idx="191">
                  <c:v>0.2911971948474768</c:v>
                </c:pt>
                <c:pt idx="192">
                  <c:v>0.29215720712325238</c:v>
                </c:pt>
                <c:pt idx="193">
                  <c:v>0.29312237968448496</c:v>
                </c:pt>
                <c:pt idx="194">
                  <c:v>0.29409271487077737</c:v>
                </c:pt>
                <c:pt idx="195">
                  <c:v>0.29506821503478647</c:v>
                </c:pt>
                <c:pt idx="196">
                  <c:v>0.29604888254223749</c:v>
                </c:pt>
                <c:pt idx="197">
                  <c:v>0.29703471977193852</c:v>
                </c:pt>
                <c:pt idx="198">
                  <c:v>0.29802572911579522</c:v>
                </c:pt>
                <c:pt idx="199">
                  <c:v>0.29902191297882535</c:v>
                </c:pt>
                <c:pt idx="200">
                  <c:v>0.30002327377917348</c:v>
                </c:pt>
              </c:numCache>
            </c:numRef>
          </c:yVal>
          <c:smooth val="0"/>
          <c:extLst>
            <c:ext xmlns:c16="http://schemas.microsoft.com/office/drawing/2014/chart" uri="{C3380CC4-5D6E-409C-BE32-E72D297353CC}">
              <c16:uniqueId val="{00000002-224D-4C5D-9638-87D4BF1AF418}"/>
            </c:ext>
          </c:extLst>
        </c:ser>
        <c:dLbls>
          <c:showLegendKey val="0"/>
          <c:showVal val="0"/>
          <c:showCatName val="0"/>
          <c:showSerName val="0"/>
          <c:showPercent val="0"/>
          <c:showBubbleSize val="0"/>
        </c:dLbls>
        <c:axId val="177296512"/>
        <c:axId val="177298432"/>
      </c:scatterChart>
      <c:valAx>
        <c:axId val="177296512"/>
        <c:scaling>
          <c:orientation val="minMax"/>
          <c:min val="0"/>
        </c:scaling>
        <c:delete val="0"/>
        <c:axPos val="b"/>
        <c:majorGridlines/>
        <c:title>
          <c:tx>
            <c:rich>
              <a:bodyPr/>
              <a:lstStyle/>
              <a:p>
                <a:pPr>
                  <a:defRPr sz="975" b="1" i="0" u="none" strike="noStrike" baseline="0">
                    <a:solidFill>
                      <a:srgbClr val="000000"/>
                    </a:solidFill>
                    <a:latin typeface="Arial"/>
                    <a:ea typeface="Arial"/>
                    <a:cs typeface="Arial"/>
                  </a:defRPr>
                </a:pPr>
                <a:r>
                  <a:rPr lang="en-US"/>
                  <a:t>Iout (A)</a:t>
                </a:r>
              </a:p>
            </c:rich>
          </c:tx>
          <c:layout>
            <c:manualLayout>
              <c:xMode val="edge"/>
              <c:yMode val="edge"/>
              <c:x val="0.47898089171975411"/>
              <c:y val="0.92540407247481904"/>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975" b="1" i="0" u="none" strike="noStrike" baseline="0">
                <a:solidFill>
                  <a:srgbClr val="000000"/>
                </a:solidFill>
                <a:latin typeface="Arial"/>
                <a:ea typeface="Arial"/>
                <a:cs typeface="Arial"/>
              </a:defRPr>
            </a:pPr>
            <a:endParaRPr lang="en-US"/>
          </a:p>
        </c:txPr>
        <c:crossAx val="177298432"/>
        <c:crosses val="autoZero"/>
        <c:crossBetween val="midCat"/>
      </c:valAx>
      <c:valAx>
        <c:axId val="177298432"/>
        <c:scaling>
          <c:orientation val="minMax"/>
        </c:scaling>
        <c:delete val="0"/>
        <c:axPos val="l"/>
        <c:majorGridlines>
          <c:spPr>
            <a:ln w="3175">
              <a:solidFill>
                <a:srgbClr val="000000"/>
              </a:solidFill>
              <a:prstDash val="solid"/>
            </a:ln>
          </c:spPr>
        </c:majorGridlines>
        <c:title>
          <c:tx>
            <c:rich>
              <a:bodyPr/>
              <a:lstStyle/>
              <a:p>
                <a:pPr>
                  <a:defRPr sz="975" b="1" i="0" u="none" strike="noStrike" baseline="0">
                    <a:solidFill>
                      <a:srgbClr val="000000"/>
                    </a:solidFill>
                    <a:latin typeface="Arial"/>
                    <a:ea typeface="Arial"/>
                    <a:cs typeface="Arial"/>
                  </a:defRPr>
                </a:pPr>
                <a:r>
                  <a:rPr lang="en-US"/>
                  <a:t>Power Disipation (W)</a:t>
                </a:r>
              </a:p>
            </c:rich>
          </c:tx>
          <c:layout>
            <c:manualLayout>
              <c:xMode val="edge"/>
              <c:yMode val="edge"/>
              <c:x val="1.9108280254777267E-2"/>
              <c:y val="0.37298429430192653"/>
            </c:manualLayout>
          </c:layout>
          <c:overlay val="0"/>
          <c:spPr>
            <a:noFill/>
            <a:ln w="25400">
              <a:noFill/>
            </a:ln>
          </c:spPr>
        </c:title>
        <c:numFmt formatCode="General" sourceLinked="0"/>
        <c:majorTickMark val="out"/>
        <c:minorTickMark val="none"/>
        <c:tickLblPos val="nextTo"/>
        <c:spPr>
          <a:ln w="3175">
            <a:solidFill>
              <a:srgbClr val="000000"/>
            </a:solidFill>
            <a:prstDash val="solid"/>
          </a:ln>
        </c:spPr>
        <c:txPr>
          <a:bodyPr rot="0" vert="horz"/>
          <a:lstStyle/>
          <a:p>
            <a:pPr>
              <a:defRPr sz="975" b="1" i="0" u="none" strike="noStrike" baseline="0">
                <a:solidFill>
                  <a:srgbClr val="000000"/>
                </a:solidFill>
                <a:latin typeface="Arial"/>
                <a:ea typeface="Arial"/>
                <a:cs typeface="Arial"/>
              </a:defRPr>
            </a:pPr>
            <a:endParaRPr lang="en-US"/>
          </a:p>
        </c:txPr>
        <c:crossAx val="177296512"/>
        <c:crosses val="autoZero"/>
        <c:crossBetween val="midCat"/>
      </c:valAx>
      <c:spPr>
        <a:solidFill>
          <a:srgbClr val="C0C0C0"/>
        </a:solidFill>
        <a:ln w="12700">
          <a:solidFill>
            <a:srgbClr val="808080"/>
          </a:solidFill>
          <a:prstDash val="solid"/>
        </a:ln>
      </c:spPr>
    </c:plotArea>
    <c:legend>
      <c:legendPos val="r"/>
      <c:layout>
        <c:manualLayout>
          <c:xMode val="edge"/>
          <c:yMode val="edge"/>
          <c:x val="0.84585987261148066"/>
          <c:y val="1.0080645161290319E-2"/>
          <c:w val="0.14904458598726408"/>
          <c:h val="0.1290324697316062"/>
        </c:manualLayout>
      </c:layout>
      <c:overlay val="0"/>
      <c:spPr>
        <a:solidFill>
          <a:srgbClr val="FFFFFF"/>
        </a:solidFill>
        <a:ln w="3175">
          <a:solidFill>
            <a:srgbClr val="000000"/>
          </a:solidFill>
          <a:prstDash val="solid"/>
        </a:ln>
      </c:spPr>
      <c:txPr>
        <a:bodyPr/>
        <a:lstStyle/>
        <a:p>
          <a:pPr>
            <a:defRPr sz="82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975" b="0" i="0" u="none" strike="noStrike" baseline="0">
          <a:solidFill>
            <a:srgbClr val="000000"/>
          </a:solidFill>
          <a:latin typeface="Arial"/>
          <a:ea typeface="Arial"/>
          <a:cs typeface="Arial"/>
        </a:defRPr>
      </a:pPr>
      <a:endParaRPr lang="en-US"/>
    </a:p>
  </c:txPr>
  <c:printSettings>
    <c:headerFooter alignWithMargins="0"/>
    <c:pageMargins b="1" l="0.750000000000006" r="0.750000000000006" t="1" header="0.5" footer="0.5"/>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75" b="1" i="0" u="none" strike="noStrike" baseline="0">
                <a:solidFill>
                  <a:srgbClr val="000000"/>
                </a:solidFill>
                <a:latin typeface="Arial"/>
                <a:ea typeface="Arial"/>
                <a:cs typeface="Arial"/>
              </a:defRPr>
            </a:pPr>
            <a:r>
              <a:rPr lang="en-US"/>
              <a:t> Overall Efficiency</a:t>
            </a:r>
          </a:p>
        </c:rich>
      </c:tx>
      <c:layout>
        <c:manualLayout>
          <c:xMode val="edge"/>
          <c:yMode val="edge"/>
          <c:x val="0.41192468827576079"/>
          <c:y val="3.0241935483871732E-2"/>
        </c:manualLayout>
      </c:layout>
      <c:overlay val="0"/>
      <c:spPr>
        <a:noFill/>
        <a:ln w="25400">
          <a:noFill/>
        </a:ln>
      </c:spPr>
    </c:title>
    <c:autoTitleDeleted val="0"/>
    <c:plotArea>
      <c:layout>
        <c:manualLayout>
          <c:layoutTarget val="inner"/>
          <c:xMode val="edge"/>
          <c:yMode val="edge"/>
          <c:x val="0.12330639622818776"/>
          <c:y val="0.15927435034411094"/>
          <c:w val="0.80758914452747144"/>
          <c:h val="0.72983942815909986"/>
        </c:manualLayout>
      </c:layout>
      <c:scatterChart>
        <c:scatterStyle val="lineMarker"/>
        <c:varyColors val="0"/>
        <c:ser>
          <c:idx val="0"/>
          <c:order val="0"/>
          <c:spPr>
            <a:ln w="38100">
              <a:solidFill>
                <a:srgbClr val="000080"/>
              </a:solidFill>
              <a:prstDash val="solid"/>
            </a:ln>
          </c:spPr>
          <c:marker>
            <c:symbol val="none"/>
          </c:marker>
          <c:xVal>
            <c:numRef>
              <c:f>'Power Calculations'!$H$9:$H$209</c:f>
              <c:numCache>
                <c:formatCode>General</c:formatCode>
                <c:ptCount val="201"/>
                <c:pt idx="0">
                  <c:v>0</c:v>
                </c:pt>
                <c:pt idx="1">
                  <c:v>0.01</c:v>
                </c:pt>
                <c:pt idx="2">
                  <c:v>0.02</c:v>
                </c:pt>
                <c:pt idx="3">
                  <c:v>0.03</c:v>
                </c:pt>
                <c:pt idx="4">
                  <c:v>0.04</c:v>
                </c:pt>
                <c:pt idx="5">
                  <c:v>0.05</c:v>
                </c:pt>
                <c:pt idx="6">
                  <c:v>0.06</c:v>
                </c:pt>
                <c:pt idx="7">
                  <c:v>7.0000000000000007E-2</c:v>
                </c:pt>
                <c:pt idx="8">
                  <c:v>0.08</c:v>
                </c:pt>
                <c:pt idx="9">
                  <c:v>0.09</c:v>
                </c:pt>
                <c:pt idx="10">
                  <c:v>0.1</c:v>
                </c:pt>
                <c:pt idx="11">
                  <c:v>0.11</c:v>
                </c:pt>
                <c:pt idx="12">
                  <c:v>0.12</c:v>
                </c:pt>
                <c:pt idx="13">
                  <c:v>0.13</c:v>
                </c:pt>
                <c:pt idx="14">
                  <c:v>0.14000000000000001</c:v>
                </c:pt>
                <c:pt idx="15">
                  <c:v>0.15</c:v>
                </c:pt>
                <c:pt idx="16">
                  <c:v>0.16</c:v>
                </c:pt>
                <c:pt idx="17">
                  <c:v>0.17</c:v>
                </c:pt>
                <c:pt idx="18">
                  <c:v>0.18</c:v>
                </c:pt>
                <c:pt idx="19">
                  <c:v>0.19</c:v>
                </c:pt>
                <c:pt idx="20">
                  <c:v>0.2</c:v>
                </c:pt>
                <c:pt idx="21">
                  <c:v>0.21</c:v>
                </c:pt>
                <c:pt idx="22">
                  <c:v>0.22</c:v>
                </c:pt>
                <c:pt idx="23">
                  <c:v>0.23</c:v>
                </c:pt>
                <c:pt idx="24">
                  <c:v>0.24</c:v>
                </c:pt>
                <c:pt idx="25">
                  <c:v>0.25</c:v>
                </c:pt>
                <c:pt idx="26">
                  <c:v>0.26</c:v>
                </c:pt>
                <c:pt idx="27">
                  <c:v>0.27</c:v>
                </c:pt>
                <c:pt idx="28">
                  <c:v>0.28000000000000003</c:v>
                </c:pt>
                <c:pt idx="29">
                  <c:v>0.28999999999999998</c:v>
                </c:pt>
                <c:pt idx="30">
                  <c:v>0.3</c:v>
                </c:pt>
                <c:pt idx="31">
                  <c:v>0.31</c:v>
                </c:pt>
                <c:pt idx="32">
                  <c:v>0.32</c:v>
                </c:pt>
                <c:pt idx="33">
                  <c:v>0.33</c:v>
                </c:pt>
                <c:pt idx="34">
                  <c:v>0.34</c:v>
                </c:pt>
                <c:pt idx="35">
                  <c:v>0.35</c:v>
                </c:pt>
                <c:pt idx="36">
                  <c:v>0.36</c:v>
                </c:pt>
                <c:pt idx="37">
                  <c:v>0.37</c:v>
                </c:pt>
                <c:pt idx="38">
                  <c:v>0.38</c:v>
                </c:pt>
                <c:pt idx="39">
                  <c:v>0.39</c:v>
                </c:pt>
                <c:pt idx="40">
                  <c:v>0.4</c:v>
                </c:pt>
                <c:pt idx="41">
                  <c:v>0.41</c:v>
                </c:pt>
                <c:pt idx="42">
                  <c:v>0.42</c:v>
                </c:pt>
                <c:pt idx="43">
                  <c:v>0.43</c:v>
                </c:pt>
                <c:pt idx="44">
                  <c:v>0.44</c:v>
                </c:pt>
                <c:pt idx="45">
                  <c:v>0.45</c:v>
                </c:pt>
                <c:pt idx="46">
                  <c:v>0.46</c:v>
                </c:pt>
                <c:pt idx="47">
                  <c:v>0.47</c:v>
                </c:pt>
                <c:pt idx="48">
                  <c:v>0.48</c:v>
                </c:pt>
                <c:pt idx="49">
                  <c:v>0.49</c:v>
                </c:pt>
                <c:pt idx="50">
                  <c:v>0.5</c:v>
                </c:pt>
                <c:pt idx="51">
                  <c:v>0.51</c:v>
                </c:pt>
                <c:pt idx="52">
                  <c:v>0.52</c:v>
                </c:pt>
                <c:pt idx="53">
                  <c:v>0.53</c:v>
                </c:pt>
                <c:pt idx="54">
                  <c:v>0.54</c:v>
                </c:pt>
                <c:pt idx="55">
                  <c:v>0.55000000000000004</c:v>
                </c:pt>
                <c:pt idx="56">
                  <c:v>0.56000000000000005</c:v>
                </c:pt>
                <c:pt idx="57">
                  <c:v>0.56999999999999995</c:v>
                </c:pt>
                <c:pt idx="58">
                  <c:v>0.57999999999999996</c:v>
                </c:pt>
                <c:pt idx="59">
                  <c:v>0.59</c:v>
                </c:pt>
                <c:pt idx="60">
                  <c:v>0.6</c:v>
                </c:pt>
                <c:pt idx="61">
                  <c:v>0.61</c:v>
                </c:pt>
                <c:pt idx="62">
                  <c:v>0.62</c:v>
                </c:pt>
                <c:pt idx="63">
                  <c:v>0.63</c:v>
                </c:pt>
                <c:pt idx="64">
                  <c:v>0.64</c:v>
                </c:pt>
                <c:pt idx="65">
                  <c:v>0.65</c:v>
                </c:pt>
                <c:pt idx="66">
                  <c:v>0.66</c:v>
                </c:pt>
                <c:pt idx="67">
                  <c:v>0.67</c:v>
                </c:pt>
                <c:pt idx="68">
                  <c:v>0.68</c:v>
                </c:pt>
                <c:pt idx="69">
                  <c:v>0.69</c:v>
                </c:pt>
                <c:pt idx="70">
                  <c:v>0.7</c:v>
                </c:pt>
                <c:pt idx="71">
                  <c:v>0.71</c:v>
                </c:pt>
                <c:pt idx="72">
                  <c:v>0.72</c:v>
                </c:pt>
                <c:pt idx="73">
                  <c:v>0.73</c:v>
                </c:pt>
                <c:pt idx="74">
                  <c:v>0.74</c:v>
                </c:pt>
                <c:pt idx="75">
                  <c:v>0.75</c:v>
                </c:pt>
                <c:pt idx="76">
                  <c:v>0.76</c:v>
                </c:pt>
                <c:pt idx="77">
                  <c:v>0.77</c:v>
                </c:pt>
                <c:pt idx="78">
                  <c:v>0.78</c:v>
                </c:pt>
                <c:pt idx="79">
                  <c:v>0.79</c:v>
                </c:pt>
                <c:pt idx="80">
                  <c:v>0.8</c:v>
                </c:pt>
                <c:pt idx="81">
                  <c:v>0.81</c:v>
                </c:pt>
                <c:pt idx="82">
                  <c:v>0.82</c:v>
                </c:pt>
                <c:pt idx="83">
                  <c:v>0.83</c:v>
                </c:pt>
                <c:pt idx="84">
                  <c:v>0.84</c:v>
                </c:pt>
                <c:pt idx="85">
                  <c:v>0.85</c:v>
                </c:pt>
                <c:pt idx="86">
                  <c:v>0.86</c:v>
                </c:pt>
                <c:pt idx="87">
                  <c:v>0.87</c:v>
                </c:pt>
                <c:pt idx="88">
                  <c:v>0.88</c:v>
                </c:pt>
                <c:pt idx="89">
                  <c:v>0.89</c:v>
                </c:pt>
                <c:pt idx="90">
                  <c:v>0.9</c:v>
                </c:pt>
                <c:pt idx="91">
                  <c:v>0.91</c:v>
                </c:pt>
                <c:pt idx="92">
                  <c:v>0.92</c:v>
                </c:pt>
                <c:pt idx="93">
                  <c:v>0.93</c:v>
                </c:pt>
                <c:pt idx="94">
                  <c:v>0.94</c:v>
                </c:pt>
                <c:pt idx="95">
                  <c:v>0.95</c:v>
                </c:pt>
                <c:pt idx="96">
                  <c:v>0.96</c:v>
                </c:pt>
                <c:pt idx="97">
                  <c:v>0.97</c:v>
                </c:pt>
                <c:pt idx="98">
                  <c:v>0.98</c:v>
                </c:pt>
                <c:pt idx="99">
                  <c:v>0.99</c:v>
                </c:pt>
                <c:pt idx="100">
                  <c:v>1</c:v>
                </c:pt>
                <c:pt idx="101">
                  <c:v>1.01</c:v>
                </c:pt>
                <c:pt idx="102">
                  <c:v>1.02</c:v>
                </c:pt>
                <c:pt idx="103">
                  <c:v>1.03</c:v>
                </c:pt>
                <c:pt idx="104">
                  <c:v>1.04</c:v>
                </c:pt>
                <c:pt idx="105">
                  <c:v>1.05</c:v>
                </c:pt>
                <c:pt idx="106">
                  <c:v>1.06</c:v>
                </c:pt>
                <c:pt idx="107">
                  <c:v>1.07</c:v>
                </c:pt>
                <c:pt idx="108">
                  <c:v>1.08</c:v>
                </c:pt>
                <c:pt idx="109">
                  <c:v>1.0900000000000001</c:v>
                </c:pt>
                <c:pt idx="110">
                  <c:v>1.1000000000000001</c:v>
                </c:pt>
                <c:pt idx="111">
                  <c:v>1.1100000000000001</c:v>
                </c:pt>
                <c:pt idx="112">
                  <c:v>1.1200000000000001</c:v>
                </c:pt>
                <c:pt idx="113">
                  <c:v>1.1299999999999999</c:v>
                </c:pt>
                <c:pt idx="114">
                  <c:v>1.1399999999999999</c:v>
                </c:pt>
                <c:pt idx="115">
                  <c:v>1.1499999999999999</c:v>
                </c:pt>
                <c:pt idx="116">
                  <c:v>1.1599999999999999</c:v>
                </c:pt>
                <c:pt idx="117">
                  <c:v>1.17</c:v>
                </c:pt>
                <c:pt idx="118">
                  <c:v>1.18</c:v>
                </c:pt>
                <c:pt idx="119">
                  <c:v>1.19</c:v>
                </c:pt>
                <c:pt idx="120">
                  <c:v>1.2</c:v>
                </c:pt>
                <c:pt idx="121">
                  <c:v>1.21</c:v>
                </c:pt>
                <c:pt idx="122">
                  <c:v>1.22</c:v>
                </c:pt>
                <c:pt idx="123">
                  <c:v>1.23</c:v>
                </c:pt>
                <c:pt idx="124">
                  <c:v>1.24</c:v>
                </c:pt>
                <c:pt idx="125">
                  <c:v>1.25</c:v>
                </c:pt>
                <c:pt idx="126">
                  <c:v>1.26</c:v>
                </c:pt>
                <c:pt idx="127">
                  <c:v>1.27</c:v>
                </c:pt>
                <c:pt idx="128">
                  <c:v>1.28</c:v>
                </c:pt>
                <c:pt idx="129">
                  <c:v>1.29</c:v>
                </c:pt>
                <c:pt idx="130">
                  <c:v>1.3</c:v>
                </c:pt>
                <c:pt idx="131">
                  <c:v>1.31</c:v>
                </c:pt>
                <c:pt idx="132">
                  <c:v>1.32</c:v>
                </c:pt>
                <c:pt idx="133">
                  <c:v>1.33</c:v>
                </c:pt>
                <c:pt idx="134">
                  <c:v>1.34</c:v>
                </c:pt>
                <c:pt idx="135">
                  <c:v>1.35</c:v>
                </c:pt>
                <c:pt idx="136">
                  <c:v>1.36</c:v>
                </c:pt>
                <c:pt idx="137">
                  <c:v>1.37</c:v>
                </c:pt>
                <c:pt idx="138">
                  <c:v>1.38</c:v>
                </c:pt>
                <c:pt idx="139">
                  <c:v>1.39</c:v>
                </c:pt>
                <c:pt idx="140">
                  <c:v>1.4</c:v>
                </c:pt>
                <c:pt idx="141">
                  <c:v>1.41</c:v>
                </c:pt>
                <c:pt idx="142">
                  <c:v>1.42</c:v>
                </c:pt>
                <c:pt idx="143">
                  <c:v>1.43</c:v>
                </c:pt>
                <c:pt idx="144">
                  <c:v>1.44</c:v>
                </c:pt>
                <c:pt idx="145">
                  <c:v>1.45</c:v>
                </c:pt>
                <c:pt idx="146">
                  <c:v>1.46</c:v>
                </c:pt>
                <c:pt idx="147">
                  <c:v>1.47</c:v>
                </c:pt>
                <c:pt idx="148">
                  <c:v>1.48</c:v>
                </c:pt>
                <c:pt idx="149">
                  <c:v>1.49</c:v>
                </c:pt>
                <c:pt idx="150">
                  <c:v>1.5</c:v>
                </c:pt>
                <c:pt idx="151">
                  <c:v>1.51</c:v>
                </c:pt>
                <c:pt idx="152">
                  <c:v>1.52</c:v>
                </c:pt>
                <c:pt idx="153">
                  <c:v>1.53</c:v>
                </c:pt>
                <c:pt idx="154">
                  <c:v>1.54</c:v>
                </c:pt>
                <c:pt idx="155">
                  <c:v>1.55</c:v>
                </c:pt>
                <c:pt idx="156">
                  <c:v>1.56</c:v>
                </c:pt>
                <c:pt idx="157">
                  <c:v>1.57</c:v>
                </c:pt>
                <c:pt idx="158">
                  <c:v>1.58</c:v>
                </c:pt>
                <c:pt idx="159">
                  <c:v>1.59</c:v>
                </c:pt>
                <c:pt idx="160">
                  <c:v>1.6</c:v>
                </c:pt>
                <c:pt idx="161">
                  <c:v>1.61</c:v>
                </c:pt>
                <c:pt idx="162">
                  <c:v>1.62</c:v>
                </c:pt>
                <c:pt idx="163">
                  <c:v>1.63</c:v>
                </c:pt>
                <c:pt idx="164">
                  <c:v>1.64</c:v>
                </c:pt>
                <c:pt idx="165">
                  <c:v>1.65</c:v>
                </c:pt>
                <c:pt idx="166">
                  <c:v>1.66</c:v>
                </c:pt>
                <c:pt idx="167">
                  <c:v>1.67</c:v>
                </c:pt>
                <c:pt idx="168">
                  <c:v>1.68</c:v>
                </c:pt>
                <c:pt idx="169">
                  <c:v>1.69</c:v>
                </c:pt>
                <c:pt idx="170">
                  <c:v>1.7</c:v>
                </c:pt>
                <c:pt idx="171">
                  <c:v>1.71</c:v>
                </c:pt>
                <c:pt idx="172">
                  <c:v>1.72</c:v>
                </c:pt>
                <c:pt idx="173">
                  <c:v>1.73</c:v>
                </c:pt>
                <c:pt idx="174">
                  <c:v>1.74</c:v>
                </c:pt>
                <c:pt idx="175">
                  <c:v>1.75</c:v>
                </c:pt>
                <c:pt idx="176">
                  <c:v>1.76</c:v>
                </c:pt>
                <c:pt idx="177">
                  <c:v>1.77</c:v>
                </c:pt>
                <c:pt idx="178">
                  <c:v>1.78</c:v>
                </c:pt>
                <c:pt idx="179">
                  <c:v>1.79</c:v>
                </c:pt>
                <c:pt idx="180">
                  <c:v>1.8</c:v>
                </c:pt>
                <c:pt idx="181">
                  <c:v>1.81</c:v>
                </c:pt>
                <c:pt idx="182">
                  <c:v>1.82</c:v>
                </c:pt>
                <c:pt idx="183">
                  <c:v>1.83</c:v>
                </c:pt>
                <c:pt idx="184">
                  <c:v>1.84</c:v>
                </c:pt>
                <c:pt idx="185">
                  <c:v>1.85</c:v>
                </c:pt>
                <c:pt idx="186">
                  <c:v>1.86</c:v>
                </c:pt>
                <c:pt idx="187">
                  <c:v>1.87</c:v>
                </c:pt>
                <c:pt idx="188">
                  <c:v>1.88</c:v>
                </c:pt>
                <c:pt idx="189">
                  <c:v>1.89</c:v>
                </c:pt>
                <c:pt idx="190">
                  <c:v>1.9</c:v>
                </c:pt>
                <c:pt idx="191">
                  <c:v>1.91</c:v>
                </c:pt>
                <c:pt idx="192">
                  <c:v>1.92</c:v>
                </c:pt>
                <c:pt idx="193">
                  <c:v>1.93</c:v>
                </c:pt>
                <c:pt idx="194">
                  <c:v>1.94</c:v>
                </c:pt>
                <c:pt idx="195">
                  <c:v>1.95</c:v>
                </c:pt>
                <c:pt idx="196">
                  <c:v>1.96</c:v>
                </c:pt>
                <c:pt idx="197">
                  <c:v>1.97</c:v>
                </c:pt>
                <c:pt idx="198">
                  <c:v>1.98</c:v>
                </c:pt>
                <c:pt idx="199">
                  <c:v>1.99</c:v>
                </c:pt>
                <c:pt idx="200">
                  <c:v>2</c:v>
                </c:pt>
              </c:numCache>
            </c:numRef>
          </c:xVal>
          <c:yVal>
            <c:numRef>
              <c:f>'Power Calculations'!$AQ$9:$AQ$209</c:f>
              <c:numCache>
                <c:formatCode>0.00%</c:formatCode>
                <c:ptCount val="201"/>
                <c:pt idx="0">
                  <c:v>0</c:v>
                </c:pt>
                <c:pt idx="1">
                  <c:v>0.10623243488551479</c:v>
                </c:pt>
                <c:pt idx="2">
                  <c:v>0.19155967300554164</c:v>
                </c:pt>
                <c:pt idx="3">
                  <c:v>0.26159723663284379</c:v>
                </c:pt>
                <c:pt idx="4">
                  <c:v>0.32011468991701547</c:v>
                </c:pt>
                <c:pt idx="5">
                  <c:v>0.36973655108096481</c:v>
                </c:pt>
                <c:pt idx="6">
                  <c:v>0.41234638096868598</c:v>
                </c:pt>
                <c:pt idx="7">
                  <c:v>0.44933102912806866</c:v>
                </c:pt>
                <c:pt idx="8">
                  <c:v>0.4817342407686761</c:v>
                </c:pt>
                <c:pt idx="9">
                  <c:v>0.51035658081811264</c:v>
                </c:pt>
                <c:pt idx="10">
                  <c:v>0.53582235842315529</c:v>
                </c:pt>
                <c:pt idx="11">
                  <c:v>0.55862560290839025</c:v>
                </c:pt>
                <c:pt idx="12">
                  <c:v>0.57916236201457949</c:v>
                </c:pt>
                <c:pt idx="13">
                  <c:v>0.59775384541788779</c:v>
                </c:pt>
                <c:pt idx="14">
                  <c:v>0.61466330428676375</c:v>
                </c:pt>
                <c:pt idx="15">
                  <c:v>0.63010853945474998</c:v>
                </c:pt>
                <c:pt idx="16">
                  <c:v>0.64427130432001556</c:v>
                </c:pt>
                <c:pt idx="17">
                  <c:v>0.65730446613548721</c:v>
                </c:pt>
                <c:pt idx="18">
                  <c:v>0.6693375253193925</c:v>
                </c:pt>
                <c:pt idx="19">
                  <c:v>0.68048091584824244</c:v>
                </c:pt>
                <c:pt idx="20">
                  <c:v>0.69082938964142704</c:v>
                </c:pt>
                <c:pt idx="21">
                  <c:v>0.70046470476746703</c:v>
                </c:pt>
                <c:pt idx="22">
                  <c:v>0.70945777900755957</c:v>
                </c:pt>
                <c:pt idx="23">
                  <c:v>0.71804366674708586</c:v>
                </c:pt>
                <c:pt idx="24">
                  <c:v>0.72625453115819172</c:v>
                </c:pt>
                <c:pt idx="25">
                  <c:v>0.73397225599508009</c:v>
                </c:pt>
                <c:pt idx="26">
                  <c:v>0.74123953015293531</c:v>
                </c:pt>
                <c:pt idx="27">
                  <c:v>0.7480942536001608</c:v>
                </c:pt>
                <c:pt idx="28">
                  <c:v>0.75457019059644337</c:v>
                </c:pt>
                <c:pt idx="29">
                  <c:v>0.76069751883006342</c:v>
                </c:pt>
                <c:pt idx="30">
                  <c:v>0.76650329332165024</c:v>
                </c:pt>
                <c:pt idx="31">
                  <c:v>0.77201184013948676</c:v>
                </c:pt>
                <c:pt idx="32">
                  <c:v>0.77724509201102543</c:v>
                </c:pt>
                <c:pt idx="33">
                  <c:v>0.78222287559445802</c:v>
                </c:pt>
                <c:pt idx="34">
                  <c:v>0.78696315834301145</c:v>
                </c:pt>
                <c:pt idx="35">
                  <c:v>0.79148226144099842</c:v>
                </c:pt>
                <c:pt idx="36">
                  <c:v>0.79579504412995017</c:v>
                </c:pt>
                <c:pt idx="37">
                  <c:v>0.79991506381128319</c:v>
                </c:pt>
                <c:pt idx="38">
                  <c:v>0.8038547155598128</c:v>
                </c:pt>
                <c:pt idx="39">
                  <c:v>0.80762535407235181</c:v>
                </c:pt>
                <c:pt idx="40">
                  <c:v>0.81123740057838001</c:v>
                </c:pt>
                <c:pt idx="41">
                  <c:v>0.81470043683266691</c:v>
                </c:pt>
                <c:pt idx="42">
                  <c:v>0.81802328797493695</c:v>
                </c:pt>
                <c:pt idx="43">
                  <c:v>0.8212140957652122</c:v>
                </c:pt>
                <c:pt idx="44">
                  <c:v>0.82428038347426469</c:v>
                </c:pt>
                <c:pt idx="45">
                  <c:v>0.827229113517849</c:v>
                </c:pt>
                <c:pt idx="46">
                  <c:v>0.83006673876404136</c:v>
                </c:pt>
                <c:pt idx="47">
                  <c:v>0.83279924830942698</c:v>
                </c:pt>
                <c:pt idx="48">
                  <c:v>0.8354322084075203</c:v>
                </c:pt>
                <c:pt idx="49">
                  <c:v>0.83797079913798078</c:v>
                </c:pt>
                <c:pt idx="50">
                  <c:v>0.84041984732491082</c:v>
                </c:pt>
                <c:pt idx="51">
                  <c:v>0.84278385614436691</c:v>
                </c:pt>
                <c:pt idx="52">
                  <c:v>0.84506703180315934</c:v>
                </c:pt>
                <c:pt idx="53">
                  <c:v>0.84727330762144615</c:v>
                </c:pt>
                <c:pt idx="54">
                  <c:v>0.84940636580916862</c:v>
                </c:pt>
                <c:pt idx="55">
                  <c:v>0.85146965718992784</c:v>
                </c:pt>
                <c:pt idx="56">
                  <c:v>0.85346641909452015</c:v>
                </c:pt>
                <c:pt idx="57">
                  <c:v>0.85539969161927443</c:v>
                </c:pt>
                <c:pt idx="58">
                  <c:v>0.85727233242091572</c:v>
                </c:pt>
                <c:pt idx="59">
                  <c:v>0.85908703019936861</c:v>
                </c:pt>
                <c:pt idx="60">
                  <c:v>0.86084631700227632</c:v>
                </c:pt>
                <c:pt idx="61">
                  <c:v>0.86255257946964425</c:v>
                </c:pt>
                <c:pt idx="62">
                  <c:v>0.8642080691236117</c:v>
                </c:pt>
                <c:pt idx="63">
                  <c:v>0.86581491179663062</c:v>
                </c:pt>
                <c:pt idx="64">
                  <c:v>0.8673751162810609</c:v>
                </c:pt>
                <c:pt idx="65">
                  <c:v>0.86889058227417604</c:v>
                </c:pt>
                <c:pt idx="66">
                  <c:v>0.87036310768464287</c:v>
                </c:pt>
                <c:pt idx="67">
                  <c:v>0.87179439535955472</c:v>
                </c:pt>
                <c:pt idx="68">
                  <c:v>0.87318605928493054</c:v>
                </c:pt>
                <c:pt idx="69">
                  <c:v>0.87453963030714177</c:v>
                </c:pt>
                <c:pt idx="70">
                  <c:v>0.87585656141790291</c:v>
                </c:pt>
                <c:pt idx="71">
                  <c:v>0.87713823264117818</c:v>
                </c:pt>
                <c:pt idx="72">
                  <c:v>0.87838595555655252</c:v>
                </c:pt>
                <c:pt idx="73">
                  <c:v>0.87960097749023136</c:v>
                </c:pt>
                <c:pt idx="74">
                  <c:v>0.88078448540181875</c:v>
                </c:pt>
                <c:pt idx="75">
                  <c:v>0.88193760949232558</c:v>
                </c:pt>
                <c:pt idx="76">
                  <c:v>0.88306142655646391</c:v>
                </c:pt>
                <c:pt idx="77">
                  <c:v>0.88415696310012037</c:v>
                </c:pt>
                <c:pt idx="78">
                  <c:v>0.88522519824197965</c:v>
                </c:pt>
                <c:pt idx="79">
                  <c:v>0.88626706641653441</c:v>
                </c:pt>
                <c:pt idx="80">
                  <c:v>0.88728345989416291</c:v>
                </c:pt>
                <c:pt idx="81">
                  <c:v>0.88827523113255913</c:v>
                </c:pt>
                <c:pt idx="82">
                  <c:v>0.88924319497253479</c:v>
                </c:pt>
                <c:pt idx="83">
                  <c:v>0.89018813069007963</c:v>
                </c:pt>
                <c:pt idx="84">
                  <c:v>0.89111078391554155</c:v>
                </c:pt>
                <c:pt idx="85">
                  <c:v>0.89201186842985414</c:v>
                </c:pt>
                <c:pt idx="86">
                  <c:v>0.89289206784690844</c:v>
                </c:pt>
                <c:pt idx="87">
                  <c:v>0.89375203719039775</c:v>
                </c:pt>
                <c:pt idx="88">
                  <c:v>0.89459240437277932</c:v>
                </c:pt>
                <c:pt idx="89">
                  <c:v>0.8954137715833681</c:v>
                </c:pt>
                <c:pt idx="90">
                  <c:v>0.89621671659201108</c:v>
                </c:pt>
                <c:pt idx="91">
                  <c:v>0.89700179397427271</c:v>
                </c:pt>
                <c:pt idx="92">
                  <c:v>0.89776953626358524</c:v>
                </c:pt>
                <c:pt idx="93">
                  <c:v>0.89852045503540034</c:v>
                </c:pt>
                <c:pt idx="94">
                  <c:v>0.89925504192797201</c:v>
                </c:pt>
                <c:pt idx="95">
                  <c:v>0.89997376960405451</c:v>
                </c:pt>
                <c:pt idx="96">
                  <c:v>0.90067709265746421</c:v>
                </c:pt>
                <c:pt idx="97">
                  <c:v>0.90136544846816213</c:v>
                </c:pt>
                <c:pt idx="98">
                  <c:v>0.90203925800923068</c:v>
                </c:pt>
                <c:pt idx="99">
                  <c:v>0.90269892660887707</c:v>
                </c:pt>
                <c:pt idx="100">
                  <c:v>0.90334484467035858</c:v>
                </c:pt>
                <c:pt idx="101">
                  <c:v>0.90397738835251562</c:v>
                </c:pt>
                <c:pt idx="102">
                  <c:v>0.90459692021340532</c:v>
                </c:pt>
                <c:pt idx="103">
                  <c:v>0.90520378981934857</c:v>
                </c:pt>
                <c:pt idx="104">
                  <c:v>0.90579833432154011</c:v>
                </c:pt>
                <c:pt idx="105">
                  <c:v>0.90638087900221798</c:v>
                </c:pt>
                <c:pt idx="106">
                  <c:v>0.90695173779225291</c:v>
                </c:pt>
                <c:pt idx="107">
                  <c:v>0.90751121376188482</c:v>
                </c:pt>
                <c:pt idx="108">
                  <c:v>0.90805959958622073</c:v>
                </c:pt>
                <c:pt idx="109">
                  <c:v>0.90859717798699369</c:v>
                </c:pt>
                <c:pt idx="110">
                  <c:v>0.90912422215198263</c:v>
                </c:pt>
                <c:pt idx="111">
                  <c:v>0.90964099613340244</c:v>
                </c:pt>
                <c:pt idx="112">
                  <c:v>0.91014775522648206</c:v>
                </c:pt>
                <c:pt idx="113">
                  <c:v>0.91064474632937165</c:v>
                </c:pt>
                <c:pt idx="114">
                  <c:v>0.91113220828544383</c:v>
                </c:pt>
                <c:pt idx="115">
                  <c:v>0.91161037220898644</c:v>
                </c:pt>
                <c:pt idx="116">
                  <c:v>0.91207946179521815</c:v>
                </c:pt>
                <c:pt idx="117">
                  <c:v>0.91253969361550191</c:v>
                </c:pt>
                <c:pt idx="118">
                  <c:v>0.91299127739857289</c:v>
                </c:pt>
                <c:pt idx="119">
                  <c:v>0.91343441629854871</c:v>
                </c:pt>
                <c:pt idx="120">
                  <c:v>0.91386930715044024</c:v>
                </c:pt>
                <c:pt idx="121">
                  <c:v>0.91429614071383924</c:v>
                </c:pt>
                <c:pt idx="122">
                  <c:v>0.91471510190541383</c:v>
                </c:pt>
                <c:pt idx="123">
                  <c:v>0.91512637002081076</c:v>
                </c:pt>
                <c:pt idx="124">
                  <c:v>0.91553011894651826</c:v>
                </c:pt>
                <c:pt idx="125">
                  <c:v>0.91592651736222075</c:v>
                </c:pt>
                <c:pt idx="126">
                  <c:v>0.91631572893413482</c:v>
                </c:pt>
                <c:pt idx="127">
                  <c:v>0.91669791249979582</c:v>
                </c:pt>
                <c:pt idx="128">
                  <c:v>0.91707322224473042</c:v>
                </c:pt>
                <c:pt idx="129">
                  <c:v>0.91744180787142804</c:v>
                </c:pt>
                <c:pt idx="130">
                  <c:v>0.91780381476100192</c:v>
                </c:pt>
                <c:pt idx="131">
                  <c:v>0.9181593841279031</c:v>
                </c:pt>
                <c:pt idx="132">
                  <c:v>0.91850865316803632</c:v>
                </c:pt>
                <c:pt idx="133">
                  <c:v>0.91885175520060125</c:v>
                </c:pt>
                <c:pt idx="134">
                  <c:v>0.91918881980396805</c:v>
                </c:pt>
                <c:pt idx="135">
                  <c:v>0.91951997294587851</c:v>
                </c:pt>
                <c:pt idx="136">
                  <c:v>0.91984533710824645</c:v>
                </c:pt>
                <c:pt idx="137">
                  <c:v>0.92016503140681649</c:v>
                </c:pt>
                <c:pt idx="138">
                  <c:v>0.92047917170592897</c:v>
                </c:pt>
                <c:pt idx="139">
                  <c:v>0.92078787072861978</c:v>
                </c:pt>
                <c:pt idx="140">
                  <c:v>0.921091238162277</c:v>
                </c:pt>
                <c:pt idx="141">
                  <c:v>0.92138938076006183</c:v>
                </c:pt>
                <c:pt idx="142">
                  <c:v>0.92168240243829003</c:v>
                </c:pt>
                <c:pt idx="143">
                  <c:v>0.92197040436996069</c:v>
                </c:pt>
                <c:pt idx="144">
                  <c:v>0.92225348507460891</c:v>
                </c:pt>
                <c:pt idx="145">
                  <c:v>0.92253174050464992</c:v>
                </c:pt>
                <c:pt idx="146">
                  <c:v>0.92280526412837349</c:v>
                </c:pt>
                <c:pt idx="147">
                  <c:v>0.92307414700973878</c:v>
                </c:pt>
                <c:pt idx="148">
                  <c:v>0.92333847788511403</c:v>
                </c:pt>
                <c:pt idx="149">
                  <c:v>0.923598343237094</c:v>
                </c:pt>
                <c:pt idx="150">
                  <c:v>0.9238538273655279</c:v>
                </c:pt>
                <c:pt idx="151">
                  <c:v>0.92410501245587617</c:v>
                </c:pt>
                <c:pt idx="152">
                  <c:v>0.92435197864501517</c:v>
                </c:pt>
                <c:pt idx="153">
                  <c:v>0.92459480408459993</c:v>
                </c:pt>
                <c:pt idx="154">
                  <c:v>0.9248335650020888</c:v>
                </c:pt>
                <c:pt idx="155">
                  <c:v>0.92506833575953062</c:v>
                </c:pt>
                <c:pt idx="156">
                  <c:v>0.92529918891021068</c:v>
                </c:pt>
                <c:pt idx="157">
                  <c:v>0.92552619525324453</c:v>
                </c:pt>
                <c:pt idx="158">
                  <c:v>0.92574942388620562</c:v>
                </c:pt>
                <c:pt idx="159">
                  <c:v>0.92596894225587056</c:v>
                </c:pt>
                <c:pt idx="160">
                  <c:v>0.92618481620715831</c:v>
                </c:pt>
                <c:pt idx="161">
                  <c:v>0.9263971100303392</c:v>
                </c:pt>
                <c:pt idx="162">
                  <c:v>0.92660588650658349</c:v>
                </c:pt>
                <c:pt idx="163">
                  <c:v>0.92681120695191876</c:v>
                </c:pt>
                <c:pt idx="164">
                  <c:v>0.92701313125965812</c:v>
                </c:pt>
                <c:pt idx="165">
                  <c:v>0.92721171794136492</c:v>
                </c:pt>
                <c:pt idx="166">
                  <c:v>0.9274070241664073</c:v>
                </c:pt>
                <c:pt idx="167">
                  <c:v>0.92759910580016436</c:v>
                </c:pt>
                <c:pt idx="168">
                  <c:v>0.9277880174409322</c:v>
                </c:pt>
                <c:pt idx="169">
                  <c:v>0.92797381245558574</c:v>
                </c:pt>
                <c:pt idx="170">
                  <c:v>0.92815654301404149</c:v>
                </c:pt>
                <c:pt idx="171">
                  <c:v>0.92833626012256965</c:v>
                </c:pt>
                <c:pt idx="172">
                  <c:v>0.92851301365600003</c:v>
                </c:pt>
                <c:pt idx="173">
                  <c:v>0.92868685238886373</c:v>
                </c:pt>
                <c:pt idx="174">
                  <c:v>0.92885782402551242</c:v>
                </c:pt>
                <c:pt idx="175">
                  <c:v>0.92902597522925412</c:v>
                </c:pt>
                <c:pt idx="176">
                  <c:v>0.92919135165054001</c:v>
                </c:pt>
                <c:pt idx="177">
                  <c:v>0.92935399795424323</c:v>
                </c:pt>
                <c:pt idx="178">
                  <c:v>0.92951395784605839</c:v>
                </c:pt>
                <c:pt idx="179">
                  <c:v>0.92967127409805905</c:v>
                </c:pt>
                <c:pt idx="180">
                  <c:v>0.92982598857344045</c:v>
                </c:pt>
                <c:pt idx="181">
                  <c:v>0.92997814225048014</c:v>
                </c:pt>
                <c:pt idx="182">
                  <c:v>0.9301277752457463</c:v>
                </c:pt>
                <c:pt idx="183">
                  <c:v>0.93027492683657564</c:v>
                </c:pt>
                <c:pt idx="184">
                  <c:v>0.93041963548285544</c:v>
                </c:pt>
                <c:pt idx="185">
                  <c:v>0.93056193884812777</c:v>
                </c:pt>
                <c:pt idx="186">
                  <c:v>0.9307018738200451</c:v>
                </c:pt>
                <c:pt idx="187">
                  <c:v>0.93083947653019616</c:v>
                </c:pt>
                <c:pt idx="188">
                  <c:v>0.93097478237333064</c:v>
                </c:pt>
                <c:pt idx="189">
                  <c:v>0.93110782602599618</c:v>
                </c:pt>
                <c:pt idx="190">
                  <c:v>0.93123864146461555</c:v>
                </c:pt>
                <c:pt idx="191">
                  <c:v>0.93136726198301922</c:v>
                </c:pt>
                <c:pt idx="192">
                  <c:v>0.93149372020945365</c:v>
                </c:pt>
                <c:pt idx="193">
                  <c:v>0.93161804812308391</c:v>
                </c:pt>
                <c:pt idx="194">
                  <c:v>0.93174027707000728</c:v>
                </c:pt>
                <c:pt idx="195">
                  <c:v>0.93186043777879601</c:v>
                </c:pt>
                <c:pt idx="196">
                  <c:v>0.9319785603755828</c:v>
                </c:pt>
                <c:pt idx="197">
                  <c:v>0.93209467439870752</c:v>
                </c:pt>
                <c:pt idx="198">
                  <c:v>0.93220880881293822</c:v>
                </c:pt>
                <c:pt idx="199">
                  <c:v>0.93232099202328111</c:v>
                </c:pt>
                <c:pt idx="200">
                  <c:v>0.9324312518883936</c:v>
                </c:pt>
              </c:numCache>
            </c:numRef>
          </c:yVal>
          <c:smooth val="0"/>
          <c:extLst>
            <c:ext xmlns:c16="http://schemas.microsoft.com/office/drawing/2014/chart" uri="{C3380CC4-5D6E-409C-BE32-E72D297353CC}">
              <c16:uniqueId val="{00000000-63C5-4D6A-B9BD-1C49DB4002EC}"/>
            </c:ext>
          </c:extLst>
        </c:ser>
        <c:dLbls>
          <c:showLegendKey val="0"/>
          <c:showVal val="0"/>
          <c:showCatName val="0"/>
          <c:showSerName val="0"/>
          <c:showPercent val="0"/>
          <c:showBubbleSize val="0"/>
        </c:dLbls>
        <c:axId val="177307008"/>
        <c:axId val="177313280"/>
      </c:scatterChart>
      <c:valAx>
        <c:axId val="177307008"/>
        <c:scaling>
          <c:orientation val="minMax"/>
          <c:min val="0"/>
        </c:scaling>
        <c:delete val="0"/>
        <c:axPos val="b"/>
        <c:majorGridlines/>
        <c:title>
          <c:tx>
            <c:rich>
              <a:bodyPr/>
              <a:lstStyle/>
              <a:p>
                <a:pPr>
                  <a:defRPr sz="1025" b="1" i="0" u="none" strike="noStrike" baseline="0">
                    <a:solidFill>
                      <a:srgbClr val="000000"/>
                    </a:solidFill>
                    <a:latin typeface="Arial"/>
                    <a:ea typeface="Arial"/>
                    <a:cs typeface="Arial"/>
                  </a:defRPr>
                </a:pPr>
                <a:r>
                  <a:rPr lang="en-US"/>
                  <a:t>Iout (A)</a:t>
                </a:r>
              </a:p>
            </c:rich>
          </c:tx>
          <c:layout>
            <c:manualLayout>
              <c:xMode val="edge"/>
              <c:yMode val="edge"/>
              <c:x val="0.49051561644225661"/>
              <c:y val="0.94354923376513999"/>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1025" b="1" i="0" u="none" strike="noStrike" baseline="0">
                <a:solidFill>
                  <a:srgbClr val="000000"/>
                </a:solidFill>
                <a:latin typeface="Arial"/>
                <a:ea typeface="Arial"/>
                <a:cs typeface="Arial"/>
              </a:defRPr>
            </a:pPr>
            <a:endParaRPr lang="en-US"/>
          </a:p>
        </c:txPr>
        <c:crossAx val="177313280"/>
        <c:crosses val="autoZero"/>
        <c:crossBetween val="midCat"/>
      </c:valAx>
      <c:valAx>
        <c:axId val="177313280"/>
        <c:scaling>
          <c:orientation val="minMax"/>
          <c:min val="0.5"/>
        </c:scaling>
        <c:delete val="0"/>
        <c:axPos val="l"/>
        <c:majorGridlines>
          <c:spPr>
            <a:ln w="3175">
              <a:solidFill>
                <a:srgbClr val="000000"/>
              </a:solidFill>
              <a:prstDash val="solid"/>
            </a:ln>
          </c:spPr>
        </c:majorGridlines>
        <c:title>
          <c:tx>
            <c:rich>
              <a:bodyPr/>
              <a:lstStyle/>
              <a:p>
                <a:pPr>
                  <a:defRPr sz="1025" b="1" i="0" u="none" strike="noStrike" baseline="0">
                    <a:solidFill>
                      <a:srgbClr val="000000"/>
                    </a:solidFill>
                    <a:latin typeface="Arial"/>
                    <a:ea typeface="Arial"/>
                    <a:cs typeface="Arial"/>
                  </a:defRPr>
                </a:pPr>
                <a:r>
                  <a:rPr lang="en-US"/>
                  <a:t>Efficiency (%)</a:t>
                </a:r>
              </a:p>
            </c:rich>
          </c:tx>
          <c:layout>
            <c:manualLayout>
              <c:xMode val="edge"/>
              <c:yMode val="edge"/>
              <c:x val="6.7750677506775965E-3"/>
              <c:y val="0.42741977817289623"/>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sz="1025" b="1" i="0" u="none" strike="noStrike" baseline="0">
                <a:solidFill>
                  <a:srgbClr val="000000"/>
                </a:solidFill>
                <a:latin typeface="Arial"/>
                <a:ea typeface="Arial"/>
                <a:cs typeface="Arial"/>
              </a:defRPr>
            </a:pPr>
            <a:endParaRPr lang="en-US"/>
          </a:p>
        </c:txPr>
        <c:crossAx val="177307008"/>
        <c:crosses val="autoZero"/>
        <c:crossBetween val="midCat"/>
      </c:valAx>
      <c:spPr>
        <a:solidFill>
          <a:srgbClr val="C0C0C0"/>
        </a:solidFill>
        <a:ln w="12700">
          <a:solidFill>
            <a:srgbClr val="808080"/>
          </a:solidFill>
          <a:prstDash val="solid"/>
        </a:ln>
      </c:spPr>
    </c:plotArea>
    <c:legend>
      <c:legendPos val="r"/>
      <c:layout>
        <c:manualLayout>
          <c:xMode val="edge"/>
          <c:yMode val="edge"/>
          <c:x val="0.85636970175475957"/>
          <c:y val="3.6290322580645677E-2"/>
          <c:w val="0.11788632112042907"/>
          <c:h val="4.2338709677419352E-2"/>
        </c:manualLayout>
      </c:layout>
      <c:overlay val="0"/>
      <c:spPr>
        <a:solidFill>
          <a:srgbClr val="FFFFFF"/>
        </a:solidFill>
        <a:ln w="3175">
          <a:solidFill>
            <a:srgbClr val="000000"/>
          </a:solidFill>
          <a:prstDash val="solid"/>
        </a:ln>
      </c:spPr>
      <c:txPr>
        <a:bodyPr/>
        <a:lstStyle/>
        <a:p>
          <a:pPr>
            <a:defRPr sz="78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925" b="0" i="0" u="none" strike="noStrike" baseline="0">
          <a:solidFill>
            <a:srgbClr val="000000"/>
          </a:solidFill>
          <a:latin typeface="Arial"/>
          <a:ea typeface="Arial"/>
          <a:cs typeface="Arial"/>
        </a:defRPr>
      </a:pPr>
      <a:endParaRPr lang="en-US"/>
    </a:p>
  </c:txPr>
  <c:printSettings>
    <c:headerFooter alignWithMargins="0"/>
    <c:pageMargins b="1" l="0.750000000000006" r="0.750000000000006" t="1" header="0.5" footer="0.5"/>
    <c:pageSetup/>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Drop" dropStyle="combo" dx="22" fmlaRange="$1:$1048576" noThreeD="1" sel="0" val="0"/>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Spin" dx="16" fmlaLink="$E$61" max="150" min="10" page="10" val="30"/>
</file>

<file path=xl/ctrlProps/ctrlProp5.xml><?xml version="1.0" encoding="utf-8"?>
<formControlPr xmlns="http://schemas.microsoft.com/office/spreadsheetml/2009/9/main" objectType="Spin" dx="16" fmlaLink="$E$67" max="100" min="1" page="10"/>
</file>

<file path=xl/ctrlProps/ctrlProp6.xml><?xml version="1.0" encoding="utf-8"?>
<formControlPr xmlns="http://schemas.microsoft.com/office/spreadsheetml/2009/9/main" objectType="Spin" dx="16" fmlaLink="$E$68" max="100" min="1" page="10" val="7"/>
</file>

<file path=xl/ctrlProps/ctrlProp7.xml><?xml version="1.0" encoding="utf-8"?>
<formControlPr xmlns="http://schemas.microsoft.com/office/spreadsheetml/2009/9/main" objectType="Spin" dx="16" fmlaLink="$E$69" inc="10" max="1000" min="100" page="10" val="250"/>
</file>

<file path=xl/ctrlProps/ctrlProp8.xml><?xml version="1.0" encoding="utf-8"?>
<formControlPr xmlns="http://schemas.microsoft.com/office/spreadsheetml/2009/9/main" objectType="Spin" dx="16" fmlaLink="$E$70" inc="10" max="1000" min="100" page="10" val="250"/>
</file>

<file path=xl/ctrlProps/ctrlProp9.xml><?xml version="1.0" encoding="utf-8"?>
<formControlPr xmlns="http://schemas.microsoft.com/office/spreadsheetml/2009/9/main" objectType="Drop" dropLines="2" dropStyle="combo" dx="16" fmlaLink="'Variable Management'!$M$56" fmlaRange="'Variable Management'!$L$54:$L$55" noThreeD="1" sel="1" val="0"/>
</file>

<file path=xl/ctrlProps/ctrlProp10.xml><?xml version="1.0" encoding="utf-8"?>
<formControlPr xmlns="http://schemas.microsoft.com/office/spreadsheetml/2009/9/main" objectType="Drop" dropLines="5" dropStyle="combo" dx="16" fmlaLink="'Variable Management'!$V$12" fmlaRange="'Variable Management'!$U$7:$U$11" noThreeD="1" sel="4" val="0"/>
</file>

<file path=xl/ctrlProps/ctrlProp11.xml><?xml version="1.0" encoding="utf-8"?>
<formControlPr xmlns="http://schemas.microsoft.com/office/spreadsheetml/2009/9/main" objectType="Drop" dropLines="2" dropStyle="combo" dx="16" fmlaLink="'Variable Management'!$V$21" fmlaRange="'Variable Management'!$U$19:$U$20" noThreeD="1" sel="2" val="0"/>
</file>

<file path=xl/ctrlProps/ctrlProp12.xml><?xml version="1.0" encoding="utf-8"?>
<formControlPr xmlns="http://schemas.microsoft.com/office/spreadsheetml/2009/9/main" objectType="Drop" dropLines="4" dropStyle="combo" dx="16" fmlaLink="'Schematic &amp; BOM'!$Q$49" fmlaRange="'Variable Management'!$L$48:$L$51" noThreeD="1" sel="1" val="0"/>
</file>

<file path=xl/ctrlProps/ctrlProp13.xml><?xml version="1.0" encoding="utf-8"?>
<formControlPr xmlns="http://schemas.microsoft.com/office/spreadsheetml/2009/9/main" objectType="Drop" dropStyle="combo" dx="16" fmlaLink="$Q$50" fmlaRange="'Variable Management'!$L$48:$L$51" noThreeD="1" sel="1" val="0"/>
</file>

<file path=xl/ctrlProps/ctrlProp14.xml><?xml version="1.0" encoding="utf-8"?>
<formControlPr xmlns="http://schemas.microsoft.com/office/spreadsheetml/2009/9/main" objectType="Drop" dropLines="3" dropStyle="combo" dx="16" fmlaLink="$Q$38" fmlaRange="'Variable Management'!$L$69:$L$71" noThreeD="1" sel="2" val="0"/>
</file>

<file path=xl/ctrlProps/ctrlProp15.xml><?xml version="1.0" encoding="utf-8"?>
<formControlPr xmlns="http://schemas.microsoft.com/office/spreadsheetml/2009/9/main" objectType="Drop" dropLines="3" dropStyle="combo" dx="16" fmlaLink="$Q$39" fmlaRange="'Variable Management'!$L$69:$L$71" noThreeD="1" sel="1" val="0"/>
</file>

<file path=xl/ctrlProps/ctrlProp16.xml><?xml version="1.0" encoding="utf-8"?>
<formControlPr xmlns="http://schemas.microsoft.com/office/spreadsheetml/2009/9/main" objectType="Drop" dropLines="3" dropStyle="combo" dx="16" fmlaLink="$Q$40" fmlaRange="'Variable Management'!$L$69:$L$71" noThreeD="1" sel="1" val="0"/>
</file>

<file path=xl/ctrlProps/ctrlProp17.xml><?xml version="1.0" encoding="utf-8"?>
<formControlPr xmlns="http://schemas.microsoft.com/office/spreadsheetml/2009/9/main" objectType="Drop" dropLines="3" dropStyle="combo" dx="16" fmlaLink="$Q$41" fmlaRange="'Variable Management'!$L$69:$L$71" noThreeD="1" sel="1" val="0"/>
</file>

<file path=xl/ctrlProps/ctrlProp18.xml><?xml version="1.0" encoding="utf-8"?>
<formControlPr xmlns="http://schemas.microsoft.com/office/spreadsheetml/2009/9/main" objectType="Drop" dropLines="3" dropStyle="combo" dx="16" fmlaLink="$Q$42" fmlaRange="'Variable Management'!$L$69:$L$71" noThreeD="1" sel="2" val="0"/>
</file>

<file path=xl/ctrlProps/ctrlProp19.xml><?xml version="1.0" encoding="utf-8"?>
<formControlPr xmlns="http://schemas.microsoft.com/office/spreadsheetml/2009/9/main" objectType="Drop" dropLines="3" dropStyle="combo" dx="16" fmlaLink="$Q$45" fmlaRange="'Variable Management'!$L$69:$L$71" noThreeD="1" sel="2" val="0"/>
</file>

<file path=xl/ctrlProps/ctrlProp20.xml><?xml version="1.0" encoding="utf-8"?>
<formControlPr xmlns="http://schemas.microsoft.com/office/spreadsheetml/2009/9/main" objectType="Drop" dropLines="3" dropStyle="combo" dx="16" fmlaLink="$Q$46" fmlaRange="'Variable Management'!$L$69:$L$71" noThreeD="1" sel="3" val="0"/>
</file>

<file path=xl/ctrlProps/ctrlProp21.xml><?xml version="1.0" encoding="utf-8"?>
<formControlPr xmlns="http://schemas.microsoft.com/office/spreadsheetml/2009/9/main" objectType="Drop" dropLines="3" dropStyle="combo" dx="16" fmlaLink="$Q$47" fmlaRange="'Variable Management'!$L$69:$L$71" noThreeD="1" sel="2" val="0"/>
</file>

<file path=xl/ctrlProps/ctrlProp22.xml><?xml version="1.0" encoding="utf-8"?>
<formControlPr xmlns="http://schemas.microsoft.com/office/spreadsheetml/2009/9/main" objectType="Drop" dropLines="3" dropStyle="combo" dx="16" fmlaLink="$Q$52" fmlaRange="'Variable Management'!$L$69:$L$71" noThreeD="1" sel="1" val="0"/>
</file>

<file path=xl/ctrlProps/ctrlProp23.xml><?xml version="1.0" encoding="utf-8"?>
<formControlPr xmlns="http://schemas.microsoft.com/office/spreadsheetml/2009/9/main" objectType="Drop" dropLines="3" dropStyle="combo" dx="16" fmlaLink="$Q$53" fmlaRange="'Variable Management'!$L$69:$L$71" noThreeD="1" sel="1" val="0"/>
</file>

<file path=xl/ctrlProps/ctrlProp24.xml><?xml version="1.0" encoding="utf-8"?>
<formControlPr xmlns="http://schemas.microsoft.com/office/spreadsheetml/2009/9/main" objectType="Drop" dropLines="3" dropStyle="combo" dx="16" fmlaLink="$Q$54" fmlaRange="'Variable Management'!$L$69:$L$71" noThreeD="1" sel="3" val="0"/>
</file>

<file path=xl/ctrlProps/ctrlProp25.xml><?xml version="1.0" encoding="utf-8"?>
<formControlPr xmlns="http://schemas.microsoft.com/office/spreadsheetml/2009/9/main" objectType="Drop" dropLines="3" dropStyle="combo" dx="16" fmlaLink="$Q$55" fmlaRange="'Variable Management'!$L$69:$L$71" noThreeD="1" sel="1" val="0"/>
</file>

<file path=xl/ctrlProps/ctrlProp26.xml><?xml version="1.0" encoding="utf-8"?>
<formControlPr xmlns="http://schemas.microsoft.com/office/spreadsheetml/2009/9/main" objectType="Drop" dropLines="3" dropStyle="combo" dx="16" fmlaLink="$Q$56" fmlaRange="'Variable Management'!$L$69:$L$71" noThreeD="1" sel="1" val="0"/>
</file>

<file path=xl/ctrlProps/ctrlProp27.xml><?xml version="1.0" encoding="utf-8"?>
<formControlPr xmlns="http://schemas.microsoft.com/office/spreadsheetml/2009/9/main" objectType="Drop" dropLines="3" dropStyle="combo" dx="16" fmlaLink="$Q$57" fmlaRange="'Variable Management'!$L$69:$L$71" noThreeD="1" sel="1" val="0"/>
</file>

<file path=xl/ctrlProps/ctrlProp28.xml><?xml version="1.0" encoding="utf-8"?>
<formControlPr xmlns="http://schemas.microsoft.com/office/spreadsheetml/2009/9/main" objectType="Drop" dropLines="3" dropStyle="combo" dx="16" fmlaLink="$Q$58" fmlaRange="'Variable Management'!$L$69:$L$71" noThreeD="1" sel="1" val="0"/>
</file>

<file path=xl/ctrlProps/ctrlProp29.xml><?xml version="1.0" encoding="utf-8"?>
<formControlPr xmlns="http://schemas.microsoft.com/office/spreadsheetml/2009/9/main" objectType="Drop" dropLines="3" dropStyle="combo" dx="16" fmlaLink="$Q$60" fmlaRange="'Variable Management'!$L$69:$L$71" noThreeD="1" sel="2" val="0"/>
</file>

<file path=xl/ctrlProps/ctrlProp30.xml><?xml version="1.0" encoding="utf-8"?>
<formControlPr xmlns="http://schemas.microsoft.com/office/spreadsheetml/2009/9/main" objectType="Drop" dropLines="3" dropStyle="combo" dx="16" fmlaLink="$Q$61" fmlaRange="'Variable Management'!$L$69:$L$71" noThreeD="1" sel="1" val="0"/>
</file>

<file path=xl/ctrlProps/ctrlProp31.xml><?xml version="1.0" encoding="utf-8"?>
<formControlPr xmlns="http://schemas.microsoft.com/office/spreadsheetml/2009/9/main" objectType="Drop" dropLines="3" dropStyle="combo" dx="16" fmlaLink="$Q$62" fmlaRange="'Variable Management'!$L$69:$L$71" noThreeD="1" sel="1" val="0"/>
</file>

<file path=xl/ctrlProps/ctrlProp32.xml><?xml version="1.0" encoding="utf-8"?>
<formControlPr xmlns="http://schemas.microsoft.com/office/spreadsheetml/2009/9/main" objectType="Drop" dropStyle="combo" dx="16" fmlaLink="$Q$48" fmlaRange="'Variable Management'!$L$78:$L$85" noThreeD="1" sel="7" val="0"/>
</file>

<file path=xl/ctrlProps/ctrlProp33.xml><?xml version="1.0" encoding="utf-8"?>
<formControlPr xmlns="http://schemas.microsoft.com/office/spreadsheetml/2009/9/main" objectType="Drop" dropLines="5" dropStyle="combo" dx="16" fmlaLink="$Q$43" fmlaRange="'Variable Management'!$L$69:$L$73" noThreeD="1" sel="5" val="0"/>
</file>

<file path=xl/ctrlProps/ctrlProp34.xml><?xml version="1.0" encoding="utf-8"?>
<formControlPr xmlns="http://schemas.microsoft.com/office/spreadsheetml/2009/9/main" objectType="Drop" dropLines="5" dropStyle="combo" dx="16" fmlaLink="$Q$44" fmlaRange="'Variable Management'!$L$69:$L$73" noThreeD="1" sel="5" val="0"/>
</file>

<file path=xl/ctrlProps/ctrlProp35.xml><?xml version="1.0" encoding="utf-8"?>
<formControlPr xmlns="http://schemas.microsoft.com/office/spreadsheetml/2009/9/main" objectType="Drop" dropLines="2" dropStyle="combo" dx="16" fmlaLink="'Schematic &amp; BOM'!$R$49" fmlaRange="'Variable Management'!$Q$44:$Q$45" noThreeD="1" sel="1" val="0"/>
</file>

<file path=xl/ctrlProps/ctrlProp36.xml><?xml version="1.0" encoding="utf-8"?>
<formControlPr xmlns="http://schemas.microsoft.com/office/spreadsheetml/2009/9/main" objectType="Drop" dropLines="2" dropStyle="combo" dx="16" fmlaLink="$R$50" fmlaRange="'Variable Management'!$Q$44:$Q$45" noThreeD="1" sel="1" val="0"/>
</file>

<file path=xl/drawings/_rels/drawing1.xml.rels><?xml version="1.0" encoding="UTF-8" standalone="yes"?>
<Relationships xmlns="http://schemas.openxmlformats.org/package/2006/relationships"><Relationship Id="rId8" Type="http://schemas.openxmlformats.org/officeDocument/2006/relationships/image" Target="../media/image4.png"/><Relationship Id="rId3" Type="http://schemas.openxmlformats.org/officeDocument/2006/relationships/chart" Target="../charts/chart2.xml"/><Relationship Id="rId7" Type="http://schemas.openxmlformats.org/officeDocument/2006/relationships/hyperlink" Target="http://www.ti.com/widevin" TargetMode="External"/><Relationship Id="rId2" Type="http://schemas.openxmlformats.org/officeDocument/2006/relationships/chart" Target="../charts/chart1.xml"/><Relationship Id="rId1" Type="http://schemas.openxmlformats.org/officeDocument/2006/relationships/image" Target="../media/image1.emf"/><Relationship Id="rId6" Type="http://schemas.openxmlformats.org/officeDocument/2006/relationships/image" Target="../media/image3.jpg"/><Relationship Id="rId5" Type="http://schemas.openxmlformats.org/officeDocument/2006/relationships/image" Target="../media/image2.jpg"/><Relationship Id="rId4" Type="http://schemas.openxmlformats.org/officeDocument/2006/relationships/hyperlink" Target="http://www.ti.com/power" TargetMode="External"/><Relationship Id="rId9" Type="http://schemas.openxmlformats.org/officeDocument/2006/relationships/image" Target="../media/image5.jpg"/></Relationships>
</file>

<file path=xl/drawings/_rels/drawing3.xml.rels><?xml version="1.0" encoding="UTF-8" standalone="yes"?>
<Relationships xmlns="http://schemas.openxmlformats.org/package/2006/relationships"><Relationship Id="rId1" Type="http://schemas.openxmlformats.org/officeDocument/2006/relationships/image" Target="../media/image8.emf"/></Relationships>
</file>

<file path=xl/drawings/_rels/drawing4.xml.rels><?xml version="1.0" encoding="UTF-8" standalone="yes"?>
<Relationships xmlns="http://schemas.openxmlformats.org/package/2006/relationships"><Relationship Id="rId8" Type="http://schemas.openxmlformats.org/officeDocument/2006/relationships/image" Target="../media/image17.emf"/><Relationship Id="rId3" Type="http://schemas.openxmlformats.org/officeDocument/2006/relationships/image" Target="../media/image12.jpeg"/><Relationship Id="rId7" Type="http://schemas.openxmlformats.org/officeDocument/2006/relationships/image" Target="../media/image16.emf"/><Relationship Id="rId2" Type="http://schemas.openxmlformats.org/officeDocument/2006/relationships/image" Target="../media/image11.emf"/><Relationship Id="rId1" Type="http://schemas.openxmlformats.org/officeDocument/2006/relationships/image" Target="../media/image10.jpeg"/><Relationship Id="rId6" Type="http://schemas.openxmlformats.org/officeDocument/2006/relationships/image" Target="../media/image15.emf"/><Relationship Id="rId5" Type="http://schemas.openxmlformats.org/officeDocument/2006/relationships/image" Target="../media/image14.emf"/><Relationship Id="rId4" Type="http://schemas.openxmlformats.org/officeDocument/2006/relationships/image" Target="../media/image13.jpeg"/></Relationships>
</file>

<file path=xl/drawings/_rels/drawing6.xml.rels><?xml version="1.0" encoding="UTF-8" standalone="yes"?>
<Relationships xmlns="http://schemas.openxmlformats.org/package/2006/relationships"><Relationship Id="rId3" Type="http://schemas.openxmlformats.org/officeDocument/2006/relationships/chart" Target="../charts/chart5.xml"/><Relationship Id="rId2" Type="http://schemas.openxmlformats.org/officeDocument/2006/relationships/chart" Target="../charts/chart4.xml"/><Relationship Id="rId1" Type="http://schemas.openxmlformats.org/officeDocument/2006/relationships/chart" Target="../charts/chart3.xml"/><Relationship Id="rId4" Type="http://schemas.openxmlformats.org/officeDocument/2006/relationships/chart" Target="../charts/chart6.xml"/></Relationships>
</file>

<file path=xl/drawings/_rels/drawing7.xml.rels><?xml version="1.0" encoding="UTF-8" standalone="yes"?>
<Relationships xmlns="http://schemas.openxmlformats.org/package/2006/relationships"><Relationship Id="rId2" Type="http://schemas.openxmlformats.org/officeDocument/2006/relationships/image" Target="../media/image20.emf"/><Relationship Id="rId1" Type="http://schemas.openxmlformats.org/officeDocument/2006/relationships/image" Target="../media/image19.emf"/></Relationships>
</file>

<file path=xl/drawings/_rels/drawing8.xml.rels><?xml version="1.0" encoding="UTF-8" standalone="yes"?>
<Relationships xmlns="http://schemas.openxmlformats.org/package/2006/relationships"><Relationship Id="rId3" Type="http://schemas.openxmlformats.org/officeDocument/2006/relationships/chart" Target="../charts/chart9.xml"/><Relationship Id="rId2" Type="http://schemas.openxmlformats.org/officeDocument/2006/relationships/chart" Target="../charts/chart8.xml"/><Relationship Id="rId1" Type="http://schemas.openxmlformats.org/officeDocument/2006/relationships/chart" Target="../charts/chart7.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7.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9.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18.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390525</xdr:colOff>
          <xdr:row>74</xdr:row>
          <xdr:rowOff>9525</xdr:rowOff>
        </xdr:from>
        <xdr:to>
          <xdr:col>3</xdr:col>
          <xdr:colOff>9525</xdr:colOff>
          <xdr:row>77</xdr:row>
          <xdr:rowOff>19050</xdr:rowOff>
        </xdr:to>
        <xdr:sp macro="" textlink="">
          <xdr:nvSpPr>
            <xdr:cNvPr id="673566" name="Button 798" hidden="1">
              <a:extLst>
                <a:ext uri="{63B3BB69-23CF-44E3-9099-C40C66FF867C}">
                  <a14:compatExt spid="_x0000_s673566"/>
                </a:ext>
                <a:ext uri="{FF2B5EF4-FFF2-40B4-BE49-F238E27FC236}">
                  <a16:creationId xmlns:a16="http://schemas.microsoft.com/office/drawing/2014/main" id="{00000000-0008-0000-0000-00001E470A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RESET VALUES</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2</xdr:col>
          <xdr:colOff>390525</xdr:colOff>
          <xdr:row>74</xdr:row>
          <xdr:rowOff>9525</xdr:rowOff>
        </xdr:from>
        <xdr:to>
          <xdr:col>3</xdr:col>
          <xdr:colOff>9525</xdr:colOff>
          <xdr:row>77</xdr:row>
          <xdr:rowOff>19050</xdr:rowOff>
        </xdr:to>
        <xdr:sp macro="" textlink="">
          <xdr:nvSpPr>
            <xdr:cNvPr id="673565" name="Button 797" hidden="1">
              <a:extLst>
                <a:ext uri="{63B3BB69-23CF-44E3-9099-C40C66FF867C}">
                  <a14:compatExt spid="_x0000_s673565"/>
                </a:ext>
                <a:ext uri="{FF2B5EF4-FFF2-40B4-BE49-F238E27FC236}">
                  <a16:creationId xmlns:a16="http://schemas.microsoft.com/office/drawing/2014/main" id="{00000000-0008-0000-0000-00001D470A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1" i="0" u="none" strike="noStrike" baseline="0">
                  <a:solidFill>
                    <a:srgbClr val="000000"/>
                  </a:solidFill>
                  <a:latin typeface="Arial"/>
                  <a:cs typeface="Arial"/>
                </a:rPr>
                <a:t>FIX</a:t>
              </a:r>
            </a:p>
            <a:p>
              <a:pPr algn="ctr" rtl="0">
                <a:defRPr sz="1000"/>
              </a:pPr>
              <a:r>
                <a:rPr lang="en-US" sz="900" b="1" i="0" u="none" strike="noStrike" baseline="0">
                  <a:solidFill>
                    <a:srgbClr val="000000"/>
                  </a:solidFill>
                  <a:latin typeface="Arial"/>
                  <a:cs typeface="Arial"/>
                </a:rPr>
                <a:t>VALUES</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1695450</xdr:colOff>
          <xdr:row>0</xdr:row>
          <xdr:rowOff>447675</xdr:rowOff>
        </xdr:from>
        <xdr:to>
          <xdr:col>16</xdr:col>
          <xdr:colOff>2076450</xdr:colOff>
          <xdr:row>1</xdr:row>
          <xdr:rowOff>28575</xdr:rowOff>
        </xdr:to>
        <xdr:sp macro="" textlink="">
          <xdr:nvSpPr>
            <xdr:cNvPr id="683100" name="Drop Down 1116" hidden="1">
              <a:extLst>
                <a:ext uri="{63B3BB69-23CF-44E3-9099-C40C66FF867C}">
                  <a14:compatExt spid="_x0000_s683100"/>
                </a:ext>
                <a:ext uri="{FF2B5EF4-FFF2-40B4-BE49-F238E27FC236}">
                  <a16:creationId xmlns:a16="http://schemas.microsoft.com/office/drawing/2014/main" id="{00000000-0008-0000-0000-00005C6C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408044</xdr:colOff>
          <xdr:row>4</xdr:row>
          <xdr:rowOff>244629</xdr:rowOff>
        </xdr:from>
        <xdr:to>
          <xdr:col>16</xdr:col>
          <xdr:colOff>2545342</xdr:colOff>
          <xdr:row>33</xdr:row>
          <xdr:rowOff>46285</xdr:rowOff>
        </xdr:to>
        <xdr:pic>
          <xdr:nvPicPr>
            <xdr:cNvPr id="3" name="Picture 2">
              <a:extLst>
                <a:ext uri="{FF2B5EF4-FFF2-40B4-BE49-F238E27FC236}">
                  <a16:creationId xmlns:a16="http://schemas.microsoft.com/office/drawing/2014/main" id="{00000000-0008-0000-0000-000003000000}"/>
                </a:ext>
              </a:extLst>
            </xdr:cNvPr>
            <xdr:cNvPicPr>
              <a:picLocks noChangeAspect="1"/>
              <a:extLst>
                <a:ext uri="{84589F7E-364E-4C9E-8A38-B11213B215E9}">
                  <a14:cameraTool cellRange="PICTURE10" spid="_x0000_s683236"/>
                </a:ext>
              </a:extLst>
            </xdr:cNvPicPr>
          </xdr:nvPicPr>
          <xdr:blipFill>
            <a:blip xmlns:r="http://schemas.openxmlformats.org/officeDocument/2006/relationships" r:embed="rId1"/>
            <a:stretch>
              <a:fillRect/>
            </a:stretch>
          </xdr:blipFill>
          <xdr:spPr>
            <a:xfrm>
              <a:off x="4145157" y="1377690"/>
              <a:ext cx="9094689" cy="5241673"/>
            </a:xfrm>
            <a:prstGeom prst="rect">
              <a:avLst/>
            </a:prstGeom>
          </xdr:spPr>
        </xdr:pic>
        <xdr:clientData/>
      </xdr:twoCellAnchor>
    </mc:Choice>
    <mc:Fallback/>
  </mc:AlternateContent>
  <xdr:twoCellAnchor editAs="absolute">
    <xdr:from>
      <xdr:col>6</xdr:col>
      <xdr:colOff>228601</xdr:colOff>
      <xdr:row>42</xdr:row>
      <xdr:rowOff>29120</xdr:rowOff>
    </xdr:from>
    <xdr:to>
      <xdr:col>16</xdr:col>
      <xdr:colOff>2217468</xdr:colOff>
      <xdr:row>69</xdr:row>
      <xdr:rowOff>20955</xdr:rowOff>
    </xdr:to>
    <xdr:graphicFrame macro="">
      <xdr:nvGraphicFramePr>
        <xdr:cNvPr id="65" name="Chart 12">
          <a:extLst>
            <a:ext uri="{FF2B5EF4-FFF2-40B4-BE49-F238E27FC236}">
              <a16:creationId xmlns:a16="http://schemas.microsoft.com/office/drawing/2014/main" id="{00000000-0008-0000-0000-00004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556558</xdr:colOff>
      <xdr:row>61</xdr:row>
      <xdr:rowOff>168096</xdr:rowOff>
    </xdr:from>
    <xdr:to>
      <xdr:col>10</xdr:col>
      <xdr:colOff>395010</xdr:colOff>
      <xdr:row>63</xdr:row>
      <xdr:rowOff>7107</xdr:rowOff>
    </xdr:to>
    <xdr:sp macro="" textlink="'Variable Management'!A260">
      <xdr:nvSpPr>
        <xdr:cNvPr id="2071" name="Text Box 23">
          <a:extLst>
            <a:ext uri="{FF2B5EF4-FFF2-40B4-BE49-F238E27FC236}">
              <a16:creationId xmlns:a16="http://schemas.microsoft.com/office/drawing/2014/main" id="{00000000-0008-0000-0000-000017080000}"/>
            </a:ext>
          </a:extLst>
        </xdr:cNvPr>
        <xdr:cNvSpPr txBox="1">
          <a:spLocks noChangeArrowheads="1" noTextEdit="1"/>
        </xdr:cNvSpPr>
      </xdr:nvSpPr>
      <xdr:spPr bwMode="auto">
        <a:xfrm>
          <a:off x="4922818" y="11940996"/>
          <a:ext cx="2132072" cy="212391"/>
        </a:xfrm>
        <a:prstGeom prst="rect">
          <a:avLst/>
        </a:prstGeom>
        <a:solidFill>
          <a:schemeClr val="bg1"/>
        </a:solidFill>
        <a:ln w="9525">
          <a:noFill/>
          <a:miter lim="800000"/>
          <a:headEnd/>
          <a:tailEnd/>
        </a:ln>
      </xdr:spPr>
      <xdr:txBody>
        <a:bodyPr vertOverflow="clip" wrap="square" lIns="27432" tIns="22860" rIns="0" bIns="22860" anchor="ctr" upright="1"/>
        <a:lstStyle/>
        <a:p>
          <a:pPr algn="l" rtl="0">
            <a:defRPr sz="1000"/>
          </a:pPr>
          <a:fld id="{10952A97-D9C5-44B7-89A3-65441574648A}" type="TxLink">
            <a:rPr lang="en-US" sz="1050" b="1" i="0" u="none" strike="noStrike" baseline="0">
              <a:solidFill>
                <a:srgbClr val="FF0000"/>
              </a:solidFill>
              <a:latin typeface="Arial"/>
              <a:cs typeface="Arial"/>
            </a:rPr>
            <a:pPr algn="l" rtl="0">
              <a:defRPr sz="1000"/>
            </a:pPr>
            <a:t>Crossover Frequency = 41 kHz</a:t>
          </a:fld>
          <a:endParaRPr lang="en-US" sz="1050" b="1" i="0" u="none" strike="noStrike" baseline="0">
            <a:solidFill>
              <a:srgbClr val="FF0000"/>
            </a:solidFill>
            <a:latin typeface="Arial"/>
            <a:cs typeface="Arial"/>
          </a:endParaRPr>
        </a:p>
      </xdr:txBody>
    </xdr:sp>
    <xdr:clientData/>
  </xdr:twoCellAnchor>
  <xdr:twoCellAnchor>
    <xdr:from>
      <xdr:col>7</xdr:col>
      <xdr:colOff>552320</xdr:colOff>
      <xdr:row>63</xdr:row>
      <xdr:rowOff>130042</xdr:rowOff>
    </xdr:from>
    <xdr:to>
      <xdr:col>9</xdr:col>
      <xdr:colOff>472440</xdr:colOff>
      <xdr:row>64</xdr:row>
      <xdr:rowOff>187504</xdr:rowOff>
    </xdr:to>
    <xdr:sp macro="" textlink="'Variable Management'!A261">
      <xdr:nvSpPr>
        <xdr:cNvPr id="2072" name="Text Box 24">
          <a:extLst>
            <a:ext uri="{FF2B5EF4-FFF2-40B4-BE49-F238E27FC236}">
              <a16:creationId xmlns:a16="http://schemas.microsoft.com/office/drawing/2014/main" id="{00000000-0008-0000-0000-000018080000}"/>
            </a:ext>
          </a:extLst>
        </xdr:cNvPr>
        <xdr:cNvSpPr txBox="1">
          <a:spLocks noChangeArrowheads="1" noTextEdit="1"/>
        </xdr:cNvSpPr>
      </xdr:nvSpPr>
      <xdr:spPr bwMode="auto">
        <a:xfrm>
          <a:off x="4918580" y="12276322"/>
          <a:ext cx="1360300" cy="255582"/>
        </a:xfrm>
        <a:prstGeom prst="rect">
          <a:avLst/>
        </a:prstGeom>
        <a:solidFill>
          <a:schemeClr val="bg1"/>
        </a:solidFill>
        <a:ln w="9525">
          <a:noFill/>
          <a:miter lim="800000"/>
          <a:headEnd/>
          <a:tailEnd/>
        </a:ln>
      </xdr:spPr>
      <xdr:txBody>
        <a:bodyPr vertOverflow="clip" wrap="square" lIns="27432" tIns="22860" rIns="0" bIns="22860" anchor="ctr" upright="1"/>
        <a:lstStyle/>
        <a:p>
          <a:pPr algn="l" rtl="0">
            <a:defRPr sz="1000"/>
          </a:pPr>
          <a:fld id="{95DD25AA-EC3B-4C80-B80E-8DC148525216}" type="TxLink">
            <a:rPr lang="en-US" sz="1050" b="1" i="0" u="none" strike="noStrike" baseline="0">
              <a:solidFill>
                <a:srgbClr val="002060"/>
              </a:solidFill>
              <a:latin typeface="Arial"/>
              <a:cs typeface="Arial"/>
            </a:rPr>
            <a:pPr algn="l" rtl="0">
              <a:defRPr sz="1000"/>
            </a:pPr>
            <a:t>Phase Margin = 64°</a:t>
          </a:fld>
          <a:endParaRPr lang="en-US" sz="1050" b="1" i="0" u="none" strike="noStrike" baseline="0">
            <a:solidFill>
              <a:srgbClr val="002060"/>
            </a:solidFill>
            <a:latin typeface="Arial"/>
            <a:cs typeface="Arial"/>
          </a:endParaRPr>
        </a:p>
      </xdr:txBody>
    </xdr:sp>
    <xdr:clientData/>
  </xdr:twoCellAnchor>
  <xdr:twoCellAnchor>
    <xdr:from>
      <xdr:col>6</xdr:col>
      <xdr:colOff>295274</xdr:colOff>
      <xdr:row>80</xdr:row>
      <xdr:rowOff>135255</xdr:rowOff>
    </xdr:from>
    <xdr:to>
      <xdr:col>16</xdr:col>
      <xdr:colOff>2343149</xdr:colOff>
      <xdr:row>107</xdr:row>
      <xdr:rowOff>49357</xdr:rowOff>
    </xdr:to>
    <xdr:graphicFrame macro="">
      <xdr:nvGraphicFramePr>
        <xdr:cNvPr id="22339318" name="Chart 253">
          <a:extLst>
            <a:ext uri="{FF2B5EF4-FFF2-40B4-BE49-F238E27FC236}">
              <a16:creationId xmlns:a16="http://schemas.microsoft.com/office/drawing/2014/main" id="{00000000-0008-0000-0000-0000F6DE54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6</xdr:col>
      <xdr:colOff>596595</xdr:colOff>
      <xdr:row>13</xdr:row>
      <xdr:rowOff>151039</xdr:rowOff>
    </xdr:from>
    <xdr:to>
      <xdr:col>7</xdr:col>
      <xdr:colOff>243939</xdr:colOff>
      <xdr:row>14</xdr:row>
      <xdr:rowOff>203796</xdr:rowOff>
    </xdr:to>
    <xdr:sp macro="" textlink="">
      <xdr:nvSpPr>
        <xdr:cNvPr id="2272" name="Text Box 224">
          <a:extLst>
            <a:ext uri="{FF2B5EF4-FFF2-40B4-BE49-F238E27FC236}">
              <a16:creationId xmlns:a16="http://schemas.microsoft.com/office/drawing/2014/main" id="{00000000-0008-0000-0000-0000E0080000}"/>
            </a:ext>
          </a:extLst>
        </xdr:cNvPr>
        <xdr:cNvSpPr txBox="1">
          <a:spLocks noChangeArrowheads="1"/>
        </xdr:cNvSpPr>
      </xdr:nvSpPr>
      <xdr:spPr bwMode="auto">
        <a:xfrm>
          <a:off x="4347980" y="2982162"/>
          <a:ext cx="274528" cy="228603"/>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C</a:t>
          </a:r>
          <a:r>
            <a:rPr lang="en-US" sz="1000" b="0" i="0" strike="noStrike" baseline="-25000">
              <a:solidFill>
                <a:srgbClr val="000000"/>
              </a:solidFill>
              <a:latin typeface="Arial" pitchFamily="34" charset="0"/>
              <a:cs typeface="Arial" pitchFamily="34" charset="0"/>
            </a:rPr>
            <a:t>C3</a:t>
          </a:r>
        </a:p>
      </xdr:txBody>
    </xdr:sp>
    <xdr:clientData/>
  </xdr:twoCellAnchor>
  <xdr:twoCellAnchor>
    <xdr:from>
      <xdr:col>7</xdr:col>
      <xdr:colOff>759806</xdr:colOff>
      <xdr:row>11</xdr:row>
      <xdr:rowOff>40097</xdr:rowOff>
    </xdr:from>
    <xdr:to>
      <xdr:col>8</xdr:col>
      <xdr:colOff>312532</xdr:colOff>
      <xdr:row>12</xdr:row>
      <xdr:rowOff>70462</xdr:rowOff>
    </xdr:to>
    <xdr:sp macro="" textlink="">
      <xdr:nvSpPr>
        <xdr:cNvPr id="2273" name="Text Box 225">
          <a:extLst>
            <a:ext uri="{FF2B5EF4-FFF2-40B4-BE49-F238E27FC236}">
              <a16:creationId xmlns:a16="http://schemas.microsoft.com/office/drawing/2014/main" id="{00000000-0008-0000-0000-0000E1080000}"/>
            </a:ext>
          </a:extLst>
        </xdr:cNvPr>
        <xdr:cNvSpPr txBox="1">
          <a:spLocks noChangeArrowheads="1"/>
        </xdr:cNvSpPr>
      </xdr:nvSpPr>
      <xdr:spPr bwMode="auto">
        <a:xfrm>
          <a:off x="5134582" y="2523321"/>
          <a:ext cx="368515" cy="209659"/>
        </a:xfrm>
        <a:prstGeom prst="rect">
          <a:avLst/>
        </a:prstGeom>
        <a:noFill/>
        <a:ln w="9525">
          <a:noFill/>
          <a:miter lim="800000"/>
          <a:headEnd/>
          <a:tailEnd/>
        </a:ln>
      </xdr:spPr>
      <xdr:txBody>
        <a:bodyPr vertOverflow="clip" wrap="square" lIns="27432" tIns="27432" rIns="0" bIns="0" anchor="ctr" upright="1"/>
        <a:lstStyle/>
        <a:p>
          <a:pPr algn="ctr" rtl="0">
            <a:defRPr sz="1000"/>
          </a:pPr>
          <a:r>
            <a:rPr lang="en-US" sz="1000" b="0" i="0" strike="noStrike">
              <a:solidFill>
                <a:srgbClr val="000000"/>
              </a:solidFill>
              <a:latin typeface="Arial" pitchFamily="34" charset="0"/>
              <a:cs typeface="Arial" pitchFamily="34" charset="0"/>
            </a:rPr>
            <a:t>R</a:t>
          </a:r>
          <a:r>
            <a:rPr lang="en-US" sz="1000" b="0" i="0" strike="noStrike" baseline="-25000">
              <a:solidFill>
                <a:srgbClr val="000000"/>
              </a:solidFill>
              <a:latin typeface="Arial" pitchFamily="34" charset="0"/>
              <a:cs typeface="Arial" pitchFamily="34" charset="0"/>
            </a:rPr>
            <a:t>FB1</a:t>
          </a:r>
        </a:p>
      </xdr:txBody>
    </xdr:sp>
    <xdr:clientData/>
  </xdr:twoCellAnchor>
  <xdr:twoCellAnchor>
    <xdr:from>
      <xdr:col>7</xdr:col>
      <xdr:colOff>4833</xdr:colOff>
      <xdr:row>11</xdr:row>
      <xdr:rowOff>3919</xdr:rowOff>
    </xdr:from>
    <xdr:to>
      <xdr:col>7</xdr:col>
      <xdr:colOff>283187</xdr:colOff>
      <xdr:row>12</xdr:row>
      <xdr:rowOff>74398</xdr:rowOff>
    </xdr:to>
    <xdr:sp macro="" textlink="">
      <xdr:nvSpPr>
        <xdr:cNvPr id="2275" name="Text Box 227">
          <a:extLst>
            <a:ext uri="{FF2B5EF4-FFF2-40B4-BE49-F238E27FC236}">
              <a16:creationId xmlns:a16="http://schemas.microsoft.com/office/drawing/2014/main" id="{00000000-0008-0000-0000-0000E3080000}"/>
            </a:ext>
          </a:extLst>
        </xdr:cNvPr>
        <xdr:cNvSpPr txBox="1">
          <a:spLocks noChangeArrowheads="1"/>
        </xdr:cNvSpPr>
      </xdr:nvSpPr>
      <xdr:spPr bwMode="auto">
        <a:xfrm>
          <a:off x="4383402" y="2459904"/>
          <a:ext cx="278354" cy="246325"/>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R</a:t>
          </a:r>
          <a:r>
            <a:rPr lang="en-US" sz="1000" b="0" i="0" strike="noStrike" baseline="-25000">
              <a:solidFill>
                <a:srgbClr val="000000"/>
              </a:solidFill>
              <a:latin typeface="Arial" pitchFamily="34" charset="0"/>
              <a:cs typeface="Arial" pitchFamily="34" charset="0"/>
            </a:rPr>
            <a:t>C2</a:t>
          </a:r>
        </a:p>
      </xdr:txBody>
    </xdr:sp>
    <xdr:clientData/>
  </xdr:twoCellAnchor>
  <xdr:twoCellAnchor>
    <xdr:from>
      <xdr:col>16</xdr:col>
      <xdr:colOff>1918678</xdr:colOff>
      <xdr:row>20</xdr:row>
      <xdr:rowOff>55039</xdr:rowOff>
    </xdr:from>
    <xdr:to>
      <xdr:col>16</xdr:col>
      <xdr:colOff>2340467</xdr:colOff>
      <xdr:row>21</xdr:row>
      <xdr:rowOff>94916</xdr:rowOff>
    </xdr:to>
    <xdr:sp macro="" textlink="">
      <xdr:nvSpPr>
        <xdr:cNvPr id="2276" name="Text Box 228">
          <a:extLst>
            <a:ext uri="{FF2B5EF4-FFF2-40B4-BE49-F238E27FC236}">
              <a16:creationId xmlns:a16="http://schemas.microsoft.com/office/drawing/2014/main" id="{00000000-0008-0000-0000-0000E4080000}"/>
            </a:ext>
          </a:extLst>
        </xdr:cNvPr>
        <xdr:cNvSpPr txBox="1">
          <a:spLocks noChangeArrowheads="1"/>
        </xdr:cNvSpPr>
      </xdr:nvSpPr>
      <xdr:spPr bwMode="auto">
        <a:xfrm>
          <a:off x="12613182" y="4169839"/>
          <a:ext cx="421789" cy="232034"/>
        </a:xfrm>
        <a:prstGeom prst="rect">
          <a:avLst/>
        </a:prstGeom>
        <a:noFill/>
        <a:ln w="9525">
          <a:noFill/>
          <a:miter lim="800000"/>
          <a:headEnd/>
          <a:tailEnd/>
        </a:ln>
      </xdr:spPr>
      <xdr:txBody>
        <a:bodyPr vertOverflow="clip" wrap="square" lIns="27432" tIns="27432" rIns="0" bIns="0" anchor="ctr" upright="1"/>
        <a:lstStyle/>
        <a:p>
          <a:pPr algn="l" rtl="0">
            <a:defRPr sz="1000"/>
          </a:pPr>
          <a:r>
            <a:rPr lang="en-US" sz="1000" b="0" i="0" strike="noStrike">
              <a:solidFill>
                <a:srgbClr val="000000"/>
              </a:solidFill>
              <a:latin typeface="Arial" pitchFamily="34" charset="0"/>
              <a:cs typeface="Arial" pitchFamily="34" charset="0"/>
            </a:rPr>
            <a:t>C</a:t>
          </a:r>
          <a:r>
            <a:rPr lang="en-US" sz="1000" b="0" i="0" strike="noStrike" baseline="-25000">
              <a:solidFill>
                <a:srgbClr val="000000"/>
              </a:solidFill>
              <a:latin typeface="Arial" pitchFamily="34" charset="0"/>
              <a:cs typeface="Arial" pitchFamily="34" charset="0"/>
            </a:rPr>
            <a:t>OUT</a:t>
          </a:r>
        </a:p>
      </xdr:txBody>
    </xdr:sp>
    <xdr:clientData/>
  </xdr:twoCellAnchor>
  <xdr:twoCellAnchor>
    <xdr:from>
      <xdr:col>13</xdr:col>
      <xdr:colOff>500911</xdr:colOff>
      <xdr:row>29</xdr:row>
      <xdr:rowOff>74937</xdr:rowOff>
    </xdr:from>
    <xdr:to>
      <xdr:col>14</xdr:col>
      <xdr:colOff>363846</xdr:colOff>
      <xdr:row>30</xdr:row>
      <xdr:rowOff>114031</xdr:rowOff>
    </xdr:to>
    <xdr:sp macro="" textlink="">
      <xdr:nvSpPr>
        <xdr:cNvPr id="2279" name="Text Box 231">
          <a:extLst>
            <a:ext uri="{FF2B5EF4-FFF2-40B4-BE49-F238E27FC236}">
              <a16:creationId xmlns:a16="http://schemas.microsoft.com/office/drawing/2014/main" id="{00000000-0008-0000-0000-0000E7080000}"/>
            </a:ext>
          </a:extLst>
        </xdr:cNvPr>
        <xdr:cNvSpPr txBox="1">
          <a:spLocks noChangeArrowheads="1"/>
        </xdr:cNvSpPr>
      </xdr:nvSpPr>
      <xdr:spPr bwMode="auto">
        <a:xfrm>
          <a:off x="9287357" y="5977506"/>
          <a:ext cx="490120" cy="267694"/>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R</a:t>
          </a:r>
          <a:r>
            <a:rPr lang="en-US" sz="1000" b="0" i="0" strike="noStrike" baseline="-25000">
              <a:solidFill>
                <a:srgbClr val="000000"/>
              </a:solidFill>
              <a:latin typeface="Arial" pitchFamily="34" charset="0"/>
              <a:cs typeface="Arial" pitchFamily="34" charset="0"/>
            </a:rPr>
            <a:t>ILIM</a:t>
          </a:r>
        </a:p>
      </xdr:txBody>
    </xdr:sp>
    <xdr:clientData/>
  </xdr:twoCellAnchor>
  <xdr:twoCellAnchor>
    <xdr:from>
      <xdr:col>16</xdr:col>
      <xdr:colOff>996587</xdr:colOff>
      <xdr:row>14</xdr:row>
      <xdr:rowOff>242483</xdr:rowOff>
    </xdr:from>
    <xdr:to>
      <xdr:col>16</xdr:col>
      <xdr:colOff>1341658</xdr:colOff>
      <xdr:row>16</xdr:row>
      <xdr:rowOff>96723</xdr:rowOff>
    </xdr:to>
    <xdr:sp macro="" textlink="">
      <xdr:nvSpPr>
        <xdr:cNvPr id="2283" name="Text Box 235">
          <a:extLst>
            <a:ext uri="{FF2B5EF4-FFF2-40B4-BE49-F238E27FC236}">
              <a16:creationId xmlns:a16="http://schemas.microsoft.com/office/drawing/2014/main" id="{00000000-0008-0000-0000-0000EB080000}"/>
            </a:ext>
          </a:extLst>
        </xdr:cNvPr>
        <xdr:cNvSpPr txBox="1">
          <a:spLocks noChangeArrowheads="1"/>
        </xdr:cNvSpPr>
      </xdr:nvSpPr>
      <xdr:spPr bwMode="auto">
        <a:xfrm>
          <a:off x="11691091" y="3204344"/>
          <a:ext cx="345071" cy="278309"/>
        </a:xfrm>
        <a:prstGeom prst="rect">
          <a:avLst/>
        </a:prstGeom>
        <a:noFill/>
        <a:ln w="9525">
          <a:noFill/>
          <a:miter lim="800000"/>
          <a:headEnd/>
          <a:tailEnd/>
        </a:ln>
      </xdr:spPr>
      <xdr:txBody>
        <a:bodyPr vertOverflow="clip" wrap="square" lIns="27432" tIns="27432" rIns="0" bIns="0" anchor="ctr" upright="1"/>
        <a:lstStyle/>
        <a:p>
          <a:pPr algn="ctr" rtl="0">
            <a:defRPr sz="1000"/>
          </a:pPr>
          <a:r>
            <a:rPr lang="en-US" sz="1000" b="0" i="0" strike="noStrike">
              <a:solidFill>
                <a:srgbClr val="000000"/>
              </a:solidFill>
              <a:latin typeface="Arial" pitchFamily="34" charset="0"/>
              <a:cs typeface="Arial" pitchFamily="34" charset="0"/>
            </a:rPr>
            <a:t>L</a:t>
          </a:r>
          <a:r>
            <a:rPr lang="en-US" sz="1000" b="0" i="0" strike="noStrike" baseline="-25000">
              <a:solidFill>
                <a:srgbClr val="000000"/>
              </a:solidFill>
              <a:latin typeface="Arial" pitchFamily="34" charset="0"/>
              <a:cs typeface="Arial" pitchFamily="34" charset="0"/>
            </a:rPr>
            <a:t>O</a:t>
          </a:r>
        </a:p>
      </xdr:txBody>
    </xdr:sp>
    <xdr:clientData/>
  </xdr:twoCellAnchor>
  <xdr:twoCellAnchor>
    <xdr:from>
      <xdr:col>16</xdr:col>
      <xdr:colOff>866398</xdr:colOff>
      <xdr:row>20</xdr:row>
      <xdr:rowOff>87726</xdr:rowOff>
    </xdr:from>
    <xdr:to>
      <xdr:col>16</xdr:col>
      <xdr:colOff>1192164</xdr:colOff>
      <xdr:row>21</xdr:row>
      <xdr:rowOff>126803</xdr:rowOff>
    </xdr:to>
    <xdr:sp macro="" textlink="">
      <xdr:nvSpPr>
        <xdr:cNvPr id="2292" name="Text Box 244">
          <a:extLst>
            <a:ext uri="{FF2B5EF4-FFF2-40B4-BE49-F238E27FC236}">
              <a16:creationId xmlns:a16="http://schemas.microsoft.com/office/drawing/2014/main" id="{00000000-0008-0000-0000-0000F4080000}"/>
            </a:ext>
          </a:extLst>
        </xdr:cNvPr>
        <xdr:cNvSpPr txBox="1">
          <a:spLocks noChangeArrowheads="1"/>
        </xdr:cNvSpPr>
      </xdr:nvSpPr>
      <xdr:spPr bwMode="auto">
        <a:xfrm>
          <a:off x="11560902" y="4202526"/>
          <a:ext cx="325766" cy="231234"/>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C</a:t>
          </a:r>
          <a:r>
            <a:rPr lang="en-US" sz="1000" b="0" i="0" strike="noStrike" baseline="-25000">
              <a:solidFill>
                <a:srgbClr val="000000"/>
              </a:solidFill>
              <a:latin typeface="Arial" pitchFamily="34" charset="0"/>
              <a:cs typeface="Arial" pitchFamily="34" charset="0"/>
            </a:rPr>
            <a:t>IN</a:t>
          </a:r>
        </a:p>
      </xdr:txBody>
    </xdr:sp>
    <xdr:clientData/>
  </xdr:twoCellAnchor>
  <xdr:twoCellAnchor>
    <xdr:from>
      <xdr:col>15</xdr:col>
      <xdr:colOff>359741</xdr:colOff>
      <xdr:row>26</xdr:row>
      <xdr:rowOff>21177</xdr:rowOff>
    </xdr:from>
    <xdr:to>
      <xdr:col>16</xdr:col>
      <xdr:colOff>41176</xdr:colOff>
      <xdr:row>27</xdr:row>
      <xdr:rowOff>73564</xdr:rowOff>
    </xdr:to>
    <xdr:sp macro="" textlink="">
      <xdr:nvSpPr>
        <xdr:cNvPr id="2297" name="Text Box 249">
          <a:extLst>
            <a:ext uri="{FF2B5EF4-FFF2-40B4-BE49-F238E27FC236}">
              <a16:creationId xmlns:a16="http://schemas.microsoft.com/office/drawing/2014/main" id="{00000000-0008-0000-0000-0000F9080000}"/>
            </a:ext>
          </a:extLst>
        </xdr:cNvPr>
        <xdr:cNvSpPr txBox="1">
          <a:spLocks noChangeArrowheads="1"/>
        </xdr:cNvSpPr>
      </xdr:nvSpPr>
      <xdr:spPr bwMode="auto">
        <a:xfrm>
          <a:off x="10400556" y="5396208"/>
          <a:ext cx="373097" cy="228233"/>
        </a:xfrm>
        <a:prstGeom prst="rect">
          <a:avLst/>
        </a:prstGeom>
        <a:noFill/>
        <a:ln w="9525">
          <a:noFill/>
          <a:miter lim="800000"/>
          <a:headEnd/>
          <a:tailEnd/>
        </a:ln>
      </xdr:spPr>
      <xdr:txBody>
        <a:bodyPr vertOverflow="clip" wrap="square" lIns="27432" tIns="27432" rIns="0" bIns="0" anchor="ctr" upright="1"/>
        <a:lstStyle/>
        <a:p>
          <a:pPr algn="l" rtl="0">
            <a:defRPr sz="1000"/>
          </a:pPr>
          <a:r>
            <a:rPr lang="en-US" sz="1000" b="0" i="0" strike="noStrike">
              <a:solidFill>
                <a:srgbClr val="000000"/>
              </a:solidFill>
              <a:latin typeface="Arial" pitchFamily="34" charset="0"/>
              <a:cs typeface="Arial" pitchFamily="34" charset="0"/>
            </a:rPr>
            <a:t>C</a:t>
          </a:r>
          <a:r>
            <a:rPr lang="en-US" sz="1000" b="0" i="0" strike="noStrike" baseline="-25000">
              <a:solidFill>
                <a:srgbClr val="000000"/>
              </a:solidFill>
              <a:latin typeface="Arial" pitchFamily="34" charset="0"/>
              <a:cs typeface="Arial" pitchFamily="34" charset="0"/>
            </a:rPr>
            <a:t>VCC</a:t>
          </a:r>
        </a:p>
      </xdr:txBody>
    </xdr:sp>
    <xdr:clientData/>
  </xdr:twoCellAnchor>
  <xdr:twoCellAnchor>
    <xdr:from>
      <xdr:col>9</xdr:col>
      <xdr:colOff>450896</xdr:colOff>
      <xdr:row>13</xdr:row>
      <xdr:rowOff>86966</xdr:rowOff>
    </xdr:from>
    <xdr:to>
      <xdr:col>9</xdr:col>
      <xdr:colOff>775670</xdr:colOff>
      <xdr:row>14</xdr:row>
      <xdr:rowOff>191636</xdr:rowOff>
    </xdr:to>
    <xdr:sp macro="" textlink="">
      <xdr:nvSpPr>
        <xdr:cNvPr id="2299" name="Text Box 251">
          <a:extLst>
            <a:ext uri="{FF2B5EF4-FFF2-40B4-BE49-F238E27FC236}">
              <a16:creationId xmlns:a16="http://schemas.microsoft.com/office/drawing/2014/main" id="{00000000-0008-0000-0000-0000FB080000}"/>
            </a:ext>
          </a:extLst>
        </xdr:cNvPr>
        <xdr:cNvSpPr txBox="1">
          <a:spLocks noChangeArrowheads="1"/>
        </xdr:cNvSpPr>
      </xdr:nvSpPr>
      <xdr:spPr bwMode="auto">
        <a:xfrm>
          <a:off x="6271404" y="2918089"/>
          <a:ext cx="324774" cy="280516"/>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C</a:t>
          </a:r>
          <a:r>
            <a:rPr lang="en-US" sz="1000" b="0" i="0" strike="noStrike" baseline="-25000">
              <a:solidFill>
                <a:srgbClr val="000000"/>
              </a:solidFill>
              <a:latin typeface="Arial" pitchFamily="34" charset="0"/>
              <a:cs typeface="Arial" pitchFamily="34" charset="0"/>
            </a:rPr>
            <a:t>SS</a:t>
          </a:r>
        </a:p>
      </xdr:txBody>
    </xdr:sp>
    <xdr:clientData/>
  </xdr:twoCellAnchor>
  <xdr:twoCellAnchor>
    <xdr:from>
      <xdr:col>9</xdr:col>
      <xdr:colOff>22299</xdr:colOff>
      <xdr:row>26</xdr:row>
      <xdr:rowOff>46305</xdr:rowOff>
    </xdr:from>
    <xdr:to>
      <xdr:col>9</xdr:col>
      <xdr:colOff>402179</xdr:colOff>
      <xdr:row>26</xdr:row>
      <xdr:rowOff>46305</xdr:rowOff>
    </xdr:to>
    <xdr:sp macro="" textlink="">
      <xdr:nvSpPr>
        <xdr:cNvPr id="2300" name="Text Box 252">
          <a:extLst>
            <a:ext uri="{FF2B5EF4-FFF2-40B4-BE49-F238E27FC236}">
              <a16:creationId xmlns:a16="http://schemas.microsoft.com/office/drawing/2014/main" id="{00000000-0008-0000-0000-0000FC080000}"/>
            </a:ext>
          </a:extLst>
        </xdr:cNvPr>
        <xdr:cNvSpPr txBox="1">
          <a:spLocks noChangeArrowheads="1"/>
        </xdr:cNvSpPr>
      </xdr:nvSpPr>
      <xdr:spPr bwMode="auto">
        <a:xfrm>
          <a:off x="5840393" y="5434093"/>
          <a:ext cx="379880" cy="0"/>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100" b="0" i="0" strike="noStrike">
              <a:solidFill>
                <a:srgbClr val="000000"/>
              </a:solidFill>
              <a:latin typeface="Calibri"/>
            </a:rPr>
            <a:t>R</a:t>
          </a:r>
          <a:r>
            <a:rPr lang="en-US" sz="1100" b="0" i="0" strike="noStrike" baseline="-25000">
              <a:solidFill>
                <a:srgbClr val="000000"/>
              </a:solidFill>
              <a:latin typeface="Calibri"/>
            </a:rPr>
            <a:t>FADJ</a:t>
          </a:r>
        </a:p>
      </xdr:txBody>
    </xdr:sp>
    <xdr:clientData/>
  </xdr:twoCellAnchor>
  <xdr:twoCellAnchor>
    <xdr:from>
      <xdr:col>7</xdr:col>
      <xdr:colOff>291234</xdr:colOff>
      <xdr:row>19</xdr:row>
      <xdr:rowOff>37243</xdr:rowOff>
    </xdr:from>
    <xdr:to>
      <xdr:col>7</xdr:col>
      <xdr:colOff>686223</xdr:colOff>
      <xdr:row>20</xdr:row>
      <xdr:rowOff>77952</xdr:rowOff>
    </xdr:to>
    <xdr:sp macro="" textlink="">
      <xdr:nvSpPr>
        <xdr:cNvPr id="2303" name="Text Box 255">
          <a:extLst>
            <a:ext uri="{FF2B5EF4-FFF2-40B4-BE49-F238E27FC236}">
              <a16:creationId xmlns:a16="http://schemas.microsoft.com/office/drawing/2014/main" id="{00000000-0008-0000-0000-0000FF080000}"/>
            </a:ext>
          </a:extLst>
        </xdr:cNvPr>
        <xdr:cNvSpPr txBox="1">
          <a:spLocks noChangeArrowheads="1"/>
        </xdr:cNvSpPr>
      </xdr:nvSpPr>
      <xdr:spPr bwMode="auto">
        <a:xfrm>
          <a:off x="4669803" y="4017228"/>
          <a:ext cx="394989" cy="234139"/>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R</a:t>
          </a:r>
          <a:r>
            <a:rPr lang="en-US" sz="1000" b="0" i="0" strike="noStrike" baseline="-25000">
              <a:solidFill>
                <a:srgbClr val="000000"/>
              </a:solidFill>
              <a:latin typeface="Arial" pitchFamily="34" charset="0"/>
              <a:cs typeface="Arial" pitchFamily="34" charset="0"/>
            </a:rPr>
            <a:t>FB2</a:t>
          </a:r>
        </a:p>
      </xdr:txBody>
    </xdr:sp>
    <xdr:clientData/>
  </xdr:twoCellAnchor>
  <xdr:twoCellAnchor>
    <xdr:from>
      <xdr:col>8</xdr:col>
      <xdr:colOff>62964</xdr:colOff>
      <xdr:row>17</xdr:row>
      <xdr:rowOff>144748</xdr:rowOff>
    </xdr:from>
    <xdr:to>
      <xdr:col>8</xdr:col>
      <xdr:colOff>331120</xdr:colOff>
      <xdr:row>18</xdr:row>
      <xdr:rowOff>187394</xdr:rowOff>
    </xdr:to>
    <xdr:sp macro="" textlink="">
      <xdr:nvSpPr>
        <xdr:cNvPr id="2304" name="Text Box 256">
          <a:extLst>
            <a:ext uri="{FF2B5EF4-FFF2-40B4-BE49-F238E27FC236}">
              <a16:creationId xmlns:a16="http://schemas.microsoft.com/office/drawing/2014/main" id="{00000000-0008-0000-0000-000000090000}"/>
            </a:ext>
          </a:extLst>
        </xdr:cNvPr>
        <xdr:cNvSpPr txBox="1">
          <a:spLocks noChangeArrowheads="1"/>
        </xdr:cNvSpPr>
      </xdr:nvSpPr>
      <xdr:spPr bwMode="auto">
        <a:xfrm>
          <a:off x="5256287" y="3755456"/>
          <a:ext cx="268156" cy="218492"/>
        </a:xfrm>
        <a:prstGeom prst="rect">
          <a:avLst/>
        </a:prstGeom>
        <a:noFill/>
        <a:ln w="9525">
          <a:noFill/>
          <a:miter lim="800000"/>
          <a:headEnd/>
          <a:tailEnd/>
        </a:ln>
      </xdr:spPr>
      <xdr:txBody>
        <a:bodyPr vertOverflow="clip" wrap="square" lIns="27432" tIns="27432" rIns="0" bIns="0" anchor="t" upright="1"/>
        <a:lstStyle/>
        <a:p>
          <a:pPr algn="r" rtl="0">
            <a:defRPr sz="1000"/>
          </a:pPr>
          <a:r>
            <a:rPr lang="en-US" sz="1000" b="0" i="0" strike="noStrike">
              <a:solidFill>
                <a:srgbClr val="000000"/>
              </a:solidFill>
              <a:latin typeface="Arial" pitchFamily="34" charset="0"/>
              <a:cs typeface="Arial" pitchFamily="34" charset="0"/>
            </a:rPr>
            <a:t>C</a:t>
          </a:r>
          <a:r>
            <a:rPr lang="en-US" sz="1000" b="0" i="0" strike="noStrike" baseline="-25000">
              <a:solidFill>
                <a:srgbClr val="000000"/>
              </a:solidFill>
              <a:latin typeface="Arial" pitchFamily="34" charset="0"/>
              <a:cs typeface="Arial" pitchFamily="34" charset="0"/>
            </a:rPr>
            <a:t>C2</a:t>
          </a:r>
        </a:p>
      </xdr:txBody>
    </xdr:sp>
    <xdr:clientData/>
  </xdr:twoCellAnchor>
  <xdr:twoCellAnchor>
    <xdr:from>
      <xdr:col>8</xdr:col>
      <xdr:colOff>519797</xdr:colOff>
      <xdr:row>13</xdr:row>
      <xdr:rowOff>148705</xdr:rowOff>
    </xdr:from>
    <xdr:to>
      <xdr:col>9</xdr:col>
      <xdr:colOff>207317</xdr:colOff>
      <xdr:row>14</xdr:row>
      <xdr:rowOff>212782</xdr:rowOff>
    </xdr:to>
    <xdr:sp macro="" textlink="">
      <xdr:nvSpPr>
        <xdr:cNvPr id="2305" name="Text Box 257">
          <a:extLst>
            <a:ext uri="{FF2B5EF4-FFF2-40B4-BE49-F238E27FC236}">
              <a16:creationId xmlns:a16="http://schemas.microsoft.com/office/drawing/2014/main" id="{00000000-0008-0000-0000-000001090000}"/>
            </a:ext>
          </a:extLst>
        </xdr:cNvPr>
        <xdr:cNvSpPr txBox="1">
          <a:spLocks noChangeArrowheads="1"/>
        </xdr:cNvSpPr>
      </xdr:nvSpPr>
      <xdr:spPr bwMode="auto">
        <a:xfrm>
          <a:off x="5710362" y="3008446"/>
          <a:ext cx="315049" cy="243371"/>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C</a:t>
          </a:r>
          <a:r>
            <a:rPr lang="en-US" sz="1000" b="0" i="0" strike="noStrike" baseline="-25000">
              <a:solidFill>
                <a:srgbClr val="000000"/>
              </a:solidFill>
              <a:latin typeface="Arial" pitchFamily="34" charset="0"/>
              <a:cs typeface="Arial" pitchFamily="34" charset="0"/>
            </a:rPr>
            <a:t>C1</a:t>
          </a:r>
        </a:p>
      </xdr:txBody>
    </xdr:sp>
    <xdr:clientData/>
  </xdr:twoCellAnchor>
  <xdr:twoCellAnchor>
    <xdr:from>
      <xdr:col>8</xdr:col>
      <xdr:colOff>76163</xdr:colOff>
      <xdr:row>13</xdr:row>
      <xdr:rowOff>129764</xdr:rowOff>
    </xdr:from>
    <xdr:to>
      <xdr:col>8</xdr:col>
      <xdr:colOff>415626</xdr:colOff>
      <xdr:row>14</xdr:row>
      <xdr:rowOff>199977</xdr:rowOff>
    </xdr:to>
    <xdr:sp macro="" textlink="">
      <xdr:nvSpPr>
        <xdr:cNvPr id="9616412" name="Text Box 258">
          <a:extLst>
            <a:ext uri="{FF2B5EF4-FFF2-40B4-BE49-F238E27FC236}">
              <a16:creationId xmlns:a16="http://schemas.microsoft.com/office/drawing/2014/main" id="{00000000-0008-0000-0000-00001CBC9200}"/>
            </a:ext>
          </a:extLst>
        </xdr:cNvPr>
        <xdr:cNvSpPr txBox="1">
          <a:spLocks noChangeArrowheads="1"/>
        </xdr:cNvSpPr>
      </xdr:nvSpPr>
      <xdr:spPr bwMode="auto">
        <a:xfrm>
          <a:off x="5269486" y="2960887"/>
          <a:ext cx="339463" cy="246059"/>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u="none" strike="noStrike" baseline="0">
              <a:solidFill>
                <a:srgbClr val="000000"/>
              </a:solidFill>
              <a:latin typeface="Arial" pitchFamily="34" charset="0"/>
              <a:cs typeface="Arial" pitchFamily="34" charset="0"/>
            </a:rPr>
            <a:t>R</a:t>
          </a:r>
          <a:r>
            <a:rPr lang="en-US" sz="1000" b="0" i="0" u="none" strike="noStrike" baseline="-25000">
              <a:solidFill>
                <a:srgbClr val="000000"/>
              </a:solidFill>
              <a:latin typeface="Arial" pitchFamily="34" charset="0"/>
              <a:cs typeface="Arial" pitchFamily="34" charset="0"/>
            </a:rPr>
            <a:t>C1</a:t>
          </a:r>
        </a:p>
      </xdr:txBody>
    </xdr:sp>
    <xdr:clientData/>
  </xdr:twoCellAnchor>
  <xdr:twoCellAnchor>
    <xdr:from>
      <xdr:col>15</xdr:col>
      <xdr:colOff>353305</xdr:colOff>
      <xdr:row>27</xdr:row>
      <xdr:rowOff>76189</xdr:rowOff>
    </xdr:from>
    <xdr:to>
      <xdr:col>16</xdr:col>
      <xdr:colOff>79973</xdr:colOff>
      <xdr:row>28</xdr:row>
      <xdr:rowOff>165468</xdr:rowOff>
    </xdr:to>
    <xdr:sp macro="" textlink="">
      <xdr:nvSpPr>
        <xdr:cNvPr id="2308" name="Text Box 260">
          <a:extLst>
            <a:ext uri="{FF2B5EF4-FFF2-40B4-BE49-F238E27FC236}">
              <a16:creationId xmlns:a16="http://schemas.microsoft.com/office/drawing/2014/main" id="{00000000-0008-0000-0000-000004090000}"/>
            </a:ext>
          </a:extLst>
        </xdr:cNvPr>
        <xdr:cNvSpPr txBox="1">
          <a:spLocks noChangeArrowheads="1"/>
        </xdr:cNvSpPr>
      </xdr:nvSpPr>
      <xdr:spPr bwMode="auto">
        <a:xfrm>
          <a:off x="10394120" y="5627066"/>
          <a:ext cx="418330" cy="265125"/>
        </a:xfrm>
        <a:prstGeom prst="rect">
          <a:avLst/>
        </a:prstGeom>
        <a:noFill/>
        <a:ln w="9525">
          <a:noFill/>
          <a:miter lim="800000"/>
          <a:headEnd/>
          <a:tailEnd/>
        </a:ln>
      </xdr:spPr>
      <xdr:txBody>
        <a:bodyPr vertOverflow="clip" wrap="square" lIns="27432" tIns="27432" rIns="0" bIns="0" anchor="ctr" upright="1"/>
        <a:lstStyle/>
        <a:p>
          <a:pPr algn="l" rtl="0">
            <a:defRPr sz="1000"/>
          </a:pPr>
          <a:r>
            <a:rPr lang="en-US" sz="1000" b="0" i="0" strike="noStrike">
              <a:solidFill>
                <a:srgbClr val="000000"/>
              </a:solidFill>
              <a:latin typeface="Arial" pitchFamily="34" charset="0"/>
              <a:cs typeface="Arial" pitchFamily="34" charset="0"/>
            </a:rPr>
            <a:t>2.2</a:t>
          </a:r>
          <a:r>
            <a:rPr lang="el-GR" sz="1000" b="0" i="0" strike="noStrike">
              <a:solidFill>
                <a:srgbClr val="000000"/>
              </a:solidFill>
              <a:latin typeface="Arial" pitchFamily="34" charset="0"/>
              <a:cs typeface="Arial" pitchFamily="34" charset="0"/>
            </a:rPr>
            <a:t>μ</a:t>
          </a:r>
          <a:r>
            <a:rPr lang="en-US" sz="1000" b="0" i="0" strike="noStrike">
              <a:solidFill>
                <a:srgbClr val="000000"/>
              </a:solidFill>
              <a:latin typeface="Arial" pitchFamily="34" charset="0"/>
              <a:cs typeface="Arial" pitchFamily="34" charset="0"/>
            </a:rPr>
            <a:t>F</a:t>
          </a:r>
        </a:p>
      </xdr:txBody>
    </xdr:sp>
    <xdr:clientData/>
  </xdr:twoCellAnchor>
  <xdr:twoCellAnchor>
    <xdr:from>
      <xdr:col>8</xdr:col>
      <xdr:colOff>366144</xdr:colOff>
      <xdr:row>14</xdr:row>
      <xdr:rowOff>149052</xdr:rowOff>
    </xdr:from>
    <xdr:to>
      <xdr:col>9</xdr:col>
      <xdr:colOff>254444</xdr:colOff>
      <xdr:row>15</xdr:row>
      <xdr:rowOff>140755</xdr:rowOff>
    </xdr:to>
    <xdr:sp macro="" textlink="'Variable Management'!B254">
      <xdr:nvSpPr>
        <xdr:cNvPr id="2309" name="Text Box 261">
          <a:extLst>
            <a:ext uri="{FF2B5EF4-FFF2-40B4-BE49-F238E27FC236}">
              <a16:creationId xmlns:a16="http://schemas.microsoft.com/office/drawing/2014/main" id="{00000000-0008-0000-0000-000005090000}"/>
            </a:ext>
          </a:extLst>
        </xdr:cNvPr>
        <xdr:cNvSpPr txBox="1">
          <a:spLocks noChangeArrowheads="1" noTextEdit="1"/>
        </xdr:cNvSpPr>
      </xdr:nvSpPr>
      <xdr:spPr bwMode="auto">
        <a:xfrm>
          <a:off x="5556709" y="3188087"/>
          <a:ext cx="515829" cy="242715"/>
        </a:xfrm>
        <a:prstGeom prst="rect">
          <a:avLst/>
        </a:prstGeom>
        <a:noFill/>
        <a:ln w="9525">
          <a:noFill/>
          <a:miter lim="800000"/>
          <a:headEnd/>
          <a:tailEnd/>
        </a:ln>
      </xdr:spPr>
      <xdr:txBody>
        <a:bodyPr vertOverflow="clip" wrap="square" lIns="27432" tIns="22860" rIns="0" bIns="0" anchor="t" upright="1"/>
        <a:lstStyle/>
        <a:p>
          <a:pPr algn="r" rtl="0">
            <a:defRPr sz="1000"/>
          </a:pPr>
          <a:fld id="{491934A6-59AB-480F-A883-A2630DEA4784}" type="TxLink">
            <a:rPr lang="en-US" sz="1000" b="0" i="0" u="none" strike="noStrike" baseline="0">
              <a:solidFill>
                <a:srgbClr val="000000"/>
              </a:solidFill>
              <a:latin typeface="Arial" pitchFamily="34" charset="0"/>
              <a:cs typeface="Arial" pitchFamily="34" charset="0"/>
            </a:rPr>
            <a:pPr algn="r" rtl="0">
              <a:defRPr sz="1000"/>
            </a:pPr>
            <a:t>39nF</a:t>
          </a:fld>
          <a:endParaRPr lang="en-US" sz="1000" b="0" i="0" u="none" strike="noStrike" baseline="0">
            <a:solidFill>
              <a:srgbClr val="000000"/>
            </a:solidFill>
            <a:latin typeface="Arial" pitchFamily="34" charset="0"/>
            <a:cs typeface="Arial" pitchFamily="34" charset="0"/>
          </a:endParaRPr>
        </a:p>
      </xdr:txBody>
    </xdr:sp>
    <xdr:clientData/>
  </xdr:twoCellAnchor>
  <xdr:twoCellAnchor>
    <xdr:from>
      <xdr:col>8</xdr:col>
      <xdr:colOff>528573</xdr:colOff>
      <xdr:row>17</xdr:row>
      <xdr:rowOff>145320</xdr:rowOff>
    </xdr:from>
    <xdr:to>
      <xdr:col>9</xdr:col>
      <xdr:colOff>373520</xdr:colOff>
      <xdr:row>19</xdr:row>
      <xdr:rowOff>1662</xdr:rowOff>
    </xdr:to>
    <xdr:sp macro="" textlink="'Variable Management'!B255">
      <xdr:nvSpPr>
        <xdr:cNvPr id="2310" name="Text Box 262">
          <a:extLst>
            <a:ext uri="{FF2B5EF4-FFF2-40B4-BE49-F238E27FC236}">
              <a16:creationId xmlns:a16="http://schemas.microsoft.com/office/drawing/2014/main" id="{00000000-0008-0000-0000-000006090000}"/>
            </a:ext>
          </a:extLst>
        </xdr:cNvPr>
        <xdr:cNvSpPr txBox="1">
          <a:spLocks noChangeArrowheads="1" noTextEdit="1"/>
        </xdr:cNvSpPr>
      </xdr:nvSpPr>
      <xdr:spPr bwMode="auto">
        <a:xfrm>
          <a:off x="5721896" y="3756028"/>
          <a:ext cx="472132" cy="225619"/>
        </a:xfrm>
        <a:prstGeom prst="rect">
          <a:avLst/>
        </a:prstGeom>
        <a:noFill/>
        <a:ln w="9525">
          <a:noFill/>
          <a:miter lim="800000"/>
          <a:headEnd/>
          <a:tailEnd/>
        </a:ln>
      </xdr:spPr>
      <xdr:txBody>
        <a:bodyPr vertOverflow="clip" wrap="square" lIns="27432" tIns="22860" rIns="0" bIns="0" anchor="t" upright="1"/>
        <a:lstStyle/>
        <a:p>
          <a:pPr algn="l" rtl="0">
            <a:defRPr sz="1000"/>
          </a:pPr>
          <a:fld id="{2D8520E2-C481-4B17-83BA-3FA209B7A03A}" type="TxLink">
            <a:rPr lang="en-US" sz="1000" b="0" i="0" u="none" strike="noStrike" baseline="0">
              <a:solidFill>
                <a:srgbClr val="000000"/>
              </a:solidFill>
              <a:latin typeface="Arial" pitchFamily="34" charset="0"/>
              <a:cs typeface="Arial" pitchFamily="34" charset="0"/>
            </a:rPr>
            <a:pPr algn="l" rtl="0">
              <a:defRPr sz="1000"/>
            </a:pPr>
            <a:t>180pF</a:t>
          </a:fld>
          <a:endParaRPr lang="en-US" sz="1000" b="0" i="0" u="none" strike="noStrike" baseline="0">
            <a:solidFill>
              <a:srgbClr val="000000"/>
            </a:solidFill>
            <a:latin typeface="Arial" pitchFamily="34" charset="0"/>
            <a:cs typeface="Arial" pitchFamily="34" charset="0"/>
          </a:endParaRPr>
        </a:p>
      </xdr:txBody>
    </xdr:sp>
    <xdr:clientData/>
  </xdr:twoCellAnchor>
  <xdr:twoCellAnchor>
    <xdr:from>
      <xdr:col>7</xdr:col>
      <xdr:colOff>751046</xdr:colOff>
      <xdr:row>14</xdr:row>
      <xdr:rowOff>168174</xdr:rowOff>
    </xdr:from>
    <xdr:to>
      <xdr:col>8</xdr:col>
      <xdr:colOff>475416</xdr:colOff>
      <xdr:row>15</xdr:row>
      <xdr:rowOff>149088</xdr:rowOff>
    </xdr:to>
    <xdr:sp macro="" textlink="'Variable Management'!B253">
      <xdr:nvSpPr>
        <xdr:cNvPr id="2311" name="Text Box 263">
          <a:extLst>
            <a:ext uri="{FF2B5EF4-FFF2-40B4-BE49-F238E27FC236}">
              <a16:creationId xmlns:a16="http://schemas.microsoft.com/office/drawing/2014/main" id="{00000000-0008-0000-0000-000007090000}"/>
            </a:ext>
          </a:extLst>
        </xdr:cNvPr>
        <xdr:cNvSpPr txBox="1">
          <a:spLocks noChangeArrowheads="1" noTextEdit="1"/>
        </xdr:cNvSpPr>
      </xdr:nvSpPr>
      <xdr:spPr bwMode="auto">
        <a:xfrm>
          <a:off x="5129615" y="3175143"/>
          <a:ext cx="539124" cy="232960"/>
        </a:xfrm>
        <a:prstGeom prst="rect">
          <a:avLst/>
        </a:prstGeom>
        <a:noFill/>
        <a:ln w="9525">
          <a:noFill/>
          <a:miter lim="800000"/>
          <a:headEnd/>
          <a:tailEnd/>
        </a:ln>
      </xdr:spPr>
      <xdr:txBody>
        <a:bodyPr vertOverflow="clip" wrap="square" lIns="27432" tIns="22860" rIns="0" bIns="0" anchor="t" upright="1"/>
        <a:lstStyle/>
        <a:p>
          <a:pPr algn="ctr" rtl="0">
            <a:defRPr sz="1000"/>
          </a:pPr>
          <a:fld id="{EDB14F34-7391-4353-9626-FAE030CE211F}" type="TxLink">
            <a:rPr lang="en-US" sz="1000" b="0" i="0" u="none" strike="noStrike" baseline="0">
              <a:solidFill>
                <a:srgbClr val="000000"/>
              </a:solidFill>
              <a:latin typeface="Arial" pitchFamily="34" charset="0"/>
              <a:cs typeface="Arial" pitchFamily="34" charset="0"/>
            </a:rPr>
            <a:pPr algn="ctr" rtl="0">
              <a:defRPr sz="1000"/>
            </a:pPr>
            <a:t>3.83kΩ</a:t>
          </a:fld>
          <a:endParaRPr lang="el-GR" sz="1000" b="0" i="0" u="none" strike="noStrike" baseline="0">
            <a:solidFill>
              <a:srgbClr val="000000"/>
            </a:solidFill>
            <a:latin typeface="Arial" pitchFamily="34" charset="0"/>
            <a:cs typeface="Arial" pitchFamily="34" charset="0"/>
          </a:endParaRPr>
        </a:p>
      </xdr:txBody>
    </xdr:sp>
    <xdr:clientData/>
  </xdr:twoCellAnchor>
  <xdr:twoCellAnchor>
    <xdr:from>
      <xdr:col>6</xdr:col>
      <xdr:colOff>608891</xdr:colOff>
      <xdr:row>20</xdr:row>
      <xdr:rowOff>92775</xdr:rowOff>
    </xdr:from>
    <xdr:to>
      <xdr:col>7</xdr:col>
      <xdr:colOff>592711</xdr:colOff>
      <xdr:row>21</xdr:row>
      <xdr:rowOff>142630</xdr:rowOff>
    </xdr:to>
    <xdr:sp macro="" textlink="'Variable Management'!B259">
      <xdr:nvSpPr>
        <xdr:cNvPr id="2312" name="Text Box 264">
          <a:extLst>
            <a:ext uri="{FF2B5EF4-FFF2-40B4-BE49-F238E27FC236}">
              <a16:creationId xmlns:a16="http://schemas.microsoft.com/office/drawing/2014/main" id="{00000000-0008-0000-0000-000008090000}"/>
            </a:ext>
          </a:extLst>
        </xdr:cNvPr>
        <xdr:cNvSpPr txBox="1">
          <a:spLocks noChangeArrowheads="1" noTextEdit="1"/>
        </xdr:cNvSpPr>
      </xdr:nvSpPr>
      <xdr:spPr bwMode="auto">
        <a:xfrm>
          <a:off x="4360276" y="4266190"/>
          <a:ext cx="611004" cy="243286"/>
        </a:xfrm>
        <a:prstGeom prst="rect">
          <a:avLst/>
        </a:prstGeom>
        <a:noFill/>
        <a:ln w="9525">
          <a:noFill/>
          <a:miter lim="800000"/>
          <a:headEnd/>
          <a:tailEnd/>
        </a:ln>
      </xdr:spPr>
      <xdr:txBody>
        <a:bodyPr vertOverflow="clip" wrap="square" lIns="27432" tIns="22860" rIns="0" bIns="0" anchor="t" upright="1"/>
        <a:lstStyle/>
        <a:p>
          <a:pPr algn="r" rtl="0">
            <a:defRPr sz="1000"/>
          </a:pPr>
          <a:fld id="{4143709D-01BC-4A19-AF00-5C62DAE21E0B}" type="TxLink">
            <a:rPr lang="en-US" sz="1000" b="0" i="0" u="none" strike="noStrike" baseline="0">
              <a:solidFill>
                <a:srgbClr val="000000"/>
              </a:solidFill>
              <a:latin typeface="Arial" pitchFamily="34" charset="0"/>
              <a:cs typeface="Arial" pitchFamily="34" charset="0"/>
            </a:rPr>
            <a:pPr algn="r" rtl="0">
              <a:defRPr sz="1000"/>
            </a:pPr>
            <a:t>3.32kΩ</a:t>
          </a:fld>
          <a:endParaRPr lang="el-GR" sz="1000" b="0" i="0" u="none" strike="noStrike" baseline="0">
            <a:solidFill>
              <a:srgbClr val="000000"/>
            </a:solidFill>
            <a:latin typeface="Arial" pitchFamily="34" charset="0"/>
            <a:cs typeface="Arial" pitchFamily="34" charset="0"/>
          </a:endParaRPr>
        </a:p>
      </xdr:txBody>
    </xdr:sp>
    <xdr:clientData/>
  </xdr:twoCellAnchor>
  <xdr:twoCellAnchor>
    <xdr:from>
      <xdr:col>6</xdr:col>
      <xdr:colOff>490702</xdr:colOff>
      <xdr:row>12</xdr:row>
      <xdr:rowOff>37083</xdr:rowOff>
    </xdr:from>
    <xdr:to>
      <xdr:col>7</xdr:col>
      <xdr:colOff>277268</xdr:colOff>
      <xdr:row>13</xdr:row>
      <xdr:rowOff>112369</xdr:rowOff>
    </xdr:to>
    <xdr:sp macro="" textlink="'Variable Management'!B256">
      <xdr:nvSpPr>
        <xdr:cNvPr id="2313" name="Text Box 265">
          <a:extLst>
            <a:ext uri="{FF2B5EF4-FFF2-40B4-BE49-F238E27FC236}">
              <a16:creationId xmlns:a16="http://schemas.microsoft.com/office/drawing/2014/main" id="{00000000-0008-0000-0000-000009090000}"/>
            </a:ext>
          </a:extLst>
        </xdr:cNvPr>
        <xdr:cNvSpPr txBox="1">
          <a:spLocks noChangeArrowheads="1" noTextEdit="1"/>
        </xdr:cNvSpPr>
      </xdr:nvSpPr>
      <xdr:spPr bwMode="auto">
        <a:xfrm>
          <a:off x="4242087" y="2668914"/>
          <a:ext cx="413750" cy="274578"/>
        </a:xfrm>
        <a:prstGeom prst="rect">
          <a:avLst/>
        </a:prstGeom>
        <a:noFill/>
        <a:ln w="9525">
          <a:noFill/>
          <a:miter lim="800000"/>
          <a:headEnd/>
          <a:tailEnd/>
        </a:ln>
      </xdr:spPr>
      <xdr:txBody>
        <a:bodyPr vertOverflow="clip" wrap="square" lIns="27432" tIns="22860" rIns="0" bIns="0" anchor="t" upright="1"/>
        <a:lstStyle/>
        <a:p>
          <a:pPr algn="r" rtl="0">
            <a:defRPr sz="1000"/>
          </a:pPr>
          <a:fld id="{8A5847E3-10F5-4FFF-8A55-57AE8AD8F48A}" type="TxLink">
            <a:rPr lang="el-GR" sz="1000" b="0" i="0" u="none" strike="noStrike" baseline="0">
              <a:solidFill>
                <a:srgbClr val="000000"/>
              </a:solidFill>
              <a:latin typeface="Arial" pitchFamily="34" charset="0"/>
              <a:cs typeface="Arial" pitchFamily="34" charset="0"/>
            </a:rPr>
            <a:pPr algn="r" rtl="0">
              <a:defRPr sz="1000"/>
            </a:pPr>
            <a:t>523Ω</a:t>
          </a:fld>
          <a:endParaRPr lang="el-GR" sz="1000" b="0" i="0" u="none" strike="noStrike" baseline="0">
            <a:solidFill>
              <a:srgbClr val="000000"/>
            </a:solidFill>
            <a:latin typeface="Arial" pitchFamily="34" charset="0"/>
            <a:cs typeface="Arial" pitchFamily="34" charset="0"/>
          </a:endParaRPr>
        </a:p>
      </xdr:txBody>
    </xdr:sp>
    <xdr:clientData/>
  </xdr:twoCellAnchor>
  <xdr:twoCellAnchor>
    <xdr:from>
      <xdr:col>6</xdr:col>
      <xdr:colOff>450615</xdr:colOff>
      <xdr:row>14</xdr:row>
      <xdr:rowOff>178913</xdr:rowOff>
    </xdr:from>
    <xdr:to>
      <xdr:col>7</xdr:col>
      <xdr:colOff>319549</xdr:colOff>
      <xdr:row>15</xdr:row>
      <xdr:rowOff>121046</xdr:rowOff>
    </xdr:to>
    <xdr:sp macro="" textlink="'Variable Management'!B257">
      <xdr:nvSpPr>
        <xdr:cNvPr id="2314" name="Text Box 266">
          <a:extLst>
            <a:ext uri="{FF2B5EF4-FFF2-40B4-BE49-F238E27FC236}">
              <a16:creationId xmlns:a16="http://schemas.microsoft.com/office/drawing/2014/main" id="{00000000-0008-0000-0000-00000A090000}"/>
            </a:ext>
          </a:extLst>
        </xdr:cNvPr>
        <xdr:cNvSpPr txBox="1">
          <a:spLocks noChangeArrowheads="1" noTextEdit="1"/>
        </xdr:cNvSpPr>
      </xdr:nvSpPr>
      <xdr:spPr bwMode="auto">
        <a:xfrm>
          <a:off x="4202000" y="3185882"/>
          <a:ext cx="496118" cy="194179"/>
        </a:xfrm>
        <a:prstGeom prst="rect">
          <a:avLst/>
        </a:prstGeom>
        <a:noFill/>
        <a:ln w="9525">
          <a:noFill/>
          <a:miter lim="800000"/>
          <a:headEnd/>
          <a:tailEnd/>
        </a:ln>
      </xdr:spPr>
      <xdr:txBody>
        <a:bodyPr vertOverflow="clip" wrap="square" lIns="27432" tIns="22860" rIns="0" bIns="0" anchor="t" upright="1"/>
        <a:lstStyle/>
        <a:p>
          <a:pPr algn="r" rtl="0">
            <a:defRPr sz="1000"/>
          </a:pPr>
          <a:fld id="{6C3BF70F-B67A-49A8-941F-821453611716}" type="TxLink">
            <a:rPr lang="en-US" sz="1000" b="0" i="0" u="none" strike="noStrike" baseline="0">
              <a:solidFill>
                <a:srgbClr val="000000"/>
              </a:solidFill>
              <a:latin typeface="Arial" pitchFamily="34" charset="0"/>
              <a:cs typeface="Arial" pitchFamily="34" charset="0"/>
            </a:rPr>
            <a:pPr algn="r" rtl="0">
              <a:defRPr sz="1000"/>
            </a:pPr>
            <a:t>1200pF</a:t>
          </a:fld>
          <a:endParaRPr lang="en-US" sz="1000" b="0" i="0" u="none" strike="noStrike" baseline="0">
            <a:solidFill>
              <a:srgbClr val="000000"/>
            </a:solidFill>
            <a:latin typeface="Arial" pitchFamily="34" charset="0"/>
            <a:cs typeface="Arial" pitchFamily="34" charset="0"/>
          </a:endParaRPr>
        </a:p>
      </xdr:txBody>
    </xdr:sp>
    <xdr:clientData/>
  </xdr:twoCellAnchor>
  <xdr:twoCellAnchor>
    <xdr:from>
      <xdr:col>16</xdr:col>
      <xdr:colOff>1834680</xdr:colOff>
      <xdr:row>21</xdr:row>
      <xdr:rowOff>108054</xdr:rowOff>
    </xdr:from>
    <xdr:to>
      <xdr:col>16</xdr:col>
      <xdr:colOff>2524681</xdr:colOff>
      <xdr:row>22</xdr:row>
      <xdr:rowOff>175707</xdr:rowOff>
    </xdr:to>
    <xdr:sp macro="" textlink="'Variable Management'!E243">
      <xdr:nvSpPr>
        <xdr:cNvPr id="2315" name="Text Box 267">
          <a:extLst>
            <a:ext uri="{FF2B5EF4-FFF2-40B4-BE49-F238E27FC236}">
              <a16:creationId xmlns:a16="http://schemas.microsoft.com/office/drawing/2014/main" id="{00000000-0008-0000-0000-00000B090000}"/>
            </a:ext>
          </a:extLst>
        </xdr:cNvPr>
        <xdr:cNvSpPr txBox="1">
          <a:spLocks noChangeArrowheads="1" noTextEdit="1"/>
        </xdr:cNvSpPr>
      </xdr:nvSpPr>
      <xdr:spPr bwMode="auto">
        <a:xfrm>
          <a:off x="12529184" y="4415011"/>
          <a:ext cx="690001" cy="239931"/>
        </a:xfrm>
        <a:prstGeom prst="rect">
          <a:avLst/>
        </a:prstGeom>
        <a:noFill/>
        <a:ln w="9525">
          <a:noFill/>
          <a:miter lim="800000"/>
          <a:headEnd/>
          <a:tailEnd/>
        </a:ln>
      </xdr:spPr>
      <xdr:txBody>
        <a:bodyPr vertOverflow="clip" wrap="square" lIns="27432" tIns="22860" rIns="0" bIns="0" anchor="ctr" upright="1"/>
        <a:lstStyle/>
        <a:p>
          <a:pPr algn="l" rtl="0">
            <a:defRPr sz="1000"/>
          </a:pPr>
          <a:fld id="{B1C96643-9062-44BD-9D18-137667D0E8FF}" type="TxLink">
            <a:rPr lang="en-US" sz="1000" b="0" i="0" u="none" strike="noStrike" baseline="0">
              <a:solidFill>
                <a:srgbClr val="000000"/>
              </a:solidFill>
              <a:latin typeface="Arial"/>
              <a:cs typeface="Arial"/>
            </a:rPr>
            <a:pPr algn="l" rtl="0">
              <a:defRPr sz="1000"/>
            </a:pPr>
            <a:t>47µF</a:t>
          </a:fld>
          <a:endParaRPr lang="en-US" sz="1000" b="0" i="0" u="none" strike="noStrike" baseline="0">
            <a:solidFill>
              <a:srgbClr val="000000"/>
            </a:solidFill>
            <a:latin typeface="Arial" pitchFamily="34" charset="0"/>
            <a:cs typeface="Arial" pitchFamily="34" charset="0"/>
          </a:endParaRPr>
        </a:p>
      </xdr:txBody>
    </xdr:sp>
    <xdr:clientData/>
  </xdr:twoCellAnchor>
  <xdr:twoCellAnchor>
    <xdr:from>
      <xdr:col>7</xdr:col>
      <xdr:colOff>773901</xdr:colOff>
      <xdr:row>12</xdr:row>
      <xdr:rowOff>30614</xdr:rowOff>
    </xdr:from>
    <xdr:to>
      <xdr:col>8</xdr:col>
      <xdr:colOff>512153</xdr:colOff>
      <xdr:row>13</xdr:row>
      <xdr:rowOff>142936</xdr:rowOff>
    </xdr:to>
    <xdr:sp macro="" textlink="'Variable Management'!B258">
      <xdr:nvSpPr>
        <xdr:cNvPr id="2316" name="Text Box 268">
          <a:extLst>
            <a:ext uri="{FF2B5EF4-FFF2-40B4-BE49-F238E27FC236}">
              <a16:creationId xmlns:a16="http://schemas.microsoft.com/office/drawing/2014/main" id="{00000000-0008-0000-0000-00000C090000}"/>
            </a:ext>
          </a:extLst>
        </xdr:cNvPr>
        <xdr:cNvSpPr txBox="1">
          <a:spLocks noChangeArrowheads="1" noTextEdit="1"/>
        </xdr:cNvSpPr>
      </xdr:nvSpPr>
      <xdr:spPr bwMode="auto">
        <a:xfrm>
          <a:off x="5148677" y="2693132"/>
          <a:ext cx="554041" cy="309545"/>
        </a:xfrm>
        <a:prstGeom prst="rect">
          <a:avLst/>
        </a:prstGeom>
        <a:noFill/>
        <a:ln w="9525">
          <a:noFill/>
          <a:miter lim="800000"/>
          <a:headEnd/>
          <a:tailEnd/>
        </a:ln>
      </xdr:spPr>
      <xdr:txBody>
        <a:bodyPr vertOverflow="clip" wrap="square" lIns="27432" tIns="22860" rIns="0" bIns="0" anchor="ctr" upright="1"/>
        <a:lstStyle/>
        <a:p>
          <a:pPr algn="l" rtl="0">
            <a:defRPr sz="1000"/>
          </a:pPr>
          <a:fld id="{DE4FB3C5-779F-4472-8885-3DB2A25A3AD8}" type="TxLink">
            <a:rPr lang="en-US" sz="1000" b="0" i="0" u="none" strike="noStrike">
              <a:solidFill>
                <a:srgbClr val="000000"/>
              </a:solidFill>
              <a:latin typeface="Arial" pitchFamily="34" charset="0"/>
              <a:cs typeface="Arial" pitchFamily="34" charset="0"/>
            </a:rPr>
            <a:pPr algn="l" rtl="0">
              <a:defRPr sz="1000"/>
            </a:pPr>
            <a:t>18kΩ</a:t>
          </a:fld>
          <a:endParaRPr lang="el-GR" sz="1000" b="0" i="0" strike="noStrike">
            <a:solidFill>
              <a:srgbClr val="000000"/>
            </a:solidFill>
            <a:latin typeface="Arial" pitchFamily="34" charset="0"/>
            <a:cs typeface="Arial" pitchFamily="34" charset="0"/>
          </a:endParaRPr>
        </a:p>
      </xdr:txBody>
    </xdr:sp>
    <xdr:clientData/>
  </xdr:twoCellAnchor>
  <xdr:twoCellAnchor>
    <xdr:from>
      <xdr:col>13</xdr:col>
      <xdr:colOff>493518</xdr:colOff>
      <xdr:row>30</xdr:row>
      <xdr:rowOff>59671</xdr:rowOff>
    </xdr:from>
    <xdr:to>
      <xdr:col>14</xdr:col>
      <xdr:colOff>454588</xdr:colOff>
      <xdr:row>31</xdr:row>
      <xdr:rowOff>105842</xdr:rowOff>
    </xdr:to>
    <xdr:sp macro="" textlink="'Variable Management'!B268">
      <xdr:nvSpPr>
        <xdr:cNvPr id="2318" name="Text Box 270">
          <a:extLst>
            <a:ext uri="{FF2B5EF4-FFF2-40B4-BE49-F238E27FC236}">
              <a16:creationId xmlns:a16="http://schemas.microsoft.com/office/drawing/2014/main" id="{00000000-0008-0000-0000-00000E090000}"/>
            </a:ext>
          </a:extLst>
        </xdr:cNvPr>
        <xdr:cNvSpPr txBox="1">
          <a:spLocks noChangeArrowheads="1" noTextEdit="1"/>
        </xdr:cNvSpPr>
      </xdr:nvSpPr>
      <xdr:spPr bwMode="auto">
        <a:xfrm>
          <a:off x="9279964" y="6190840"/>
          <a:ext cx="588255" cy="222017"/>
        </a:xfrm>
        <a:prstGeom prst="rect">
          <a:avLst/>
        </a:prstGeom>
        <a:noFill/>
        <a:ln w="9525">
          <a:noFill/>
          <a:miter lim="800000"/>
          <a:headEnd/>
          <a:tailEnd/>
        </a:ln>
      </xdr:spPr>
      <xdr:txBody>
        <a:bodyPr vertOverflow="clip" wrap="square" lIns="27432" tIns="22860" rIns="0" bIns="0" anchor="t" upright="1"/>
        <a:lstStyle/>
        <a:p>
          <a:pPr algn="l" rtl="0">
            <a:defRPr sz="1000"/>
          </a:pPr>
          <a:fld id="{07E99D9F-90DD-4315-B69B-BBFCCDB8D767}" type="TxLink">
            <a:rPr lang="en-US" sz="1000" b="0" i="0" u="none" strike="noStrike" baseline="0">
              <a:solidFill>
                <a:srgbClr val="000000"/>
              </a:solidFill>
              <a:latin typeface="Arial"/>
              <a:cs typeface="Arial"/>
            </a:rPr>
            <a:pPr algn="l" rtl="0">
              <a:defRPr sz="1000"/>
            </a:pPr>
            <a:t>237Ω</a:t>
          </a:fld>
          <a:endParaRPr lang="el-GR" sz="1000" b="0" i="0" u="none" strike="noStrike" baseline="0">
            <a:solidFill>
              <a:srgbClr val="000000"/>
            </a:solidFill>
            <a:latin typeface="Arial" pitchFamily="34" charset="0"/>
            <a:cs typeface="Arial" pitchFamily="34" charset="0"/>
          </a:endParaRPr>
        </a:p>
      </xdr:txBody>
    </xdr:sp>
    <xdr:clientData/>
  </xdr:twoCellAnchor>
  <xdr:twoCellAnchor>
    <xdr:from>
      <xdr:col>16</xdr:col>
      <xdr:colOff>958420</xdr:colOff>
      <xdr:row>17</xdr:row>
      <xdr:rowOff>139630</xdr:rowOff>
    </xdr:from>
    <xdr:to>
      <xdr:col>16</xdr:col>
      <xdr:colOff>1420200</xdr:colOff>
      <xdr:row>19</xdr:row>
      <xdr:rowOff>49126</xdr:rowOff>
    </xdr:to>
    <xdr:sp macro="" textlink="'Variable Management'!B238">
      <xdr:nvSpPr>
        <xdr:cNvPr id="2323" name="Text Box 275">
          <a:extLst>
            <a:ext uri="{FF2B5EF4-FFF2-40B4-BE49-F238E27FC236}">
              <a16:creationId xmlns:a16="http://schemas.microsoft.com/office/drawing/2014/main" id="{00000000-0008-0000-0000-000013090000}"/>
            </a:ext>
          </a:extLst>
        </xdr:cNvPr>
        <xdr:cNvSpPr txBox="1">
          <a:spLocks noChangeArrowheads="1" noTextEdit="1"/>
        </xdr:cNvSpPr>
      </xdr:nvSpPr>
      <xdr:spPr bwMode="auto">
        <a:xfrm>
          <a:off x="11652924" y="3697839"/>
          <a:ext cx="461780" cy="273930"/>
        </a:xfrm>
        <a:prstGeom prst="rect">
          <a:avLst/>
        </a:prstGeom>
        <a:noFill/>
        <a:ln w="9525">
          <a:noFill/>
          <a:miter lim="800000"/>
          <a:headEnd/>
          <a:tailEnd/>
        </a:ln>
      </xdr:spPr>
      <xdr:txBody>
        <a:bodyPr vertOverflow="clip" wrap="square" lIns="27432" tIns="22860" rIns="0" bIns="0" anchor="ctr" upright="1"/>
        <a:lstStyle/>
        <a:p>
          <a:pPr algn="ctr" rtl="0">
            <a:defRPr sz="1000"/>
          </a:pPr>
          <a:fld id="{08583DE7-3129-476B-98BE-2887A134E956}" type="TxLink">
            <a:rPr lang="en-US" sz="1000" b="0" i="0" u="none" strike="noStrike" baseline="0">
              <a:solidFill>
                <a:srgbClr val="000000"/>
              </a:solidFill>
              <a:latin typeface="Arial" pitchFamily="34" charset="0"/>
              <a:cs typeface="Arial" pitchFamily="34" charset="0"/>
            </a:rPr>
            <a:pPr algn="ctr" rtl="0">
              <a:defRPr sz="1000"/>
            </a:pPr>
            <a:t>15µH</a:t>
          </a:fld>
          <a:endParaRPr lang="en-US" sz="1000" b="0" i="0" u="none" strike="noStrike" baseline="0">
            <a:solidFill>
              <a:srgbClr val="000000"/>
            </a:solidFill>
            <a:latin typeface="Arial" pitchFamily="34" charset="0"/>
            <a:cs typeface="Arial" pitchFamily="34" charset="0"/>
          </a:endParaRPr>
        </a:p>
      </xdr:txBody>
    </xdr:sp>
    <xdr:clientData/>
  </xdr:twoCellAnchor>
  <xdr:twoCellAnchor>
    <xdr:from>
      <xdr:col>16</xdr:col>
      <xdr:colOff>820892</xdr:colOff>
      <xdr:row>21</xdr:row>
      <xdr:rowOff>101486</xdr:rowOff>
    </xdr:from>
    <xdr:to>
      <xdr:col>16</xdr:col>
      <xdr:colOff>1458918</xdr:colOff>
      <xdr:row>22</xdr:row>
      <xdr:rowOff>160385</xdr:rowOff>
    </xdr:to>
    <xdr:sp macro="" textlink="'Variable Management'!E250">
      <xdr:nvSpPr>
        <xdr:cNvPr id="2324" name="Text Box 276">
          <a:extLst>
            <a:ext uri="{FF2B5EF4-FFF2-40B4-BE49-F238E27FC236}">
              <a16:creationId xmlns:a16="http://schemas.microsoft.com/office/drawing/2014/main" id="{00000000-0008-0000-0000-000014090000}"/>
            </a:ext>
          </a:extLst>
        </xdr:cNvPr>
        <xdr:cNvSpPr txBox="1">
          <a:spLocks noChangeArrowheads="1" noTextEdit="1"/>
        </xdr:cNvSpPr>
      </xdr:nvSpPr>
      <xdr:spPr bwMode="auto">
        <a:xfrm>
          <a:off x="11515396" y="4408443"/>
          <a:ext cx="638026" cy="231177"/>
        </a:xfrm>
        <a:prstGeom prst="rect">
          <a:avLst/>
        </a:prstGeom>
        <a:noFill/>
        <a:ln w="9525">
          <a:noFill/>
          <a:miter lim="800000"/>
          <a:headEnd/>
          <a:tailEnd/>
        </a:ln>
      </xdr:spPr>
      <xdr:txBody>
        <a:bodyPr vertOverflow="clip" wrap="square" lIns="27432" tIns="22860" rIns="0" bIns="0" anchor="ctr" upright="1"/>
        <a:lstStyle/>
        <a:p>
          <a:pPr algn="l" rtl="0">
            <a:defRPr sz="1000"/>
          </a:pPr>
          <a:fld id="{1B4FF237-4FCE-4391-A30E-D8A66113D8BC}" type="TxLink">
            <a:rPr lang="en-US" sz="1000" b="0" i="0" u="none" strike="noStrike" baseline="0">
              <a:solidFill>
                <a:srgbClr val="000000"/>
              </a:solidFill>
              <a:latin typeface="Arial"/>
              <a:cs typeface="Arial"/>
            </a:rPr>
            <a:pPr algn="l" rtl="0">
              <a:defRPr sz="1000"/>
            </a:pPr>
            <a:t>5 x 4.7µF</a:t>
          </a:fld>
          <a:endParaRPr lang="en-US" sz="1000" b="0" i="0" u="none" strike="noStrike" baseline="0">
            <a:solidFill>
              <a:srgbClr val="000000"/>
            </a:solidFill>
            <a:latin typeface="Arial" pitchFamily="34" charset="0"/>
            <a:cs typeface="Arial" pitchFamily="34" charset="0"/>
          </a:endParaRPr>
        </a:p>
      </xdr:txBody>
    </xdr:sp>
    <xdr:clientData/>
  </xdr:twoCellAnchor>
  <xdr:twoCellAnchor>
    <xdr:from>
      <xdr:col>15</xdr:col>
      <xdr:colOff>124830</xdr:colOff>
      <xdr:row>10</xdr:row>
      <xdr:rowOff>136599</xdr:rowOff>
    </xdr:from>
    <xdr:to>
      <xdr:col>15</xdr:col>
      <xdr:colOff>508235</xdr:colOff>
      <xdr:row>12</xdr:row>
      <xdr:rowOff>17055</xdr:rowOff>
    </xdr:to>
    <xdr:sp macro="" textlink="">
      <xdr:nvSpPr>
        <xdr:cNvPr id="2327" name="Text Box 279">
          <a:extLst>
            <a:ext uri="{FF2B5EF4-FFF2-40B4-BE49-F238E27FC236}">
              <a16:creationId xmlns:a16="http://schemas.microsoft.com/office/drawing/2014/main" id="{00000000-0008-0000-0000-000017090000}"/>
            </a:ext>
          </a:extLst>
        </xdr:cNvPr>
        <xdr:cNvSpPr txBox="1">
          <a:spLocks noChangeArrowheads="1"/>
        </xdr:cNvSpPr>
      </xdr:nvSpPr>
      <xdr:spPr bwMode="auto">
        <a:xfrm>
          <a:off x="10156336" y="2440528"/>
          <a:ext cx="383405" cy="239045"/>
        </a:xfrm>
        <a:prstGeom prst="rect">
          <a:avLst/>
        </a:prstGeom>
        <a:noFill/>
        <a:ln w="9525">
          <a:noFill/>
          <a:miter lim="800000"/>
          <a:headEnd/>
          <a:tailEnd/>
        </a:ln>
      </xdr:spPr>
      <xdr:txBody>
        <a:bodyPr vertOverflow="clip" wrap="square" lIns="27432" tIns="27432" rIns="0" bIns="0" anchor="ctr" upright="1"/>
        <a:lstStyle/>
        <a:p>
          <a:pPr marL="0" marR="0" indent="0" algn="ctr" defTabSz="914400" rtl="0" eaLnBrk="1" fontAlgn="auto" latinLnBrk="0" hangingPunct="1">
            <a:lnSpc>
              <a:spcPct val="100000"/>
            </a:lnSpc>
            <a:spcBef>
              <a:spcPts val="0"/>
            </a:spcBef>
            <a:spcAft>
              <a:spcPts val="0"/>
            </a:spcAft>
            <a:buClrTx/>
            <a:buSzTx/>
            <a:buFontTx/>
            <a:buNone/>
            <a:tabLst/>
            <a:defRPr sz="1000"/>
          </a:pPr>
          <a:r>
            <a:rPr lang="en-US" sz="1000" b="0" i="0">
              <a:latin typeface="Arial" pitchFamily="34" charset="0"/>
              <a:ea typeface="+mn-ea"/>
              <a:cs typeface="Arial" pitchFamily="34" charset="0"/>
            </a:rPr>
            <a:t>0.1</a:t>
          </a:r>
          <a:r>
            <a:rPr lang="el-GR" sz="1000" b="0" i="0">
              <a:latin typeface="Arial" pitchFamily="34" charset="0"/>
              <a:ea typeface="+mn-ea"/>
              <a:cs typeface="Arial" pitchFamily="34" charset="0"/>
            </a:rPr>
            <a:t>μ</a:t>
          </a:r>
          <a:r>
            <a:rPr lang="en-US" sz="1000" b="0" i="0">
              <a:latin typeface="Arial" pitchFamily="34" charset="0"/>
              <a:ea typeface="+mn-ea"/>
              <a:cs typeface="Arial" pitchFamily="34" charset="0"/>
            </a:rPr>
            <a:t>F</a:t>
          </a:r>
          <a:endParaRPr lang="en-US" sz="1000">
            <a:latin typeface="Arial" pitchFamily="34" charset="0"/>
            <a:cs typeface="Arial" pitchFamily="34" charset="0"/>
          </a:endParaRPr>
        </a:p>
      </xdr:txBody>
    </xdr:sp>
    <xdr:clientData/>
  </xdr:twoCellAnchor>
  <xdr:twoCellAnchor>
    <xdr:from>
      <xdr:col>9</xdr:col>
      <xdr:colOff>403006</xdr:colOff>
      <xdr:row>14</xdr:row>
      <xdr:rowOff>183310</xdr:rowOff>
    </xdr:from>
    <xdr:to>
      <xdr:col>9</xdr:col>
      <xdr:colOff>756630</xdr:colOff>
      <xdr:row>15</xdr:row>
      <xdr:rowOff>171154</xdr:rowOff>
    </xdr:to>
    <xdr:sp macro="" textlink="'Variable Management'!B276">
      <xdr:nvSpPr>
        <xdr:cNvPr id="2329" name="Text Box 281">
          <a:extLst>
            <a:ext uri="{FF2B5EF4-FFF2-40B4-BE49-F238E27FC236}">
              <a16:creationId xmlns:a16="http://schemas.microsoft.com/office/drawing/2014/main" id="{00000000-0008-0000-0000-000019090000}"/>
            </a:ext>
          </a:extLst>
        </xdr:cNvPr>
        <xdr:cNvSpPr txBox="1">
          <a:spLocks noChangeArrowheads="1" noTextEdit="1"/>
        </xdr:cNvSpPr>
      </xdr:nvSpPr>
      <xdr:spPr bwMode="auto">
        <a:xfrm>
          <a:off x="6223514" y="3190279"/>
          <a:ext cx="353624" cy="239890"/>
        </a:xfrm>
        <a:prstGeom prst="rect">
          <a:avLst/>
        </a:prstGeom>
        <a:noFill/>
        <a:ln w="9525">
          <a:noFill/>
          <a:miter lim="800000"/>
          <a:headEnd/>
          <a:tailEnd/>
        </a:ln>
      </xdr:spPr>
      <xdr:txBody>
        <a:bodyPr vertOverflow="clip" wrap="square" lIns="27432" tIns="22860" rIns="0" bIns="0" anchor="t" upright="1"/>
        <a:lstStyle/>
        <a:p>
          <a:pPr algn="l" rtl="0">
            <a:defRPr sz="1000"/>
          </a:pPr>
          <a:fld id="{77460045-3ADA-4E36-A50B-8C5C548E137C}" type="TxLink">
            <a:rPr lang="en-US" sz="1000" b="0" i="0" u="none" strike="noStrike">
              <a:solidFill>
                <a:srgbClr val="000000"/>
              </a:solidFill>
              <a:latin typeface="Arial" pitchFamily="34" charset="0"/>
              <a:cs typeface="Arial" pitchFamily="34" charset="0"/>
            </a:rPr>
            <a:pPr algn="l" rtl="0">
              <a:defRPr sz="1000"/>
            </a:pPr>
            <a:t>56nF</a:t>
          </a:fld>
          <a:endParaRPr lang="en-US" sz="1000" b="0" i="0" strike="noStrike">
            <a:solidFill>
              <a:srgbClr val="000000"/>
            </a:solidFill>
            <a:latin typeface="Arial" pitchFamily="34" charset="0"/>
            <a:cs typeface="Arial" pitchFamily="34" charset="0"/>
          </a:endParaRPr>
        </a:p>
      </xdr:txBody>
    </xdr:sp>
    <xdr:clientData/>
  </xdr:twoCellAnchor>
  <xdr:twoCellAnchor>
    <xdr:from>
      <xdr:col>16</xdr:col>
      <xdr:colOff>782099</xdr:colOff>
      <xdr:row>9</xdr:row>
      <xdr:rowOff>124531</xdr:rowOff>
    </xdr:from>
    <xdr:to>
      <xdr:col>16</xdr:col>
      <xdr:colOff>1150439</xdr:colOff>
      <xdr:row>11</xdr:row>
      <xdr:rowOff>19472</xdr:rowOff>
    </xdr:to>
    <xdr:sp macro="" textlink="'Variable Management'!B280">
      <xdr:nvSpPr>
        <xdr:cNvPr id="2331" name="Text Box 283">
          <a:extLst>
            <a:ext uri="{FF2B5EF4-FFF2-40B4-BE49-F238E27FC236}">
              <a16:creationId xmlns:a16="http://schemas.microsoft.com/office/drawing/2014/main" id="{00000000-0008-0000-0000-00001B090000}"/>
            </a:ext>
          </a:extLst>
        </xdr:cNvPr>
        <xdr:cNvSpPr txBox="1">
          <a:spLocks noChangeArrowheads="1" noTextEdit="1"/>
        </xdr:cNvSpPr>
      </xdr:nvSpPr>
      <xdr:spPr bwMode="auto">
        <a:xfrm>
          <a:off x="11476603" y="2198496"/>
          <a:ext cx="368340" cy="239498"/>
        </a:xfrm>
        <a:prstGeom prst="rect">
          <a:avLst/>
        </a:prstGeom>
        <a:noFill/>
        <a:ln w="9525">
          <a:noFill/>
          <a:miter lim="800000"/>
          <a:headEnd/>
          <a:tailEnd/>
        </a:ln>
      </xdr:spPr>
      <xdr:txBody>
        <a:bodyPr vertOverflow="clip" wrap="square" lIns="27432" tIns="22860" rIns="0" bIns="0" anchor="t" upright="1"/>
        <a:lstStyle/>
        <a:p>
          <a:pPr algn="l" rtl="0">
            <a:defRPr sz="1000"/>
          </a:pPr>
          <a:fld id="{211B0151-B00E-493E-8C8F-6E492416D93B}" type="TxLink">
            <a:rPr lang="en-US" sz="1200" b="1" i="0" u="none" strike="noStrike">
              <a:solidFill>
                <a:srgbClr val="FF0000"/>
              </a:solidFill>
              <a:latin typeface="Arial" pitchFamily="34" charset="0"/>
              <a:cs typeface="Arial" pitchFamily="34" charset="0"/>
            </a:rPr>
            <a:pPr algn="l" rtl="0">
              <a:defRPr sz="1000"/>
            </a:pPr>
            <a:t>15V</a:t>
          </a:fld>
          <a:endParaRPr lang="en-US" sz="1200" b="1" i="0" strike="noStrike">
            <a:solidFill>
              <a:srgbClr val="FF0000"/>
            </a:solidFill>
            <a:latin typeface="Arial" pitchFamily="34" charset="0"/>
            <a:cs typeface="Arial" pitchFamily="34" charset="0"/>
          </a:endParaRPr>
        </a:p>
      </xdr:txBody>
    </xdr:sp>
    <xdr:clientData/>
  </xdr:twoCellAnchor>
  <xdr:twoCellAnchor>
    <xdr:from>
      <xdr:col>16</xdr:col>
      <xdr:colOff>2153596</xdr:colOff>
      <xdr:row>18</xdr:row>
      <xdr:rowOff>89339</xdr:rowOff>
    </xdr:from>
    <xdr:to>
      <xdr:col>16</xdr:col>
      <xdr:colOff>2438400</xdr:colOff>
      <xdr:row>19</xdr:row>
      <xdr:rowOff>141401</xdr:rowOff>
    </xdr:to>
    <xdr:sp macro="" textlink="'Variable Management'!B241">
      <xdr:nvSpPr>
        <xdr:cNvPr id="2333" name="Text Box 285">
          <a:extLst>
            <a:ext uri="{FF2B5EF4-FFF2-40B4-BE49-F238E27FC236}">
              <a16:creationId xmlns:a16="http://schemas.microsoft.com/office/drawing/2014/main" id="{00000000-0008-0000-0000-00001D090000}"/>
            </a:ext>
          </a:extLst>
        </xdr:cNvPr>
        <xdr:cNvSpPr txBox="1">
          <a:spLocks noChangeArrowheads="1" noTextEdit="1"/>
        </xdr:cNvSpPr>
      </xdr:nvSpPr>
      <xdr:spPr bwMode="auto">
        <a:xfrm>
          <a:off x="12848100" y="3819826"/>
          <a:ext cx="284804" cy="244218"/>
        </a:xfrm>
        <a:prstGeom prst="rect">
          <a:avLst/>
        </a:prstGeom>
        <a:noFill/>
        <a:ln w="9525">
          <a:noFill/>
          <a:miter lim="800000"/>
          <a:headEnd/>
          <a:tailEnd/>
        </a:ln>
      </xdr:spPr>
      <xdr:txBody>
        <a:bodyPr vertOverflow="clip" wrap="square" lIns="27432" tIns="22860" rIns="0" bIns="0" anchor="t" upright="1"/>
        <a:lstStyle/>
        <a:p>
          <a:pPr algn="l" rtl="0">
            <a:defRPr sz="1000"/>
          </a:pPr>
          <a:fld id="{702C2B8A-7C4B-4FDB-B229-3170089D9686}" type="TxLink">
            <a:rPr lang="en-US" sz="1200" b="1" i="0" u="none" strike="noStrike" baseline="0">
              <a:solidFill>
                <a:srgbClr val="FF0000"/>
              </a:solidFill>
              <a:latin typeface="Arial" pitchFamily="34" charset="0"/>
              <a:cs typeface="Arial" pitchFamily="34" charset="0"/>
            </a:rPr>
            <a:pPr algn="l" rtl="0">
              <a:defRPr sz="1000"/>
            </a:pPr>
            <a:t>5.1V</a:t>
          </a:fld>
          <a:endParaRPr lang="en-US" sz="1200" b="1" i="0" u="none" strike="noStrike" baseline="0">
            <a:solidFill>
              <a:srgbClr val="FF0000"/>
            </a:solidFill>
            <a:latin typeface="Arial" pitchFamily="34" charset="0"/>
            <a:cs typeface="Arial" pitchFamily="34" charset="0"/>
          </a:endParaRPr>
        </a:p>
      </xdr:txBody>
    </xdr:sp>
    <xdr:clientData/>
  </xdr:twoCellAnchor>
  <xdr:twoCellAnchor>
    <xdr:from>
      <xdr:col>16</xdr:col>
      <xdr:colOff>2093962</xdr:colOff>
      <xdr:row>19</xdr:row>
      <xdr:rowOff>116485</xdr:rowOff>
    </xdr:from>
    <xdr:to>
      <xdr:col>16</xdr:col>
      <xdr:colOff>2564296</xdr:colOff>
      <xdr:row>20</xdr:row>
      <xdr:rowOff>172500</xdr:rowOff>
    </xdr:to>
    <xdr:sp macro="" textlink="'Variable Management'!B279">
      <xdr:nvSpPr>
        <xdr:cNvPr id="2334" name="Text Box 286">
          <a:extLst>
            <a:ext uri="{FF2B5EF4-FFF2-40B4-BE49-F238E27FC236}">
              <a16:creationId xmlns:a16="http://schemas.microsoft.com/office/drawing/2014/main" id="{00000000-0008-0000-0000-00001E090000}"/>
            </a:ext>
          </a:extLst>
        </xdr:cNvPr>
        <xdr:cNvSpPr txBox="1">
          <a:spLocks noChangeArrowheads="1" noTextEdit="1"/>
        </xdr:cNvSpPr>
      </xdr:nvSpPr>
      <xdr:spPr bwMode="auto">
        <a:xfrm>
          <a:off x="12788466" y="4039128"/>
          <a:ext cx="470334" cy="248172"/>
        </a:xfrm>
        <a:prstGeom prst="rect">
          <a:avLst/>
        </a:prstGeom>
        <a:noFill/>
        <a:ln w="9525">
          <a:noFill/>
          <a:miter lim="800000"/>
          <a:headEnd/>
          <a:tailEnd/>
        </a:ln>
      </xdr:spPr>
      <xdr:txBody>
        <a:bodyPr vertOverflow="clip" wrap="square" lIns="27432" tIns="22860" rIns="0" bIns="0" anchor="t" upright="1"/>
        <a:lstStyle/>
        <a:p>
          <a:pPr algn="l" rtl="0">
            <a:defRPr sz="1000"/>
          </a:pPr>
          <a:fld id="{E0FB88FA-F39E-4ACF-AB5E-DCB628763AAE}" type="TxLink">
            <a:rPr lang="en-US" sz="1200" b="1" i="0" u="none" strike="noStrike">
              <a:solidFill>
                <a:srgbClr val="FF0000"/>
              </a:solidFill>
              <a:latin typeface="Arial" pitchFamily="34" charset="0"/>
              <a:cs typeface="Arial" pitchFamily="34" charset="0"/>
            </a:rPr>
            <a:pPr algn="l" rtl="0">
              <a:defRPr sz="1000"/>
            </a:pPr>
            <a:t>2A</a:t>
          </a:fld>
          <a:endParaRPr lang="en-US" sz="1200" b="1" i="0" strike="noStrike">
            <a:solidFill>
              <a:srgbClr val="FF0000"/>
            </a:solidFill>
            <a:latin typeface="Arial" pitchFamily="34" charset="0"/>
            <a:cs typeface="Arial" pitchFamily="34" charset="0"/>
          </a:endParaRPr>
        </a:p>
      </xdr:txBody>
    </xdr:sp>
    <xdr:clientData/>
  </xdr:twoCellAnchor>
  <xdr:twoCellAnchor>
    <xdr:from>
      <xdr:col>10</xdr:col>
      <xdr:colOff>244736</xdr:colOff>
      <xdr:row>26</xdr:row>
      <xdr:rowOff>46305</xdr:rowOff>
    </xdr:from>
    <xdr:to>
      <xdr:col>10</xdr:col>
      <xdr:colOff>463811</xdr:colOff>
      <xdr:row>26</xdr:row>
      <xdr:rowOff>46305</xdr:rowOff>
    </xdr:to>
    <xdr:sp macro="" textlink="'Variable Management'!B292">
      <xdr:nvSpPr>
        <xdr:cNvPr id="2347" name="Text Box 299">
          <a:extLst>
            <a:ext uri="{FF2B5EF4-FFF2-40B4-BE49-F238E27FC236}">
              <a16:creationId xmlns:a16="http://schemas.microsoft.com/office/drawing/2014/main" id="{00000000-0008-0000-0000-00002B090000}"/>
            </a:ext>
          </a:extLst>
        </xdr:cNvPr>
        <xdr:cNvSpPr txBox="1">
          <a:spLocks noChangeArrowheads="1" noTextEdit="1"/>
        </xdr:cNvSpPr>
      </xdr:nvSpPr>
      <xdr:spPr bwMode="auto">
        <a:xfrm>
          <a:off x="6914477" y="5434093"/>
          <a:ext cx="219075" cy="0"/>
        </a:xfrm>
        <a:prstGeom prst="rect">
          <a:avLst/>
        </a:prstGeom>
        <a:noFill/>
        <a:ln w="9525">
          <a:noFill/>
          <a:miter lim="800000"/>
          <a:headEnd/>
          <a:tailEnd/>
        </a:ln>
      </xdr:spPr>
      <xdr:txBody>
        <a:bodyPr vertOverflow="clip" wrap="square" lIns="27432" tIns="22860" rIns="0" bIns="0" anchor="t" upright="1"/>
        <a:lstStyle/>
        <a:p>
          <a:pPr algn="l" rtl="0">
            <a:defRPr sz="1000"/>
          </a:pPr>
          <a:fld id="{497BFBE6-0671-4D0F-A59C-D9187795E36B}" type="TxLink">
            <a:rPr lang="en-US" sz="1000" b="0" i="0" u="none" strike="noStrike">
              <a:solidFill>
                <a:srgbClr val="000000"/>
              </a:solidFill>
              <a:latin typeface="Calibri"/>
              <a:cs typeface="Arial"/>
            </a:rPr>
            <a:pPr algn="l" rtl="0">
              <a:defRPr sz="1000"/>
            </a:pPr>
            <a:t>13</a:t>
          </a:fld>
          <a:endParaRPr lang="en-US" sz="1000" b="0" i="0" strike="noStrike">
            <a:solidFill>
              <a:srgbClr val="000000"/>
            </a:solidFill>
            <a:latin typeface="Calibri"/>
          </a:endParaRPr>
        </a:p>
      </xdr:txBody>
    </xdr:sp>
    <xdr:clientData/>
  </xdr:twoCellAnchor>
  <xdr:twoCellAnchor>
    <xdr:from>
      <xdr:col>9</xdr:col>
      <xdr:colOff>609638</xdr:colOff>
      <xdr:row>10</xdr:row>
      <xdr:rowOff>38586</xdr:rowOff>
    </xdr:from>
    <xdr:to>
      <xdr:col>10</xdr:col>
      <xdr:colOff>139318</xdr:colOff>
      <xdr:row>11</xdr:row>
      <xdr:rowOff>123857</xdr:rowOff>
    </xdr:to>
    <xdr:sp macro="" textlink="">
      <xdr:nvSpPr>
        <xdr:cNvPr id="90" name="Text Box 251">
          <a:extLst>
            <a:ext uri="{FF2B5EF4-FFF2-40B4-BE49-F238E27FC236}">
              <a16:creationId xmlns:a16="http://schemas.microsoft.com/office/drawing/2014/main" id="{00000000-0008-0000-0000-00005A000000}"/>
            </a:ext>
          </a:extLst>
        </xdr:cNvPr>
        <xdr:cNvSpPr txBox="1">
          <a:spLocks noChangeArrowheads="1"/>
        </xdr:cNvSpPr>
      </xdr:nvSpPr>
      <xdr:spPr bwMode="auto">
        <a:xfrm>
          <a:off x="6430146" y="2318724"/>
          <a:ext cx="385464" cy="261118"/>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R</a:t>
          </a:r>
          <a:r>
            <a:rPr lang="en-US" sz="1000" b="0" i="0" strike="noStrike" baseline="-25000">
              <a:solidFill>
                <a:srgbClr val="000000"/>
              </a:solidFill>
              <a:latin typeface="Arial" pitchFamily="34" charset="0"/>
              <a:cs typeface="Arial" pitchFamily="34" charset="0"/>
            </a:rPr>
            <a:t>RT</a:t>
          </a:r>
        </a:p>
      </xdr:txBody>
    </xdr:sp>
    <xdr:clientData/>
  </xdr:twoCellAnchor>
  <xdr:twoCellAnchor>
    <xdr:from>
      <xdr:col>9</xdr:col>
      <xdr:colOff>474919</xdr:colOff>
      <xdr:row>11</xdr:row>
      <xdr:rowOff>83690</xdr:rowOff>
    </xdr:from>
    <xdr:to>
      <xdr:col>10</xdr:col>
      <xdr:colOff>156634</xdr:colOff>
      <xdr:row>12</xdr:row>
      <xdr:rowOff>151150</xdr:rowOff>
    </xdr:to>
    <xdr:sp macro="" textlink="'Variable Management'!B275">
      <xdr:nvSpPr>
        <xdr:cNvPr id="91" name="Text Box 281">
          <a:extLst>
            <a:ext uri="{FF2B5EF4-FFF2-40B4-BE49-F238E27FC236}">
              <a16:creationId xmlns:a16="http://schemas.microsoft.com/office/drawing/2014/main" id="{00000000-0008-0000-0000-00005B000000}"/>
            </a:ext>
          </a:extLst>
        </xdr:cNvPr>
        <xdr:cNvSpPr txBox="1">
          <a:spLocks noChangeArrowheads="1" noTextEdit="1"/>
        </xdr:cNvSpPr>
      </xdr:nvSpPr>
      <xdr:spPr bwMode="auto">
        <a:xfrm>
          <a:off x="6295427" y="2539675"/>
          <a:ext cx="537499" cy="243306"/>
        </a:xfrm>
        <a:prstGeom prst="rect">
          <a:avLst/>
        </a:prstGeom>
        <a:noFill/>
        <a:ln w="9525">
          <a:noFill/>
          <a:miter lim="800000"/>
          <a:headEnd/>
          <a:tailEnd/>
        </a:ln>
      </xdr:spPr>
      <xdr:txBody>
        <a:bodyPr vertOverflow="clip" wrap="square" lIns="27432" tIns="22860" rIns="0" bIns="0" anchor="t" upright="1"/>
        <a:lstStyle/>
        <a:p>
          <a:pPr algn="ctr" rtl="0">
            <a:defRPr sz="1000"/>
          </a:pPr>
          <a:fld id="{84EB9262-B954-486D-9975-AAB24967BDAC}" type="TxLink">
            <a:rPr lang="en-US" sz="1000" b="0" i="0" u="none" strike="noStrike">
              <a:solidFill>
                <a:srgbClr val="000000"/>
              </a:solidFill>
              <a:latin typeface="Arial" pitchFamily="34" charset="0"/>
              <a:cs typeface="Arial" pitchFamily="34" charset="0"/>
            </a:rPr>
            <a:pPr algn="ctr" rtl="0">
              <a:defRPr sz="1000"/>
            </a:pPr>
            <a:t>20kΩ</a:t>
          </a:fld>
          <a:endParaRPr lang="en-US" sz="1000" b="0" i="0" strike="noStrike">
            <a:solidFill>
              <a:srgbClr val="000000"/>
            </a:solidFill>
            <a:latin typeface="Arial" pitchFamily="34" charset="0"/>
            <a:cs typeface="Arial" pitchFamily="34" charset="0"/>
          </a:endParaRPr>
        </a:p>
      </xdr:txBody>
    </xdr:sp>
    <xdr:clientData/>
  </xdr:twoCellAnchor>
  <xdr:twoCellAnchor>
    <xdr:from>
      <xdr:col>15</xdr:col>
      <xdr:colOff>99631</xdr:colOff>
      <xdr:row>9</xdr:row>
      <xdr:rowOff>126447</xdr:rowOff>
    </xdr:from>
    <xdr:to>
      <xdr:col>15</xdr:col>
      <xdr:colOff>503574</xdr:colOff>
      <xdr:row>10</xdr:row>
      <xdr:rowOff>176075</xdr:rowOff>
    </xdr:to>
    <xdr:sp macro="" textlink="">
      <xdr:nvSpPr>
        <xdr:cNvPr id="2295" name="Text Box 247">
          <a:extLst>
            <a:ext uri="{FF2B5EF4-FFF2-40B4-BE49-F238E27FC236}">
              <a16:creationId xmlns:a16="http://schemas.microsoft.com/office/drawing/2014/main" id="{00000000-0008-0000-0000-0000F7080000}"/>
            </a:ext>
          </a:extLst>
        </xdr:cNvPr>
        <xdr:cNvSpPr txBox="1">
          <a:spLocks noChangeArrowheads="1"/>
        </xdr:cNvSpPr>
      </xdr:nvSpPr>
      <xdr:spPr bwMode="auto">
        <a:xfrm>
          <a:off x="10131137" y="2251082"/>
          <a:ext cx="403943" cy="228922"/>
        </a:xfrm>
        <a:prstGeom prst="rect">
          <a:avLst/>
        </a:prstGeom>
        <a:noFill/>
        <a:ln w="9525">
          <a:noFill/>
          <a:miter lim="800000"/>
          <a:headEnd/>
          <a:tailEnd/>
        </a:ln>
      </xdr:spPr>
      <xdr:txBody>
        <a:bodyPr vertOverflow="clip" wrap="square" lIns="27432" tIns="27432" rIns="0" bIns="0" anchor="ctr" upright="1"/>
        <a:lstStyle/>
        <a:p>
          <a:pPr algn="ctr" rtl="0">
            <a:defRPr sz="1000"/>
          </a:pPr>
          <a:r>
            <a:rPr lang="en-US" sz="1000" b="0" i="0" strike="noStrike">
              <a:solidFill>
                <a:srgbClr val="000000"/>
              </a:solidFill>
              <a:latin typeface="Arial" pitchFamily="34" charset="0"/>
              <a:cs typeface="Arial" pitchFamily="34" charset="0"/>
            </a:rPr>
            <a:t>C</a:t>
          </a:r>
          <a:r>
            <a:rPr lang="en-US" sz="1000" b="0" i="0" strike="noStrike" baseline="-25000">
              <a:solidFill>
                <a:srgbClr val="000000"/>
              </a:solidFill>
              <a:latin typeface="Arial" pitchFamily="34" charset="0"/>
              <a:cs typeface="Arial" pitchFamily="34" charset="0"/>
            </a:rPr>
            <a:t>BOOT</a:t>
          </a:r>
        </a:p>
      </xdr:txBody>
    </xdr:sp>
    <xdr:clientData/>
  </xdr:twoCellAnchor>
  <xdr:twoCellAnchor>
    <xdr:from>
      <xdr:col>16</xdr:col>
      <xdr:colOff>290845</xdr:colOff>
      <xdr:row>18</xdr:row>
      <xdr:rowOff>62727</xdr:rowOff>
    </xdr:from>
    <xdr:to>
      <xdr:col>16</xdr:col>
      <xdr:colOff>609880</xdr:colOff>
      <xdr:row>19</xdr:row>
      <xdr:rowOff>176994</xdr:rowOff>
    </xdr:to>
    <xdr:sp macro="" textlink="">
      <xdr:nvSpPr>
        <xdr:cNvPr id="97" name="Text Box 244">
          <a:extLst>
            <a:ext uri="{FF2B5EF4-FFF2-40B4-BE49-F238E27FC236}">
              <a16:creationId xmlns:a16="http://schemas.microsoft.com/office/drawing/2014/main" id="{00000000-0008-0000-0000-000061000000}"/>
            </a:ext>
          </a:extLst>
        </xdr:cNvPr>
        <xdr:cNvSpPr txBox="1">
          <a:spLocks noChangeArrowheads="1"/>
        </xdr:cNvSpPr>
      </xdr:nvSpPr>
      <xdr:spPr bwMode="auto">
        <a:xfrm>
          <a:off x="11023322" y="3849281"/>
          <a:ext cx="319035" cy="307698"/>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Q</a:t>
          </a:r>
          <a:r>
            <a:rPr lang="en-US" sz="1000" b="0" i="0" strike="noStrike" baseline="-25000">
              <a:solidFill>
                <a:srgbClr val="000000"/>
              </a:solidFill>
              <a:latin typeface="Arial" pitchFamily="34" charset="0"/>
              <a:cs typeface="Arial" pitchFamily="34" charset="0"/>
            </a:rPr>
            <a:t>2</a:t>
          </a:r>
        </a:p>
      </xdr:txBody>
    </xdr:sp>
    <xdr:clientData/>
  </xdr:twoCellAnchor>
  <xdr:twoCellAnchor>
    <xdr:from>
      <xdr:col>16</xdr:col>
      <xdr:colOff>239500</xdr:colOff>
      <xdr:row>13</xdr:row>
      <xdr:rowOff>17014</xdr:rowOff>
    </xdr:from>
    <xdr:to>
      <xdr:col>16</xdr:col>
      <xdr:colOff>562345</xdr:colOff>
      <xdr:row>14</xdr:row>
      <xdr:rowOff>112859</xdr:rowOff>
    </xdr:to>
    <xdr:sp macro="" textlink="">
      <xdr:nvSpPr>
        <xdr:cNvPr id="102" name="Text Box 244">
          <a:extLst>
            <a:ext uri="{FF2B5EF4-FFF2-40B4-BE49-F238E27FC236}">
              <a16:creationId xmlns:a16="http://schemas.microsoft.com/office/drawing/2014/main" id="{00000000-0008-0000-0000-000066000000}"/>
            </a:ext>
          </a:extLst>
        </xdr:cNvPr>
        <xdr:cNvSpPr txBox="1">
          <a:spLocks noChangeArrowheads="1"/>
        </xdr:cNvSpPr>
      </xdr:nvSpPr>
      <xdr:spPr bwMode="auto">
        <a:xfrm>
          <a:off x="10934004" y="2806597"/>
          <a:ext cx="322845" cy="268123"/>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Q</a:t>
          </a:r>
          <a:r>
            <a:rPr lang="en-US" sz="1000" b="0" i="0" strike="noStrike" baseline="-25000">
              <a:solidFill>
                <a:srgbClr val="000000"/>
              </a:solidFill>
              <a:latin typeface="Arial" pitchFamily="34" charset="0"/>
              <a:cs typeface="Arial" pitchFamily="34" charset="0"/>
            </a:rPr>
            <a:t>1</a:t>
          </a:r>
        </a:p>
      </xdr:txBody>
    </xdr:sp>
    <xdr:clientData/>
  </xdr:twoCellAnchor>
  <xdr:twoCellAnchor>
    <xdr:from>
      <xdr:col>11</xdr:col>
      <xdr:colOff>38412</xdr:colOff>
      <xdr:row>6</xdr:row>
      <xdr:rowOff>39262</xdr:rowOff>
    </xdr:from>
    <xdr:to>
      <xdr:col>11</xdr:col>
      <xdr:colOff>607274</xdr:colOff>
      <xdr:row>7</xdr:row>
      <xdr:rowOff>83672</xdr:rowOff>
    </xdr:to>
    <xdr:sp macro="" textlink="'Variable Management'!G98">
      <xdr:nvSpPr>
        <xdr:cNvPr id="66" name="Text Box 264">
          <a:extLst>
            <a:ext uri="{FF2B5EF4-FFF2-40B4-BE49-F238E27FC236}">
              <a16:creationId xmlns:a16="http://schemas.microsoft.com/office/drawing/2014/main" id="{00000000-0008-0000-0000-000042000000}"/>
            </a:ext>
          </a:extLst>
        </xdr:cNvPr>
        <xdr:cNvSpPr txBox="1">
          <a:spLocks noChangeArrowheads="1" noTextEdit="1"/>
        </xdr:cNvSpPr>
      </xdr:nvSpPr>
      <xdr:spPr bwMode="auto">
        <a:xfrm>
          <a:off x="7313855" y="1596392"/>
          <a:ext cx="568862" cy="216689"/>
        </a:xfrm>
        <a:prstGeom prst="rect">
          <a:avLst/>
        </a:prstGeom>
        <a:noFill/>
        <a:ln w="9525">
          <a:noFill/>
          <a:miter lim="800000"/>
          <a:headEnd/>
          <a:tailEnd/>
        </a:ln>
      </xdr:spPr>
      <xdr:txBody>
        <a:bodyPr vertOverflow="clip" wrap="square" lIns="27432" tIns="22860" rIns="0" bIns="0" anchor="t" upright="1"/>
        <a:lstStyle/>
        <a:p>
          <a:pPr algn="r" rtl="0">
            <a:defRPr sz="1000"/>
          </a:pPr>
          <a:fld id="{123D91BC-1DE9-4CAD-9801-8A70C08E2402}" type="TxLink">
            <a:rPr lang="en-US" sz="1000" b="0" i="0" u="none" strike="noStrike" baseline="0">
              <a:solidFill>
                <a:srgbClr val="000000"/>
              </a:solidFill>
              <a:latin typeface="Arialri"/>
              <a:cs typeface="Arial" pitchFamily="34" charset="0"/>
            </a:rPr>
            <a:pPr algn="r" rtl="0">
              <a:defRPr sz="1000"/>
            </a:pPr>
            <a:t>3.24kΩ</a:t>
          </a:fld>
          <a:endParaRPr lang="el-GR" sz="1000" b="0" i="0" u="none" strike="noStrike" baseline="0">
            <a:solidFill>
              <a:srgbClr val="000000"/>
            </a:solidFill>
            <a:latin typeface="Arial" pitchFamily="34" charset="0"/>
            <a:cs typeface="Arial" pitchFamily="34" charset="0"/>
          </a:endParaRPr>
        </a:p>
      </xdr:txBody>
    </xdr:sp>
    <xdr:clientData/>
  </xdr:twoCellAnchor>
  <xdr:twoCellAnchor>
    <xdr:from>
      <xdr:col>11</xdr:col>
      <xdr:colOff>210793</xdr:colOff>
      <xdr:row>5</xdr:row>
      <xdr:rowOff>8247</xdr:rowOff>
    </xdr:from>
    <xdr:to>
      <xdr:col>11</xdr:col>
      <xdr:colOff>631862</xdr:colOff>
      <xdr:row>6</xdr:row>
      <xdr:rowOff>38645</xdr:rowOff>
    </xdr:to>
    <xdr:sp macro="" textlink="">
      <xdr:nvSpPr>
        <xdr:cNvPr id="68" name="Text Box 255">
          <a:extLst>
            <a:ext uri="{FF2B5EF4-FFF2-40B4-BE49-F238E27FC236}">
              <a16:creationId xmlns:a16="http://schemas.microsoft.com/office/drawing/2014/main" id="{00000000-0008-0000-0000-000044000000}"/>
            </a:ext>
          </a:extLst>
        </xdr:cNvPr>
        <xdr:cNvSpPr txBox="1">
          <a:spLocks noChangeArrowheads="1"/>
        </xdr:cNvSpPr>
      </xdr:nvSpPr>
      <xdr:spPr bwMode="auto">
        <a:xfrm>
          <a:off x="7486236" y="1393099"/>
          <a:ext cx="421069" cy="202676"/>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R</a:t>
          </a:r>
          <a:r>
            <a:rPr lang="en-US" sz="1000" b="0" i="0" strike="noStrike" baseline="-25000">
              <a:solidFill>
                <a:srgbClr val="000000"/>
              </a:solidFill>
              <a:latin typeface="Arial" pitchFamily="34" charset="0"/>
              <a:cs typeface="Arial" pitchFamily="34" charset="0"/>
            </a:rPr>
            <a:t>UV2</a:t>
          </a:r>
        </a:p>
      </xdr:txBody>
    </xdr:sp>
    <xdr:clientData/>
  </xdr:twoCellAnchor>
  <xdr:twoCellAnchor>
    <xdr:from>
      <xdr:col>11</xdr:col>
      <xdr:colOff>787842</xdr:colOff>
      <xdr:row>6</xdr:row>
      <xdr:rowOff>29009</xdr:rowOff>
    </xdr:from>
    <xdr:to>
      <xdr:col>12</xdr:col>
      <xdr:colOff>521557</xdr:colOff>
      <xdr:row>7</xdr:row>
      <xdr:rowOff>65707</xdr:rowOff>
    </xdr:to>
    <xdr:sp macro="" textlink="'Variable Management'!G97">
      <xdr:nvSpPr>
        <xdr:cNvPr id="69" name="Text Box 264">
          <a:extLst>
            <a:ext uri="{FF2B5EF4-FFF2-40B4-BE49-F238E27FC236}">
              <a16:creationId xmlns:a16="http://schemas.microsoft.com/office/drawing/2014/main" id="{00000000-0008-0000-0000-000045000000}"/>
            </a:ext>
          </a:extLst>
        </xdr:cNvPr>
        <xdr:cNvSpPr txBox="1">
          <a:spLocks noChangeArrowheads="1" noTextEdit="1"/>
        </xdr:cNvSpPr>
      </xdr:nvSpPr>
      <xdr:spPr bwMode="auto">
        <a:xfrm>
          <a:off x="8063285" y="1586139"/>
          <a:ext cx="588481" cy="208977"/>
        </a:xfrm>
        <a:prstGeom prst="rect">
          <a:avLst/>
        </a:prstGeom>
        <a:noFill/>
        <a:ln w="9525">
          <a:noFill/>
          <a:miter lim="800000"/>
          <a:headEnd/>
          <a:tailEnd/>
        </a:ln>
      </xdr:spPr>
      <xdr:txBody>
        <a:bodyPr vertOverflow="clip" wrap="square" lIns="27432" tIns="22860" rIns="0" bIns="0" anchor="t" upright="1"/>
        <a:lstStyle/>
        <a:p>
          <a:pPr algn="r" rtl="0">
            <a:defRPr sz="1000"/>
          </a:pPr>
          <a:fld id="{302BC79D-87FA-43D3-B7A3-AC5513B978CE}" type="TxLink">
            <a:rPr lang="en-US" sz="1000" b="0" i="0" u="none" strike="noStrike" baseline="0">
              <a:solidFill>
                <a:srgbClr val="000000"/>
              </a:solidFill>
              <a:latin typeface="Arialri"/>
              <a:cs typeface="Arial" pitchFamily="34" charset="0"/>
            </a:rPr>
            <a:pPr algn="r" rtl="0">
              <a:defRPr sz="1000"/>
            </a:pPr>
            <a:t>49.9kΩ</a:t>
          </a:fld>
          <a:endParaRPr lang="el-GR" sz="1000" b="0" i="0" u="none" strike="noStrike" baseline="0">
            <a:solidFill>
              <a:srgbClr val="000000"/>
            </a:solidFill>
            <a:latin typeface="Arial" pitchFamily="34" charset="0"/>
            <a:cs typeface="Arial" pitchFamily="34" charset="0"/>
          </a:endParaRPr>
        </a:p>
      </xdr:txBody>
    </xdr:sp>
    <xdr:clientData/>
  </xdr:twoCellAnchor>
  <xdr:twoCellAnchor>
    <xdr:from>
      <xdr:col>12</xdr:col>
      <xdr:colOff>66917</xdr:colOff>
      <xdr:row>4</xdr:row>
      <xdr:rowOff>242103</xdr:rowOff>
    </xdr:from>
    <xdr:to>
      <xdr:col>12</xdr:col>
      <xdr:colOff>501223</xdr:colOff>
      <xdr:row>6</xdr:row>
      <xdr:rowOff>28879</xdr:rowOff>
    </xdr:to>
    <xdr:sp macro="" textlink="">
      <xdr:nvSpPr>
        <xdr:cNvPr id="70" name="Text Box 255">
          <a:extLst>
            <a:ext uri="{FF2B5EF4-FFF2-40B4-BE49-F238E27FC236}">
              <a16:creationId xmlns:a16="http://schemas.microsoft.com/office/drawing/2014/main" id="{00000000-0008-0000-0000-000046000000}"/>
            </a:ext>
          </a:extLst>
        </xdr:cNvPr>
        <xdr:cNvSpPr txBox="1">
          <a:spLocks noChangeArrowheads="1"/>
        </xdr:cNvSpPr>
      </xdr:nvSpPr>
      <xdr:spPr bwMode="auto">
        <a:xfrm>
          <a:off x="8197126" y="1375164"/>
          <a:ext cx="434306" cy="210845"/>
        </a:xfrm>
        <a:prstGeom prst="rect">
          <a:avLst/>
        </a:prstGeom>
        <a:noFill/>
        <a:ln w="9525">
          <a:noFill/>
          <a:miter lim="800000"/>
          <a:headEnd/>
          <a:tailEnd/>
        </a:ln>
      </xdr:spPr>
      <xdr:txBody>
        <a:bodyPr vertOverflow="clip" wrap="square" lIns="27432" tIns="27432" rIns="0" bIns="0" anchor="t" upright="1"/>
        <a:lstStyle/>
        <a:p>
          <a:pPr algn="r" rtl="0">
            <a:defRPr sz="1000"/>
          </a:pPr>
          <a:r>
            <a:rPr lang="en-US" sz="1000" b="0" i="0" strike="noStrike">
              <a:solidFill>
                <a:srgbClr val="000000"/>
              </a:solidFill>
              <a:latin typeface="Arial" pitchFamily="34" charset="0"/>
              <a:cs typeface="Arial" pitchFamily="34" charset="0"/>
            </a:rPr>
            <a:t>R</a:t>
          </a:r>
          <a:r>
            <a:rPr lang="en-US" sz="1000" b="0" i="0" strike="noStrike" baseline="-25000">
              <a:solidFill>
                <a:srgbClr val="000000"/>
              </a:solidFill>
              <a:latin typeface="Arial" pitchFamily="34" charset="0"/>
              <a:cs typeface="Arial" pitchFamily="34" charset="0"/>
            </a:rPr>
            <a:t>UV1</a:t>
          </a:r>
        </a:p>
      </xdr:txBody>
    </xdr:sp>
    <xdr:clientData/>
  </xdr:twoCellAnchor>
  <xdr:twoCellAnchor>
    <xdr:from>
      <xdr:col>16</xdr:col>
      <xdr:colOff>932560</xdr:colOff>
      <xdr:row>18</xdr:row>
      <xdr:rowOff>171948</xdr:rowOff>
    </xdr:from>
    <xdr:to>
      <xdr:col>16</xdr:col>
      <xdr:colOff>1454388</xdr:colOff>
      <xdr:row>20</xdr:row>
      <xdr:rowOff>67046</xdr:rowOff>
    </xdr:to>
    <xdr:sp macro="" textlink="'Variable Management'!B239">
      <xdr:nvSpPr>
        <xdr:cNvPr id="142" name="Text Box 275">
          <a:extLst>
            <a:ext uri="{FF2B5EF4-FFF2-40B4-BE49-F238E27FC236}">
              <a16:creationId xmlns:a16="http://schemas.microsoft.com/office/drawing/2014/main" id="{00000000-0008-0000-0000-00008E000000}"/>
            </a:ext>
          </a:extLst>
        </xdr:cNvPr>
        <xdr:cNvSpPr txBox="1">
          <a:spLocks noChangeArrowheads="1" noTextEdit="1"/>
        </xdr:cNvSpPr>
      </xdr:nvSpPr>
      <xdr:spPr bwMode="auto">
        <a:xfrm>
          <a:off x="11627064" y="3902435"/>
          <a:ext cx="521828" cy="279411"/>
        </a:xfrm>
        <a:prstGeom prst="rect">
          <a:avLst/>
        </a:prstGeom>
        <a:noFill/>
        <a:ln w="9525">
          <a:noFill/>
          <a:miter lim="800000"/>
          <a:headEnd/>
          <a:tailEnd/>
        </a:ln>
      </xdr:spPr>
      <xdr:txBody>
        <a:bodyPr vertOverflow="clip" wrap="square" lIns="27432" tIns="22860" rIns="0" bIns="0" anchor="ctr" upright="1"/>
        <a:lstStyle/>
        <a:p>
          <a:pPr algn="ctr" rtl="0">
            <a:defRPr sz="1000"/>
          </a:pPr>
          <a:fld id="{952677B8-8C18-463F-B0C9-D2099A1EBA1B}" type="TxLink">
            <a:rPr lang="en-US" sz="1000" b="0" i="0" u="none" strike="noStrike" baseline="0">
              <a:solidFill>
                <a:srgbClr val="000000"/>
              </a:solidFill>
              <a:latin typeface="Arialri"/>
              <a:cs typeface="Arial" pitchFamily="34" charset="0"/>
            </a:rPr>
            <a:pPr algn="ctr" rtl="0">
              <a:defRPr sz="1000"/>
            </a:pPr>
            <a:t>24.7mΩ</a:t>
          </a:fld>
          <a:endParaRPr lang="en-US" sz="1000" b="0" i="0" u="none" strike="noStrike" baseline="0">
            <a:solidFill>
              <a:srgbClr val="000000"/>
            </a:solidFill>
            <a:latin typeface="Arial" pitchFamily="34" charset="0"/>
            <a:cs typeface="Arial" pitchFamily="34" charset="0"/>
          </a:endParaRPr>
        </a:p>
      </xdr:txBody>
    </xdr:sp>
    <xdr:clientData/>
  </xdr:twoCellAnchor>
  <xdr:twoCellAnchor>
    <xdr:from>
      <xdr:col>12</xdr:col>
      <xdr:colOff>52938</xdr:colOff>
      <xdr:row>28</xdr:row>
      <xdr:rowOff>53618</xdr:rowOff>
    </xdr:from>
    <xdr:to>
      <xdr:col>12</xdr:col>
      <xdr:colOff>560576</xdr:colOff>
      <xdr:row>29</xdr:row>
      <xdr:rowOff>110794</xdr:rowOff>
    </xdr:to>
    <xdr:sp macro="" textlink="">
      <xdr:nvSpPr>
        <xdr:cNvPr id="145" name="Text Box 245">
          <a:extLst>
            <a:ext uri="{FF2B5EF4-FFF2-40B4-BE49-F238E27FC236}">
              <a16:creationId xmlns:a16="http://schemas.microsoft.com/office/drawing/2014/main" id="{00000000-0008-0000-0000-000091000000}"/>
            </a:ext>
          </a:extLst>
        </xdr:cNvPr>
        <xdr:cNvSpPr txBox="1">
          <a:spLocks noChangeArrowheads="1"/>
        </xdr:cNvSpPr>
      </xdr:nvSpPr>
      <xdr:spPr bwMode="auto">
        <a:xfrm>
          <a:off x="8183147" y="5705670"/>
          <a:ext cx="507638" cy="229454"/>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R</a:t>
          </a:r>
          <a:r>
            <a:rPr lang="en-US" sz="1000" b="0" i="0" strike="noStrike" baseline="-25000">
              <a:solidFill>
                <a:srgbClr val="000000"/>
              </a:solidFill>
              <a:latin typeface="Arial" pitchFamily="34" charset="0"/>
              <a:cs typeface="Arial" pitchFamily="34" charset="0"/>
            </a:rPr>
            <a:t>PGOOD</a:t>
          </a:r>
        </a:p>
      </xdr:txBody>
    </xdr:sp>
    <xdr:clientData/>
  </xdr:twoCellAnchor>
  <xdr:twoCellAnchor>
    <xdr:from>
      <xdr:col>12</xdr:col>
      <xdr:colOff>70286</xdr:colOff>
      <xdr:row>29</xdr:row>
      <xdr:rowOff>62180</xdr:rowOff>
    </xdr:from>
    <xdr:to>
      <xdr:col>13</xdr:col>
      <xdr:colOff>78514</xdr:colOff>
      <xdr:row>30</xdr:row>
      <xdr:rowOff>78493</xdr:rowOff>
    </xdr:to>
    <xdr:sp macro="" textlink="'Variable Management'!B274">
      <xdr:nvSpPr>
        <xdr:cNvPr id="146" name="Text Box 281">
          <a:extLst>
            <a:ext uri="{FF2B5EF4-FFF2-40B4-BE49-F238E27FC236}">
              <a16:creationId xmlns:a16="http://schemas.microsoft.com/office/drawing/2014/main" id="{00000000-0008-0000-0000-000092000000}"/>
            </a:ext>
          </a:extLst>
        </xdr:cNvPr>
        <xdr:cNvSpPr txBox="1">
          <a:spLocks noChangeArrowheads="1" noTextEdit="1"/>
        </xdr:cNvSpPr>
      </xdr:nvSpPr>
      <xdr:spPr bwMode="auto">
        <a:xfrm>
          <a:off x="8200495" y="5886510"/>
          <a:ext cx="631080" cy="248226"/>
        </a:xfrm>
        <a:prstGeom prst="rect">
          <a:avLst/>
        </a:prstGeom>
        <a:noFill/>
        <a:ln w="9525">
          <a:noFill/>
          <a:miter lim="800000"/>
          <a:headEnd/>
          <a:tailEnd/>
        </a:ln>
      </xdr:spPr>
      <xdr:txBody>
        <a:bodyPr vertOverflow="clip" wrap="square" lIns="27432" tIns="22860" rIns="0" bIns="0" anchor="ctr" upright="1"/>
        <a:lstStyle/>
        <a:p>
          <a:pPr algn="l" rtl="0">
            <a:defRPr sz="1000"/>
          </a:pPr>
          <a:fld id="{89760BEF-9E88-4172-89E5-A2E0AD0D10FF}" type="TxLink">
            <a:rPr lang="en-US" sz="1000" b="0" i="0" u="none" strike="noStrike">
              <a:solidFill>
                <a:srgbClr val="000000"/>
              </a:solidFill>
              <a:latin typeface="Arialri"/>
              <a:cs typeface="Arial" pitchFamily="34" charset="0"/>
            </a:rPr>
            <a:pPr algn="l" rtl="0">
              <a:defRPr sz="1000"/>
            </a:pPr>
            <a:t>20kΩ</a:t>
          </a:fld>
          <a:endParaRPr lang="en-US" sz="1000" b="0" i="0" strike="noStrike">
            <a:solidFill>
              <a:srgbClr val="000000"/>
            </a:solidFill>
            <a:latin typeface="Arial" pitchFamily="34" charset="0"/>
            <a:cs typeface="Arial" pitchFamily="34" charset="0"/>
          </a:endParaRPr>
        </a:p>
      </xdr:txBody>
    </xdr:sp>
    <xdr:clientData/>
  </xdr:twoCellAnchor>
  <mc:AlternateContent xmlns:mc="http://schemas.openxmlformats.org/markup-compatibility/2006">
    <mc:Choice xmlns:a14="http://schemas.microsoft.com/office/drawing/2010/main" Requires="a14">
      <xdr:twoCellAnchor>
        <xdr:from>
          <xdr:col>5</xdr:col>
          <xdr:colOff>0</xdr:colOff>
          <xdr:row>59</xdr:row>
          <xdr:rowOff>161925</xdr:rowOff>
        </xdr:from>
        <xdr:to>
          <xdr:col>5</xdr:col>
          <xdr:colOff>180975</xdr:colOff>
          <xdr:row>61</xdr:row>
          <xdr:rowOff>9525</xdr:rowOff>
        </xdr:to>
        <xdr:sp macro="" textlink="">
          <xdr:nvSpPr>
            <xdr:cNvPr id="672829" name="Spinner 61" hidden="1">
              <a:extLst>
                <a:ext uri="{63B3BB69-23CF-44E3-9099-C40C66FF867C}">
                  <a14:compatExt spid="_x0000_s672829"/>
                </a:ext>
                <a:ext uri="{FF2B5EF4-FFF2-40B4-BE49-F238E27FC236}">
                  <a16:creationId xmlns:a16="http://schemas.microsoft.com/office/drawing/2014/main" id="{00000000-0008-0000-0000-00003D440A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66</xdr:row>
          <xdr:rowOff>0</xdr:rowOff>
        </xdr:from>
        <xdr:to>
          <xdr:col>5</xdr:col>
          <xdr:colOff>180975</xdr:colOff>
          <xdr:row>67</xdr:row>
          <xdr:rowOff>0</xdr:rowOff>
        </xdr:to>
        <xdr:sp macro="" textlink="">
          <xdr:nvSpPr>
            <xdr:cNvPr id="672830" name="Spinner 62" hidden="1">
              <a:extLst>
                <a:ext uri="{63B3BB69-23CF-44E3-9099-C40C66FF867C}">
                  <a14:compatExt spid="_x0000_s672830"/>
                </a:ext>
                <a:ext uri="{FF2B5EF4-FFF2-40B4-BE49-F238E27FC236}">
                  <a16:creationId xmlns:a16="http://schemas.microsoft.com/office/drawing/2014/main" id="{00000000-0008-0000-0000-00003E440A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67</xdr:row>
          <xdr:rowOff>0</xdr:rowOff>
        </xdr:from>
        <xdr:to>
          <xdr:col>5</xdr:col>
          <xdr:colOff>180975</xdr:colOff>
          <xdr:row>67</xdr:row>
          <xdr:rowOff>190500</xdr:rowOff>
        </xdr:to>
        <xdr:sp macro="" textlink="">
          <xdr:nvSpPr>
            <xdr:cNvPr id="672831" name="Spinner 63" hidden="1">
              <a:extLst>
                <a:ext uri="{63B3BB69-23CF-44E3-9099-C40C66FF867C}">
                  <a14:compatExt spid="_x0000_s672831"/>
                </a:ext>
                <a:ext uri="{FF2B5EF4-FFF2-40B4-BE49-F238E27FC236}">
                  <a16:creationId xmlns:a16="http://schemas.microsoft.com/office/drawing/2014/main" id="{00000000-0008-0000-0000-00003F440A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68</xdr:row>
          <xdr:rowOff>0</xdr:rowOff>
        </xdr:from>
        <xdr:to>
          <xdr:col>5</xdr:col>
          <xdr:colOff>180975</xdr:colOff>
          <xdr:row>68</xdr:row>
          <xdr:rowOff>190500</xdr:rowOff>
        </xdr:to>
        <xdr:sp macro="" textlink="">
          <xdr:nvSpPr>
            <xdr:cNvPr id="672832" name="Spinner 64" hidden="1">
              <a:extLst>
                <a:ext uri="{63B3BB69-23CF-44E3-9099-C40C66FF867C}">
                  <a14:compatExt spid="_x0000_s672832"/>
                </a:ext>
                <a:ext uri="{FF2B5EF4-FFF2-40B4-BE49-F238E27FC236}">
                  <a16:creationId xmlns:a16="http://schemas.microsoft.com/office/drawing/2014/main" id="{00000000-0008-0000-0000-000040440A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69</xdr:row>
          <xdr:rowOff>0</xdr:rowOff>
        </xdr:from>
        <xdr:to>
          <xdr:col>5</xdr:col>
          <xdr:colOff>180975</xdr:colOff>
          <xdr:row>69</xdr:row>
          <xdr:rowOff>190500</xdr:rowOff>
        </xdr:to>
        <xdr:sp macro="" textlink="">
          <xdr:nvSpPr>
            <xdr:cNvPr id="672833" name="Spinner 65" hidden="1">
              <a:extLst>
                <a:ext uri="{63B3BB69-23CF-44E3-9099-C40C66FF867C}">
                  <a14:compatExt spid="_x0000_s672833"/>
                </a:ext>
                <a:ext uri="{FF2B5EF4-FFF2-40B4-BE49-F238E27FC236}">
                  <a16:creationId xmlns:a16="http://schemas.microsoft.com/office/drawing/2014/main" id="{00000000-0008-0000-0000-000041440A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editAs="oneCell">
    <xdr:from>
      <xdr:col>0</xdr:col>
      <xdr:colOff>85725</xdr:colOff>
      <xdr:row>0</xdr:row>
      <xdr:rowOff>47625</xdr:rowOff>
    </xdr:from>
    <xdr:to>
      <xdr:col>3</xdr:col>
      <xdr:colOff>288536</xdr:colOff>
      <xdr:row>0</xdr:row>
      <xdr:rowOff>590091</xdr:rowOff>
    </xdr:to>
    <xdr:pic macro="[0]!OpenLM27403ProductFolder">
      <xdr:nvPicPr>
        <xdr:cNvPr id="80" name="Picture 79">
          <a:hlinkClick xmlns:r="http://schemas.openxmlformats.org/officeDocument/2006/relationships" r:id="rId4"/>
          <a:extLst>
            <a:ext uri="{FF2B5EF4-FFF2-40B4-BE49-F238E27FC236}">
              <a16:creationId xmlns:a16="http://schemas.microsoft.com/office/drawing/2014/main" id="{00000000-0008-0000-0000-000050000000}"/>
            </a:ext>
          </a:extLst>
        </xdr:cNvPr>
        <xdr:cNvPicPr>
          <a:picLocks noChangeAspect="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t="4896" b="8304"/>
        <a:stretch/>
      </xdr:blipFill>
      <xdr:spPr>
        <a:xfrm>
          <a:off x="85725" y="47625"/>
          <a:ext cx="2283071" cy="538656"/>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0</xdr:col>
          <xdr:colOff>9525</xdr:colOff>
          <xdr:row>23</xdr:row>
          <xdr:rowOff>0</xdr:rowOff>
        </xdr:from>
        <xdr:to>
          <xdr:col>1</xdr:col>
          <xdr:colOff>523875</xdr:colOff>
          <xdr:row>24</xdr:row>
          <xdr:rowOff>0</xdr:rowOff>
        </xdr:to>
        <xdr:sp macro="" textlink="">
          <xdr:nvSpPr>
            <xdr:cNvPr id="672871" name="Drop Down 103" hidden="1">
              <a:extLst>
                <a:ext uri="{63B3BB69-23CF-44E3-9099-C40C66FF867C}">
                  <a14:compatExt spid="_x0000_s672871"/>
                </a:ext>
                <a:ext uri="{FF2B5EF4-FFF2-40B4-BE49-F238E27FC236}">
                  <a16:creationId xmlns:a16="http://schemas.microsoft.com/office/drawing/2014/main" id="{00000000-0008-0000-0000-00006744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16</xdr:col>
      <xdr:colOff>298909</xdr:colOff>
      <xdr:row>23</xdr:row>
      <xdr:rowOff>61229</xdr:rowOff>
    </xdr:from>
    <xdr:to>
      <xdr:col>16</xdr:col>
      <xdr:colOff>872596</xdr:colOff>
      <xdr:row>24</xdr:row>
      <xdr:rowOff>177965</xdr:rowOff>
    </xdr:to>
    <xdr:sp macro="" textlink="'Variable Management'!B269">
      <xdr:nvSpPr>
        <xdr:cNvPr id="88" name="Text Box 270">
          <a:extLst>
            <a:ext uri="{FF2B5EF4-FFF2-40B4-BE49-F238E27FC236}">
              <a16:creationId xmlns:a16="http://schemas.microsoft.com/office/drawing/2014/main" id="{00000000-0008-0000-0000-000058000000}"/>
            </a:ext>
          </a:extLst>
        </xdr:cNvPr>
        <xdr:cNvSpPr txBox="1">
          <a:spLocks noChangeArrowheads="1" noTextEdit="1"/>
        </xdr:cNvSpPr>
      </xdr:nvSpPr>
      <xdr:spPr bwMode="auto">
        <a:xfrm>
          <a:off x="10993413" y="4792255"/>
          <a:ext cx="573687" cy="308893"/>
        </a:xfrm>
        <a:prstGeom prst="rect">
          <a:avLst/>
        </a:prstGeom>
        <a:noFill/>
        <a:ln w="9525">
          <a:noFill/>
          <a:miter lim="800000"/>
          <a:headEnd/>
          <a:tailEnd/>
        </a:ln>
      </xdr:spPr>
      <xdr:txBody>
        <a:bodyPr vertOverflow="clip" wrap="square" lIns="27432" tIns="22860" rIns="0" bIns="0" anchor="t" upright="1"/>
        <a:lstStyle/>
        <a:p>
          <a:pPr algn="l" rtl="0">
            <a:defRPr sz="1000"/>
          </a:pPr>
          <a:fld id="{B99E8AFA-CC9D-495E-8F5C-E82A30AF7894}" type="TxLink">
            <a:rPr lang="en-US" sz="1000" b="0" i="0" u="none" strike="noStrike" baseline="0">
              <a:solidFill>
                <a:srgbClr val="000000"/>
              </a:solidFill>
              <a:latin typeface="Arial"/>
              <a:cs typeface="Arial"/>
            </a:rPr>
            <a:pPr algn="l" rtl="0">
              <a:defRPr sz="1000"/>
            </a:pPr>
            <a:t> </a:t>
          </a:fld>
          <a:endParaRPr lang="el-GR" sz="1000" b="0" i="0" u="none" strike="noStrike" baseline="0">
            <a:solidFill>
              <a:srgbClr val="000000"/>
            </a:solidFill>
            <a:latin typeface="Arial" pitchFamily="34" charset="0"/>
            <a:cs typeface="Arial" pitchFamily="34" charset="0"/>
          </a:endParaRPr>
        </a:p>
      </xdr:txBody>
    </xdr:sp>
    <xdr:clientData/>
  </xdr:twoCellAnchor>
  <xdr:twoCellAnchor>
    <xdr:from>
      <xdr:col>16</xdr:col>
      <xdr:colOff>363679</xdr:colOff>
      <xdr:row>22</xdr:row>
      <xdr:rowOff>94847</xdr:rowOff>
    </xdr:from>
    <xdr:to>
      <xdr:col>16</xdr:col>
      <xdr:colOff>937366</xdr:colOff>
      <xdr:row>23</xdr:row>
      <xdr:rowOff>70014</xdr:rowOff>
    </xdr:to>
    <xdr:sp macro="" textlink="'Variable Management'!A269">
      <xdr:nvSpPr>
        <xdr:cNvPr id="92" name="Text Box 270">
          <a:extLst>
            <a:ext uri="{FF2B5EF4-FFF2-40B4-BE49-F238E27FC236}">
              <a16:creationId xmlns:a16="http://schemas.microsoft.com/office/drawing/2014/main" id="{00000000-0008-0000-0000-00005C000000}"/>
            </a:ext>
          </a:extLst>
        </xdr:cNvPr>
        <xdr:cNvSpPr txBox="1">
          <a:spLocks noChangeArrowheads="1" noTextEdit="1"/>
        </xdr:cNvSpPr>
      </xdr:nvSpPr>
      <xdr:spPr bwMode="auto">
        <a:xfrm>
          <a:off x="11058183" y="4574082"/>
          <a:ext cx="573687" cy="226958"/>
        </a:xfrm>
        <a:prstGeom prst="rect">
          <a:avLst/>
        </a:prstGeom>
        <a:noFill/>
        <a:ln w="9525">
          <a:noFill/>
          <a:miter lim="800000"/>
          <a:headEnd/>
          <a:tailEnd/>
        </a:ln>
      </xdr:spPr>
      <xdr:txBody>
        <a:bodyPr vertOverflow="clip" wrap="square" lIns="27432" tIns="22860" rIns="0" bIns="0" anchor="t" upright="1"/>
        <a:lstStyle/>
        <a:p>
          <a:pPr algn="l" rtl="0">
            <a:defRPr sz="1000"/>
          </a:pPr>
          <a:fld id="{70DB96BF-E1DF-48E4-A6D6-40F1646A7E3C}" type="TxLink">
            <a:rPr lang="en-US" sz="1000" b="0" i="0" u="none" strike="noStrike" baseline="0">
              <a:solidFill>
                <a:srgbClr val="000000"/>
              </a:solidFill>
              <a:latin typeface="Arial"/>
              <a:cs typeface="Arial"/>
            </a:rPr>
            <a:pPr algn="l" rtl="0">
              <a:defRPr sz="1000"/>
            </a:pPr>
            <a:t> </a:t>
          </a:fld>
          <a:endParaRPr lang="el-GR" sz="1000" b="0" i="0" u="none" strike="noStrike" baseline="0">
            <a:solidFill>
              <a:srgbClr val="000000"/>
            </a:solidFill>
            <a:latin typeface="Arial" pitchFamily="34" charset="0"/>
            <a:cs typeface="Arial" pitchFamily="34" charset="0"/>
          </a:endParaRPr>
        </a:p>
      </xdr:txBody>
    </xdr:sp>
    <xdr:clientData/>
  </xdr:twoCellAnchor>
  <xdr:twoCellAnchor>
    <xdr:from>
      <xdr:col>16</xdr:col>
      <xdr:colOff>790575</xdr:colOff>
      <xdr:row>83</xdr:row>
      <xdr:rowOff>175260</xdr:rowOff>
    </xdr:from>
    <xdr:to>
      <xdr:col>16</xdr:col>
      <xdr:colOff>1212518</xdr:colOff>
      <xdr:row>84</xdr:row>
      <xdr:rowOff>177165</xdr:rowOff>
    </xdr:to>
    <xdr:sp macro="" textlink="'Variable Management'!B308">
      <xdr:nvSpPr>
        <xdr:cNvPr id="62" name="Text Box 24">
          <a:extLst>
            <a:ext uri="{FF2B5EF4-FFF2-40B4-BE49-F238E27FC236}">
              <a16:creationId xmlns:a16="http://schemas.microsoft.com/office/drawing/2014/main" id="{00000000-0008-0000-0000-00003E000000}"/>
            </a:ext>
          </a:extLst>
        </xdr:cNvPr>
        <xdr:cNvSpPr txBox="1">
          <a:spLocks noChangeArrowheads="1" noTextEdit="1"/>
        </xdr:cNvSpPr>
      </xdr:nvSpPr>
      <xdr:spPr bwMode="auto">
        <a:xfrm>
          <a:off x="11496675" y="16253460"/>
          <a:ext cx="421943" cy="230505"/>
        </a:xfrm>
        <a:prstGeom prst="rect">
          <a:avLst/>
        </a:prstGeom>
        <a:noFill/>
        <a:ln w="9525">
          <a:noFill/>
          <a:miter lim="800000"/>
          <a:headEnd/>
          <a:tailEnd/>
        </a:ln>
      </xdr:spPr>
      <xdr:txBody>
        <a:bodyPr wrap="square" lIns="27432" tIns="22860" rIns="0" bIns="22860" anchor="b"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fld id="{5E2734BE-9F4E-46E2-95E4-7A6A07C9A939}" type="TxLink">
            <a:rPr lang="en-US" sz="1000" b="0" i="0" u="none" strike="noStrike" baseline="0">
              <a:solidFill>
                <a:srgbClr val="000000"/>
              </a:solidFill>
              <a:latin typeface="Arial"/>
              <a:cs typeface="Arial"/>
            </a:rPr>
            <a:pPr algn="l" rtl="0">
              <a:defRPr sz="1000"/>
            </a:pPr>
            <a:t>93.2%</a:t>
          </a:fld>
          <a:endParaRPr lang="en-US" sz="900" b="1" i="0" u="none" strike="noStrike" baseline="0">
            <a:solidFill>
              <a:srgbClr val="000000"/>
            </a:solidFill>
            <a:latin typeface="Arial" pitchFamily="34" charset="0"/>
            <a:cs typeface="Arial" pitchFamily="34" charset="0"/>
          </a:endParaRPr>
        </a:p>
      </xdr:txBody>
    </xdr:sp>
    <xdr:clientData/>
  </xdr:twoCellAnchor>
  <xdr:twoCellAnchor>
    <xdr:from>
      <xdr:col>12</xdr:col>
      <xdr:colOff>266700</xdr:colOff>
      <xdr:row>83</xdr:row>
      <xdr:rowOff>165735</xdr:rowOff>
    </xdr:from>
    <xdr:to>
      <xdr:col>13</xdr:col>
      <xdr:colOff>79043</xdr:colOff>
      <xdr:row>84</xdr:row>
      <xdr:rowOff>167640</xdr:rowOff>
    </xdr:to>
    <xdr:sp macro="" textlink="'Variable Management'!B309">
      <xdr:nvSpPr>
        <xdr:cNvPr id="63" name="Text Box 24">
          <a:extLst>
            <a:ext uri="{FF2B5EF4-FFF2-40B4-BE49-F238E27FC236}">
              <a16:creationId xmlns:a16="http://schemas.microsoft.com/office/drawing/2014/main" id="{00000000-0008-0000-0000-00003F000000}"/>
            </a:ext>
          </a:extLst>
        </xdr:cNvPr>
        <xdr:cNvSpPr txBox="1">
          <a:spLocks noChangeArrowheads="1" noTextEdit="1"/>
        </xdr:cNvSpPr>
      </xdr:nvSpPr>
      <xdr:spPr bwMode="auto">
        <a:xfrm>
          <a:off x="8404860" y="16243935"/>
          <a:ext cx="437183" cy="230505"/>
        </a:xfrm>
        <a:prstGeom prst="rect">
          <a:avLst/>
        </a:prstGeom>
        <a:noFill/>
        <a:ln w="9525">
          <a:noFill/>
          <a:miter lim="800000"/>
          <a:headEnd/>
          <a:tailEnd/>
        </a:ln>
      </xdr:spPr>
      <xdr:txBody>
        <a:bodyPr wrap="square" lIns="27432" tIns="22860" rIns="0" bIns="22860" anchor="b"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fld id="{54471BB4-2258-4940-9924-F43A04D031AE}" type="TxLink">
            <a:rPr lang="en-US" sz="1000" b="0" i="0" u="none" strike="noStrike" baseline="0">
              <a:solidFill>
                <a:srgbClr val="000000"/>
              </a:solidFill>
              <a:latin typeface="Arial"/>
              <a:cs typeface="Arial"/>
            </a:rPr>
            <a:pPr algn="l" rtl="0">
              <a:defRPr sz="1000"/>
            </a:pPr>
            <a:t>90.3%</a:t>
          </a:fld>
          <a:endParaRPr lang="en-US" sz="900" b="1" i="0" u="none" strike="noStrike" baseline="0">
            <a:solidFill>
              <a:srgbClr val="000000"/>
            </a:solidFill>
            <a:latin typeface="Arial" pitchFamily="34" charset="0"/>
            <a:cs typeface="Arial" pitchFamily="34" charset="0"/>
          </a:endParaRPr>
        </a:p>
      </xdr:txBody>
    </xdr:sp>
    <xdr:clientData/>
  </xdr:twoCellAnchor>
  <xdr:twoCellAnchor>
    <xdr:from>
      <xdr:col>12</xdr:col>
      <xdr:colOff>313720</xdr:colOff>
      <xdr:row>30</xdr:row>
      <xdr:rowOff>13788</xdr:rowOff>
    </xdr:from>
    <xdr:to>
      <xdr:col>13</xdr:col>
      <xdr:colOff>170962</xdr:colOff>
      <xdr:row>31</xdr:row>
      <xdr:rowOff>107497</xdr:rowOff>
    </xdr:to>
    <xdr:sp macro="" textlink="'Variable Management'!A270">
      <xdr:nvSpPr>
        <xdr:cNvPr id="64" name="Text Box 231">
          <a:extLst>
            <a:ext uri="{FF2B5EF4-FFF2-40B4-BE49-F238E27FC236}">
              <a16:creationId xmlns:a16="http://schemas.microsoft.com/office/drawing/2014/main" id="{00000000-0008-0000-0000-000040000000}"/>
            </a:ext>
          </a:extLst>
        </xdr:cNvPr>
        <xdr:cNvSpPr txBox="1">
          <a:spLocks noChangeArrowheads="1"/>
        </xdr:cNvSpPr>
      </xdr:nvSpPr>
      <xdr:spPr bwMode="auto">
        <a:xfrm>
          <a:off x="8443929" y="6070031"/>
          <a:ext cx="480094" cy="265988"/>
        </a:xfrm>
        <a:prstGeom prst="rect">
          <a:avLst/>
        </a:prstGeom>
        <a:noFill/>
        <a:ln w="9525">
          <a:noFill/>
          <a:miter lim="800000"/>
          <a:headEnd/>
          <a:tailEnd/>
        </a:ln>
      </xdr:spPr>
      <xdr:txBody>
        <a:bodyPr vertOverflow="clip" wrap="square" lIns="27432" tIns="27432" rIns="0" bIns="0" anchor="t" upright="1"/>
        <a:lstStyle/>
        <a:p>
          <a:pPr algn="l" rtl="0">
            <a:defRPr sz="1000"/>
          </a:pPr>
          <a:fld id="{6DDDD961-FD77-4006-A9BF-86BA94AAC47A}" type="TxLink">
            <a:rPr lang="en-US" sz="1000" b="0" i="0" u="none" strike="noStrike">
              <a:solidFill>
                <a:srgbClr val="000000"/>
              </a:solidFill>
              <a:latin typeface="Arial"/>
              <a:cs typeface="Arial"/>
            </a:rPr>
            <a:pPr algn="l" rtl="0">
              <a:defRPr sz="1000"/>
            </a:pPr>
            <a:t>Cilim</a:t>
          </a:fld>
          <a:endParaRPr lang="en-US" sz="1000" b="0" i="0" strike="noStrike" baseline="-25000">
            <a:solidFill>
              <a:srgbClr val="000000"/>
            </a:solidFill>
            <a:latin typeface="Arial" pitchFamily="34" charset="0"/>
            <a:cs typeface="Arial" pitchFamily="34" charset="0"/>
          </a:endParaRPr>
        </a:p>
      </xdr:txBody>
    </xdr:sp>
    <xdr:clientData/>
  </xdr:twoCellAnchor>
  <xdr:twoCellAnchor>
    <xdr:from>
      <xdr:col>12</xdr:col>
      <xdr:colOff>305913</xdr:colOff>
      <xdr:row>31</xdr:row>
      <xdr:rowOff>50238</xdr:rowOff>
    </xdr:from>
    <xdr:to>
      <xdr:col>13</xdr:col>
      <xdr:colOff>261683</xdr:colOff>
      <xdr:row>32</xdr:row>
      <xdr:rowOff>96408</xdr:rowOff>
    </xdr:to>
    <xdr:sp macro="" textlink="'Variable Management'!B270">
      <xdr:nvSpPr>
        <xdr:cNvPr id="67" name="Text Box 270">
          <a:extLst>
            <a:ext uri="{FF2B5EF4-FFF2-40B4-BE49-F238E27FC236}">
              <a16:creationId xmlns:a16="http://schemas.microsoft.com/office/drawing/2014/main" id="{00000000-0008-0000-0000-000043000000}"/>
            </a:ext>
          </a:extLst>
        </xdr:cNvPr>
        <xdr:cNvSpPr txBox="1">
          <a:spLocks noChangeArrowheads="1" noTextEdit="1"/>
        </xdr:cNvSpPr>
      </xdr:nvSpPr>
      <xdr:spPr bwMode="auto">
        <a:xfrm>
          <a:off x="8436122" y="6278760"/>
          <a:ext cx="578622" cy="218448"/>
        </a:xfrm>
        <a:prstGeom prst="rect">
          <a:avLst/>
        </a:prstGeom>
        <a:noFill/>
        <a:ln w="9525">
          <a:noFill/>
          <a:miter lim="800000"/>
          <a:headEnd/>
          <a:tailEnd/>
        </a:ln>
      </xdr:spPr>
      <xdr:txBody>
        <a:bodyPr vertOverflow="clip" wrap="square" lIns="27432" tIns="22860" rIns="0" bIns="0" anchor="t" upright="1"/>
        <a:lstStyle/>
        <a:p>
          <a:pPr algn="l" rtl="0">
            <a:defRPr sz="1000"/>
          </a:pPr>
          <a:fld id="{F1AA52B6-2C20-478B-832B-81CF265F500F}" type="TxLink">
            <a:rPr lang="en-US" sz="1000" b="0" i="0" u="none" strike="noStrike" baseline="0">
              <a:solidFill>
                <a:srgbClr val="000000"/>
              </a:solidFill>
              <a:latin typeface="Arial"/>
              <a:cs typeface="Arial"/>
            </a:rPr>
            <a:pPr algn="l" rtl="0">
              <a:defRPr sz="1000"/>
            </a:pPr>
            <a:t>22pF</a:t>
          </a:fld>
          <a:endParaRPr lang="el-GR" sz="1000" b="0" i="0" u="none" strike="noStrike" baseline="0">
            <a:solidFill>
              <a:srgbClr val="000000"/>
            </a:solidFill>
            <a:latin typeface="Arial" pitchFamily="34" charset="0"/>
            <a:cs typeface="Arial" pitchFamily="34" charset="0"/>
          </a:endParaRPr>
        </a:p>
      </xdr:txBody>
    </xdr:sp>
    <xdr:clientData/>
  </xdr:twoCellAnchor>
  <xdr:twoCellAnchor>
    <xdr:from>
      <xdr:col>16</xdr:col>
      <xdr:colOff>776226</xdr:colOff>
      <xdr:row>11</xdr:row>
      <xdr:rowOff>8003</xdr:rowOff>
    </xdr:from>
    <xdr:to>
      <xdr:col>16</xdr:col>
      <xdr:colOff>1924606</xdr:colOff>
      <xdr:row>12</xdr:row>
      <xdr:rowOff>69775</xdr:rowOff>
    </xdr:to>
    <xdr:sp macro="" textlink="'Variable Management'!B281">
      <xdr:nvSpPr>
        <xdr:cNvPr id="71" name="Text Box 283">
          <a:extLst>
            <a:ext uri="{FF2B5EF4-FFF2-40B4-BE49-F238E27FC236}">
              <a16:creationId xmlns:a16="http://schemas.microsoft.com/office/drawing/2014/main" id="{00000000-0008-0000-0000-000047000000}"/>
            </a:ext>
          </a:extLst>
        </xdr:cNvPr>
        <xdr:cNvSpPr txBox="1">
          <a:spLocks noChangeArrowheads="1" noTextEdit="1"/>
        </xdr:cNvSpPr>
      </xdr:nvSpPr>
      <xdr:spPr bwMode="auto">
        <a:xfrm>
          <a:off x="11470730" y="2426525"/>
          <a:ext cx="1148380" cy="234050"/>
        </a:xfrm>
        <a:prstGeom prst="rect">
          <a:avLst/>
        </a:prstGeom>
        <a:noFill/>
        <a:ln w="9525">
          <a:noFill/>
          <a:miter lim="800000"/>
          <a:headEnd/>
          <a:tailEnd/>
        </a:ln>
      </xdr:spPr>
      <xdr:txBody>
        <a:bodyPr vertOverflow="clip" wrap="square" lIns="27432" tIns="22860" rIns="0" bIns="0" anchor="t" upright="1"/>
        <a:lstStyle/>
        <a:p>
          <a:pPr algn="l" rtl="0">
            <a:defRPr sz="1000"/>
          </a:pPr>
          <a:fld id="{EF361795-4FFE-464C-BBFA-7CAE15CC7442}" type="TxLink">
            <a:rPr lang="en-US" sz="1200" b="1" i="0" u="none" strike="noStrike">
              <a:solidFill>
                <a:srgbClr val="0000FF"/>
              </a:solidFill>
              <a:latin typeface="Arial"/>
              <a:cs typeface="Arial"/>
            </a:rPr>
            <a:pPr algn="l" rtl="0">
              <a:defRPr sz="1000"/>
            </a:pPr>
            <a:t>14V to 16V</a:t>
          </a:fld>
          <a:endParaRPr lang="en-US" sz="2400" b="1" i="0" strike="noStrike">
            <a:solidFill>
              <a:srgbClr val="0000FF"/>
            </a:solidFill>
            <a:latin typeface="Arial" pitchFamily="34" charset="0"/>
            <a:cs typeface="Arial" pitchFamily="34" charset="0"/>
          </a:endParaRPr>
        </a:p>
      </xdr:txBody>
    </xdr:sp>
    <xdr:clientData/>
  </xdr:twoCellAnchor>
  <xdr:twoCellAnchor editAs="oneCell">
    <xdr:from>
      <xdr:col>16</xdr:col>
      <xdr:colOff>1085850</xdr:colOff>
      <xdr:row>0</xdr:row>
      <xdr:rowOff>0</xdr:rowOff>
    </xdr:from>
    <xdr:to>
      <xdr:col>17</xdr:col>
      <xdr:colOff>1822</xdr:colOff>
      <xdr:row>3</xdr:row>
      <xdr:rowOff>57918</xdr:rowOff>
    </xdr:to>
    <xdr:pic>
      <xdr:nvPicPr>
        <xdr:cNvPr id="72" name="Picture 71">
          <a:hlinkClick xmlns:r="http://schemas.openxmlformats.org/officeDocument/2006/relationships" r:id="rId4"/>
          <a:extLst>
            <a:ext uri="{FF2B5EF4-FFF2-40B4-BE49-F238E27FC236}">
              <a16:creationId xmlns:a16="http://schemas.microsoft.com/office/drawing/2014/main" id="{00000000-0008-0000-0000-000048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11791950" y="0"/>
          <a:ext cx="1788712" cy="1037088"/>
        </a:xfrm>
        <a:prstGeom prst="rect">
          <a:avLst/>
        </a:prstGeom>
      </xdr:spPr>
    </xdr:pic>
    <xdr:clientData/>
  </xdr:twoCellAnchor>
  <xdr:twoCellAnchor editAs="oneCell">
    <xdr:from>
      <xdr:col>16</xdr:col>
      <xdr:colOff>993530</xdr:colOff>
      <xdr:row>71</xdr:row>
      <xdr:rowOff>227465</xdr:rowOff>
    </xdr:from>
    <xdr:to>
      <xdr:col>16</xdr:col>
      <xdr:colOff>2784229</xdr:colOff>
      <xdr:row>78</xdr:row>
      <xdr:rowOff>37116</xdr:rowOff>
    </xdr:to>
    <xdr:pic>
      <xdr:nvPicPr>
        <xdr:cNvPr id="73" name="Picture 72">
          <a:hlinkClick xmlns:r="http://schemas.openxmlformats.org/officeDocument/2006/relationships" r:id="rId7"/>
          <a:extLst>
            <a:ext uri="{FF2B5EF4-FFF2-40B4-BE49-F238E27FC236}">
              <a16:creationId xmlns:a16="http://schemas.microsoft.com/office/drawing/2014/main" id="{00000000-0008-0000-0000-000049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11404355" y="13657715"/>
          <a:ext cx="1790699" cy="1131721"/>
        </a:xfrm>
        <a:prstGeom prst="rect">
          <a:avLst/>
        </a:prstGeom>
      </xdr:spPr>
    </xdr:pic>
    <xdr:clientData/>
  </xdr:twoCellAnchor>
  <xdr:twoCellAnchor editAs="oneCell">
    <xdr:from>
      <xdr:col>16</xdr:col>
      <xdr:colOff>111673</xdr:colOff>
      <xdr:row>0</xdr:row>
      <xdr:rowOff>0</xdr:rowOff>
    </xdr:from>
    <xdr:to>
      <xdr:col>16</xdr:col>
      <xdr:colOff>967741</xdr:colOff>
      <xdr:row>0</xdr:row>
      <xdr:rowOff>627487</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a:off x="10523483" y="0"/>
          <a:ext cx="859878" cy="631297"/>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4</xdr:col>
          <xdr:colOff>38100</xdr:colOff>
          <xdr:row>3</xdr:row>
          <xdr:rowOff>171450</xdr:rowOff>
        </xdr:from>
        <xdr:to>
          <xdr:col>6</xdr:col>
          <xdr:colOff>0</xdr:colOff>
          <xdr:row>4</xdr:row>
          <xdr:rowOff>238125</xdr:rowOff>
        </xdr:to>
        <xdr:sp macro="" textlink="">
          <xdr:nvSpPr>
            <xdr:cNvPr id="683041" name="Drop Down 1057" hidden="1">
              <a:extLst>
                <a:ext uri="{63B3BB69-23CF-44E3-9099-C40C66FF867C}">
                  <a14:compatExt spid="_x0000_s683041"/>
                </a:ext>
                <a:ext uri="{FF2B5EF4-FFF2-40B4-BE49-F238E27FC236}">
                  <a16:creationId xmlns:a16="http://schemas.microsoft.com/office/drawing/2014/main" id="{00000000-0008-0000-0000-0000216C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twoCellAnchor>
    <xdr:from>
      <xdr:col>11</xdr:col>
      <xdr:colOff>676602</xdr:colOff>
      <xdr:row>17</xdr:row>
      <xdr:rowOff>112251</xdr:rowOff>
    </xdr:from>
    <xdr:to>
      <xdr:col>13</xdr:col>
      <xdr:colOff>228600</xdr:colOff>
      <xdr:row>19</xdr:row>
      <xdr:rowOff>105398</xdr:rowOff>
    </xdr:to>
    <xdr:sp macro="" textlink="'Variable Management'!U12">
      <xdr:nvSpPr>
        <xdr:cNvPr id="74" name="Text Box 24">
          <a:extLst>
            <a:ext uri="{FF2B5EF4-FFF2-40B4-BE49-F238E27FC236}">
              <a16:creationId xmlns:a16="http://schemas.microsoft.com/office/drawing/2014/main" id="{00000000-0008-0000-0000-00004A000000}"/>
            </a:ext>
          </a:extLst>
        </xdr:cNvPr>
        <xdr:cNvSpPr txBox="1">
          <a:spLocks noChangeArrowheads="1" noTextEdit="1"/>
        </xdr:cNvSpPr>
      </xdr:nvSpPr>
      <xdr:spPr bwMode="auto">
        <a:xfrm>
          <a:off x="7751378" y="3679199"/>
          <a:ext cx="990601" cy="354440"/>
        </a:xfrm>
        <a:prstGeom prst="rect">
          <a:avLst/>
        </a:prstGeom>
        <a:solidFill>
          <a:srgbClr val="7DC4D6"/>
        </a:solidFill>
        <a:ln w="9525">
          <a:noFill/>
          <a:miter lim="800000"/>
          <a:headEnd/>
          <a:tailEnd/>
        </a:ln>
      </xdr:spPr>
      <xdr:txBody>
        <a:bodyPr wrap="square" lIns="27432" tIns="22860" rIns="0" bIns="22860" anchor="ctr"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rtl="0">
            <a:defRPr sz="1000"/>
          </a:pPr>
          <a:fld id="{FE4215C9-6CF6-4ED6-BE24-17A843393DAB}" type="TxLink">
            <a:rPr lang="en-US" sz="1200" b="1" i="0" u="none" strike="noStrike" baseline="0">
              <a:solidFill>
                <a:srgbClr val="FF0000"/>
              </a:solidFill>
              <a:latin typeface="Arial"/>
              <a:cs typeface="Arial"/>
            </a:rPr>
            <a:pPr algn="ctr" rtl="0">
              <a:defRPr sz="1000"/>
            </a:pPr>
            <a:t>LM5146</a:t>
          </a:fld>
          <a:endParaRPr lang="en-US" sz="1800" b="1" i="0" u="none" strike="noStrike" baseline="0">
            <a:solidFill>
              <a:srgbClr val="FF0000"/>
            </a:solidFill>
            <a:latin typeface="Arial" pitchFamily="34" charset="0"/>
            <a:cs typeface="Arial" pitchFamily="34" charset="0"/>
          </a:endParaRPr>
        </a:p>
      </xdr:txBody>
    </xdr:sp>
    <xdr:clientData/>
  </xdr:twoCellAnchor>
  <mc:AlternateContent xmlns:mc="http://schemas.openxmlformats.org/markup-compatibility/2006">
    <mc:Choice xmlns:a14="http://schemas.microsoft.com/office/drawing/2010/main" Requires="a14">
      <xdr:twoCellAnchor editAs="oneCell">
        <xdr:from>
          <xdr:col>0</xdr:col>
          <xdr:colOff>19050</xdr:colOff>
          <xdr:row>106</xdr:row>
          <xdr:rowOff>0</xdr:rowOff>
        </xdr:from>
        <xdr:to>
          <xdr:col>2</xdr:col>
          <xdr:colOff>200025</xdr:colOff>
          <xdr:row>107</xdr:row>
          <xdr:rowOff>38100</xdr:rowOff>
        </xdr:to>
        <xdr:sp macro="" textlink="">
          <xdr:nvSpPr>
            <xdr:cNvPr id="683134" name="Drop Down 1150" hidden="1">
              <a:extLst>
                <a:ext uri="{63B3BB69-23CF-44E3-9099-C40C66FF867C}">
                  <a14:compatExt spid="_x0000_s683134"/>
                </a:ext>
                <a:ext uri="{FF2B5EF4-FFF2-40B4-BE49-F238E27FC236}">
                  <a16:creationId xmlns:a16="http://schemas.microsoft.com/office/drawing/2014/main" id="{00000000-0008-0000-0000-00007E6C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c:userShapes xmlns:c="http://schemas.openxmlformats.org/drawingml/2006/chart">
  <cdr:relSizeAnchor xmlns:cdr="http://schemas.openxmlformats.org/drawingml/2006/chartDrawing">
    <cdr:from>
      <cdr:x>0.08796</cdr:x>
      <cdr:y>0.49238</cdr:y>
    </cdr:from>
    <cdr:to>
      <cdr:x>0.92197</cdr:x>
      <cdr:y>0.49409</cdr:y>
    </cdr:to>
    <cdr:sp macro="" textlink="">
      <cdr:nvSpPr>
        <cdr:cNvPr id="8195" name="Line 3"/>
        <cdr:cNvSpPr>
          <a:spLocks xmlns:a="http://schemas.openxmlformats.org/drawingml/2006/main" noChangeShapeType="1"/>
        </cdr:cNvSpPr>
      </cdr:nvSpPr>
      <cdr:spPr bwMode="auto">
        <a:xfrm xmlns:a="http://schemas.openxmlformats.org/drawingml/2006/main">
          <a:off x="753099" y="2185131"/>
          <a:ext cx="7141085" cy="7622"/>
        </a:xfrm>
        <a:prstGeom xmlns:a="http://schemas.openxmlformats.org/drawingml/2006/main" prst="line">
          <a:avLst/>
        </a:prstGeom>
        <a:noFill xmlns:a="http://schemas.openxmlformats.org/drawingml/2006/main"/>
        <a:ln xmlns:a="http://schemas.openxmlformats.org/drawingml/2006/main" w="19050">
          <a:solidFill>
            <a:srgbClr val="000000"/>
          </a:solidFill>
          <a:round/>
          <a:headEnd/>
          <a:tailEnd/>
        </a:ln>
      </cdr:spPr>
      <cdr:txBody>
        <a:bodyPr xmlns:a="http://schemas.openxmlformats.org/drawingml/2006/main"/>
        <a:lstStyle xmlns:a="http://schemas.openxmlformats.org/drawingml/2006/main"/>
        <a:p xmlns:a="http://schemas.openxmlformats.org/drawingml/2006/main">
          <a:endParaRPr lang="en-US"/>
        </a:p>
      </cdr:txBody>
    </cdr:sp>
  </cdr:relSizeAnchor>
  <cdr:relSizeAnchor xmlns:cdr="http://schemas.openxmlformats.org/drawingml/2006/chartDrawing">
    <cdr:from>
      <cdr:x>0.92062</cdr:x>
      <cdr:y>0.58763</cdr:y>
    </cdr:from>
    <cdr:to>
      <cdr:x>0.95653</cdr:x>
      <cdr:y>0.64353</cdr:y>
    </cdr:to>
    <cdr:sp macro="" textlink="'Variable Management'!$B$261">
      <cdr:nvSpPr>
        <cdr:cNvPr id="3" name="Text Box 24"/>
        <cdr:cNvSpPr txBox="1">
          <a:spLocks xmlns:a="http://schemas.openxmlformats.org/drawingml/2006/main" noChangeArrowheads="1" noTextEdit="1"/>
        </cdr:cNvSpPr>
      </cdr:nvSpPr>
      <cdr:spPr bwMode="auto">
        <a:xfrm xmlns:a="http://schemas.openxmlformats.org/drawingml/2006/main">
          <a:off x="7976234" y="2610019"/>
          <a:ext cx="311124" cy="248286"/>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wrap="square" lIns="27432" tIns="22860" rIns="0" bIns="22860" anchor="ctr" upright="1"/>
        <a:lstStyle xmlns:a="http://schemas.openxmlformats.org/drawingml/2006/main">
          <a:lvl1pPr marL="0" indent="0">
            <a:defRPr sz="1100">
              <a:latin typeface="Calibri"/>
            </a:defRPr>
          </a:lvl1pPr>
          <a:lvl2pPr marL="457200" indent="0">
            <a:defRPr sz="1100">
              <a:latin typeface="Calibri"/>
            </a:defRPr>
          </a:lvl2pPr>
          <a:lvl3pPr marL="914400" indent="0">
            <a:defRPr sz="1100">
              <a:latin typeface="Calibri"/>
            </a:defRPr>
          </a:lvl3pPr>
          <a:lvl4pPr marL="1371600" indent="0">
            <a:defRPr sz="1100">
              <a:latin typeface="Calibri"/>
            </a:defRPr>
          </a:lvl4pPr>
          <a:lvl5pPr marL="1828800" indent="0">
            <a:defRPr sz="1100">
              <a:latin typeface="Calibri"/>
            </a:defRPr>
          </a:lvl5pPr>
          <a:lvl6pPr marL="2286000" indent="0">
            <a:defRPr sz="1100">
              <a:latin typeface="Calibri"/>
            </a:defRPr>
          </a:lvl6pPr>
          <a:lvl7pPr marL="2743200" indent="0">
            <a:defRPr sz="1100">
              <a:latin typeface="Calibri"/>
            </a:defRPr>
          </a:lvl7pPr>
          <a:lvl8pPr marL="3200400" indent="0">
            <a:defRPr sz="1100">
              <a:latin typeface="Calibri"/>
            </a:defRPr>
          </a:lvl8pPr>
          <a:lvl9pPr marL="3657600" indent="0">
            <a:defRPr sz="1100">
              <a:latin typeface="Calibri"/>
            </a:defRPr>
          </a:lvl9pPr>
        </a:lstStyle>
        <a:p xmlns:a="http://schemas.openxmlformats.org/drawingml/2006/main">
          <a:pPr algn="l" rtl="0">
            <a:defRPr sz="1000"/>
          </a:pPr>
          <a:fld id="{BB1BCF51-C5DA-4454-8307-018A0FF9C118}" type="TxLink">
            <a:rPr lang="en-US" sz="900" b="0" i="0" u="none" strike="noStrike" baseline="0">
              <a:solidFill>
                <a:srgbClr val="000000"/>
              </a:solidFill>
              <a:latin typeface="Arial" pitchFamily="34" charset="0"/>
              <a:cs typeface="Arial" pitchFamily="34" charset="0"/>
            </a:rPr>
            <a:pPr algn="l" rtl="0">
              <a:defRPr sz="1000"/>
            </a:pPr>
            <a:t>64°</a:t>
          </a:fld>
          <a:endParaRPr lang="en-US" sz="900" b="1" i="0" u="none" strike="noStrike" baseline="0">
            <a:solidFill>
              <a:srgbClr val="000000"/>
            </a:solidFill>
            <a:latin typeface="Arial" pitchFamily="34" charset="0"/>
            <a:cs typeface="Arial" pitchFamily="34" charset="0"/>
          </a:endParaRPr>
        </a:p>
      </cdr:txBody>
    </cdr:sp>
  </cdr:relSizeAnchor>
</c:userShapes>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0</xdr:colOff>
          <xdr:row>48</xdr:row>
          <xdr:rowOff>0</xdr:rowOff>
        </xdr:from>
        <xdr:to>
          <xdr:col>8</xdr:col>
          <xdr:colOff>0</xdr:colOff>
          <xdr:row>48</xdr:row>
          <xdr:rowOff>200025</xdr:rowOff>
        </xdr:to>
        <xdr:sp macro="" textlink="">
          <xdr:nvSpPr>
            <xdr:cNvPr id="673839" name="Drop Down 47" hidden="1">
              <a:extLst>
                <a:ext uri="{63B3BB69-23CF-44E3-9099-C40C66FF867C}">
                  <a14:compatExt spid="_x0000_s673839"/>
                </a:ext>
                <a:ext uri="{FF2B5EF4-FFF2-40B4-BE49-F238E27FC236}">
                  <a16:creationId xmlns:a16="http://schemas.microsoft.com/office/drawing/2014/main" id="{00000000-0008-0000-0100-00002F48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49</xdr:row>
          <xdr:rowOff>0</xdr:rowOff>
        </xdr:from>
        <xdr:to>
          <xdr:col>8</xdr:col>
          <xdr:colOff>0</xdr:colOff>
          <xdr:row>49</xdr:row>
          <xdr:rowOff>200025</xdr:rowOff>
        </xdr:to>
        <xdr:sp macro="" textlink="">
          <xdr:nvSpPr>
            <xdr:cNvPr id="673840" name="Drop Down 48" hidden="1">
              <a:extLst>
                <a:ext uri="{63B3BB69-23CF-44E3-9099-C40C66FF867C}">
                  <a14:compatExt spid="_x0000_s673840"/>
                </a:ext>
                <a:ext uri="{FF2B5EF4-FFF2-40B4-BE49-F238E27FC236}">
                  <a16:creationId xmlns:a16="http://schemas.microsoft.com/office/drawing/2014/main" id="{00000000-0008-0000-0100-00003048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37</xdr:row>
          <xdr:rowOff>0</xdr:rowOff>
        </xdr:from>
        <xdr:to>
          <xdr:col>7</xdr:col>
          <xdr:colOff>876300</xdr:colOff>
          <xdr:row>37</xdr:row>
          <xdr:rowOff>200025</xdr:rowOff>
        </xdr:to>
        <xdr:sp macro="" textlink="">
          <xdr:nvSpPr>
            <xdr:cNvPr id="673855" name="Drop Down 63" hidden="1">
              <a:extLst>
                <a:ext uri="{63B3BB69-23CF-44E3-9099-C40C66FF867C}">
                  <a14:compatExt spid="_x0000_s673855"/>
                </a:ext>
                <a:ext uri="{FF2B5EF4-FFF2-40B4-BE49-F238E27FC236}">
                  <a16:creationId xmlns:a16="http://schemas.microsoft.com/office/drawing/2014/main" id="{00000000-0008-0000-0100-00003F48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38</xdr:row>
          <xdr:rowOff>0</xdr:rowOff>
        </xdr:from>
        <xdr:to>
          <xdr:col>7</xdr:col>
          <xdr:colOff>876300</xdr:colOff>
          <xdr:row>38</xdr:row>
          <xdr:rowOff>200025</xdr:rowOff>
        </xdr:to>
        <xdr:sp macro="" textlink="">
          <xdr:nvSpPr>
            <xdr:cNvPr id="673857" name="Drop Down 65" hidden="1">
              <a:extLst>
                <a:ext uri="{63B3BB69-23CF-44E3-9099-C40C66FF867C}">
                  <a14:compatExt spid="_x0000_s673857"/>
                </a:ext>
                <a:ext uri="{FF2B5EF4-FFF2-40B4-BE49-F238E27FC236}">
                  <a16:creationId xmlns:a16="http://schemas.microsoft.com/office/drawing/2014/main" id="{00000000-0008-0000-0100-00004148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39</xdr:row>
          <xdr:rowOff>0</xdr:rowOff>
        </xdr:from>
        <xdr:to>
          <xdr:col>7</xdr:col>
          <xdr:colOff>876300</xdr:colOff>
          <xdr:row>39</xdr:row>
          <xdr:rowOff>200025</xdr:rowOff>
        </xdr:to>
        <xdr:sp macro="" textlink="">
          <xdr:nvSpPr>
            <xdr:cNvPr id="673858" name="Drop Down 66" hidden="1">
              <a:extLst>
                <a:ext uri="{63B3BB69-23CF-44E3-9099-C40C66FF867C}">
                  <a14:compatExt spid="_x0000_s673858"/>
                </a:ext>
                <a:ext uri="{FF2B5EF4-FFF2-40B4-BE49-F238E27FC236}">
                  <a16:creationId xmlns:a16="http://schemas.microsoft.com/office/drawing/2014/main" id="{00000000-0008-0000-0100-00004248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40</xdr:row>
          <xdr:rowOff>0</xdr:rowOff>
        </xdr:from>
        <xdr:to>
          <xdr:col>7</xdr:col>
          <xdr:colOff>876300</xdr:colOff>
          <xdr:row>40</xdr:row>
          <xdr:rowOff>200025</xdr:rowOff>
        </xdr:to>
        <xdr:sp macro="" textlink="">
          <xdr:nvSpPr>
            <xdr:cNvPr id="673859" name="Drop Down 67" hidden="1">
              <a:extLst>
                <a:ext uri="{63B3BB69-23CF-44E3-9099-C40C66FF867C}">
                  <a14:compatExt spid="_x0000_s673859"/>
                </a:ext>
                <a:ext uri="{FF2B5EF4-FFF2-40B4-BE49-F238E27FC236}">
                  <a16:creationId xmlns:a16="http://schemas.microsoft.com/office/drawing/2014/main" id="{00000000-0008-0000-0100-00004348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41</xdr:row>
          <xdr:rowOff>0</xdr:rowOff>
        </xdr:from>
        <xdr:to>
          <xdr:col>7</xdr:col>
          <xdr:colOff>876300</xdr:colOff>
          <xdr:row>41</xdr:row>
          <xdr:rowOff>200025</xdr:rowOff>
        </xdr:to>
        <xdr:sp macro="" textlink="">
          <xdr:nvSpPr>
            <xdr:cNvPr id="673860" name="Drop Down 68" hidden="1">
              <a:extLst>
                <a:ext uri="{63B3BB69-23CF-44E3-9099-C40C66FF867C}">
                  <a14:compatExt spid="_x0000_s673860"/>
                </a:ext>
                <a:ext uri="{FF2B5EF4-FFF2-40B4-BE49-F238E27FC236}">
                  <a16:creationId xmlns:a16="http://schemas.microsoft.com/office/drawing/2014/main" id="{00000000-0008-0000-0100-00004448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44</xdr:row>
          <xdr:rowOff>0</xdr:rowOff>
        </xdr:from>
        <xdr:to>
          <xdr:col>7</xdr:col>
          <xdr:colOff>876300</xdr:colOff>
          <xdr:row>44</xdr:row>
          <xdr:rowOff>200025</xdr:rowOff>
        </xdr:to>
        <xdr:sp macro="" textlink="">
          <xdr:nvSpPr>
            <xdr:cNvPr id="673861" name="Drop Down 69" hidden="1">
              <a:extLst>
                <a:ext uri="{63B3BB69-23CF-44E3-9099-C40C66FF867C}">
                  <a14:compatExt spid="_x0000_s673861"/>
                </a:ext>
                <a:ext uri="{FF2B5EF4-FFF2-40B4-BE49-F238E27FC236}">
                  <a16:creationId xmlns:a16="http://schemas.microsoft.com/office/drawing/2014/main" id="{00000000-0008-0000-0100-00004548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45</xdr:row>
          <xdr:rowOff>0</xdr:rowOff>
        </xdr:from>
        <xdr:to>
          <xdr:col>7</xdr:col>
          <xdr:colOff>876300</xdr:colOff>
          <xdr:row>45</xdr:row>
          <xdr:rowOff>200025</xdr:rowOff>
        </xdr:to>
        <xdr:sp macro="" textlink="">
          <xdr:nvSpPr>
            <xdr:cNvPr id="673862" name="Drop Down 70" hidden="1">
              <a:extLst>
                <a:ext uri="{63B3BB69-23CF-44E3-9099-C40C66FF867C}">
                  <a14:compatExt spid="_x0000_s673862"/>
                </a:ext>
                <a:ext uri="{FF2B5EF4-FFF2-40B4-BE49-F238E27FC236}">
                  <a16:creationId xmlns:a16="http://schemas.microsoft.com/office/drawing/2014/main" id="{00000000-0008-0000-0100-00004648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46</xdr:row>
          <xdr:rowOff>0</xdr:rowOff>
        </xdr:from>
        <xdr:to>
          <xdr:col>7</xdr:col>
          <xdr:colOff>876300</xdr:colOff>
          <xdr:row>46</xdr:row>
          <xdr:rowOff>200025</xdr:rowOff>
        </xdr:to>
        <xdr:sp macro="" textlink="">
          <xdr:nvSpPr>
            <xdr:cNvPr id="673863" name="Drop Down 71" hidden="1">
              <a:extLst>
                <a:ext uri="{63B3BB69-23CF-44E3-9099-C40C66FF867C}">
                  <a14:compatExt spid="_x0000_s673863"/>
                </a:ext>
                <a:ext uri="{FF2B5EF4-FFF2-40B4-BE49-F238E27FC236}">
                  <a16:creationId xmlns:a16="http://schemas.microsoft.com/office/drawing/2014/main" id="{00000000-0008-0000-0100-00004748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51</xdr:row>
          <xdr:rowOff>0</xdr:rowOff>
        </xdr:from>
        <xdr:to>
          <xdr:col>7</xdr:col>
          <xdr:colOff>876300</xdr:colOff>
          <xdr:row>51</xdr:row>
          <xdr:rowOff>200025</xdr:rowOff>
        </xdr:to>
        <xdr:sp macro="" textlink="">
          <xdr:nvSpPr>
            <xdr:cNvPr id="673865" name="Drop Down 73" hidden="1">
              <a:extLst>
                <a:ext uri="{63B3BB69-23CF-44E3-9099-C40C66FF867C}">
                  <a14:compatExt spid="_x0000_s673865"/>
                </a:ext>
                <a:ext uri="{FF2B5EF4-FFF2-40B4-BE49-F238E27FC236}">
                  <a16:creationId xmlns:a16="http://schemas.microsoft.com/office/drawing/2014/main" id="{00000000-0008-0000-0100-00004948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52</xdr:row>
          <xdr:rowOff>0</xdr:rowOff>
        </xdr:from>
        <xdr:to>
          <xdr:col>7</xdr:col>
          <xdr:colOff>876300</xdr:colOff>
          <xdr:row>52</xdr:row>
          <xdr:rowOff>200025</xdr:rowOff>
        </xdr:to>
        <xdr:sp macro="" textlink="">
          <xdr:nvSpPr>
            <xdr:cNvPr id="673866" name="Drop Down 74" hidden="1">
              <a:extLst>
                <a:ext uri="{63B3BB69-23CF-44E3-9099-C40C66FF867C}">
                  <a14:compatExt spid="_x0000_s673866"/>
                </a:ext>
                <a:ext uri="{FF2B5EF4-FFF2-40B4-BE49-F238E27FC236}">
                  <a16:creationId xmlns:a16="http://schemas.microsoft.com/office/drawing/2014/main" id="{00000000-0008-0000-0100-00004A48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53</xdr:row>
          <xdr:rowOff>0</xdr:rowOff>
        </xdr:from>
        <xdr:to>
          <xdr:col>7</xdr:col>
          <xdr:colOff>876300</xdr:colOff>
          <xdr:row>53</xdr:row>
          <xdr:rowOff>200025</xdr:rowOff>
        </xdr:to>
        <xdr:sp macro="" textlink="">
          <xdr:nvSpPr>
            <xdr:cNvPr id="673867" name="Drop Down 75" hidden="1">
              <a:extLst>
                <a:ext uri="{63B3BB69-23CF-44E3-9099-C40C66FF867C}">
                  <a14:compatExt spid="_x0000_s673867"/>
                </a:ext>
                <a:ext uri="{FF2B5EF4-FFF2-40B4-BE49-F238E27FC236}">
                  <a16:creationId xmlns:a16="http://schemas.microsoft.com/office/drawing/2014/main" id="{00000000-0008-0000-0100-00004B48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54</xdr:row>
          <xdr:rowOff>0</xdr:rowOff>
        </xdr:from>
        <xdr:to>
          <xdr:col>7</xdr:col>
          <xdr:colOff>876300</xdr:colOff>
          <xdr:row>54</xdr:row>
          <xdr:rowOff>200025</xdr:rowOff>
        </xdr:to>
        <xdr:sp macro="" textlink="">
          <xdr:nvSpPr>
            <xdr:cNvPr id="673868" name="Drop Down 76" hidden="1">
              <a:extLst>
                <a:ext uri="{63B3BB69-23CF-44E3-9099-C40C66FF867C}">
                  <a14:compatExt spid="_x0000_s673868"/>
                </a:ext>
                <a:ext uri="{FF2B5EF4-FFF2-40B4-BE49-F238E27FC236}">
                  <a16:creationId xmlns:a16="http://schemas.microsoft.com/office/drawing/2014/main" id="{00000000-0008-0000-0100-00004C48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55</xdr:row>
          <xdr:rowOff>0</xdr:rowOff>
        </xdr:from>
        <xdr:to>
          <xdr:col>7</xdr:col>
          <xdr:colOff>876300</xdr:colOff>
          <xdr:row>55</xdr:row>
          <xdr:rowOff>200025</xdr:rowOff>
        </xdr:to>
        <xdr:sp macro="" textlink="">
          <xdr:nvSpPr>
            <xdr:cNvPr id="673869" name="Drop Down 77" hidden="1">
              <a:extLst>
                <a:ext uri="{63B3BB69-23CF-44E3-9099-C40C66FF867C}">
                  <a14:compatExt spid="_x0000_s673869"/>
                </a:ext>
                <a:ext uri="{FF2B5EF4-FFF2-40B4-BE49-F238E27FC236}">
                  <a16:creationId xmlns:a16="http://schemas.microsoft.com/office/drawing/2014/main" id="{00000000-0008-0000-0100-00004D48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56</xdr:row>
          <xdr:rowOff>0</xdr:rowOff>
        </xdr:from>
        <xdr:to>
          <xdr:col>7</xdr:col>
          <xdr:colOff>876300</xdr:colOff>
          <xdr:row>56</xdr:row>
          <xdr:rowOff>200025</xdr:rowOff>
        </xdr:to>
        <xdr:sp macro="" textlink="">
          <xdr:nvSpPr>
            <xdr:cNvPr id="673870" name="Drop Down 78" hidden="1">
              <a:extLst>
                <a:ext uri="{63B3BB69-23CF-44E3-9099-C40C66FF867C}">
                  <a14:compatExt spid="_x0000_s673870"/>
                </a:ext>
                <a:ext uri="{FF2B5EF4-FFF2-40B4-BE49-F238E27FC236}">
                  <a16:creationId xmlns:a16="http://schemas.microsoft.com/office/drawing/2014/main" id="{00000000-0008-0000-0100-00004E48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57</xdr:row>
          <xdr:rowOff>0</xdr:rowOff>
        </xdr:from>
        <xdr:to>
          <xdr:col>7</xdr:col>
          <xdr:colOff>876300</xdr:colOff>
          <xdr:row>57</xdr:row>
          <xdr:rowOff>200025</xdr:rowOff>
        </xdr:to>
        <xdr:sp macro="" textlink="">
          <xdr:nvSpPr>
            <xdr:cNvPr id="673871" name="Drop Down 79" hidden="1">
              <a:extLst>
                <a:ext uri="{63B3BB69-23CF-44E3-9099-C40C66FF867C}">
                  <a14:compatExt spid="_x0000_s673871"/>
                </a:ext>
                <a:ext uri="{FF2B5EF4-FFF2-40B4-BE49-F238E27FC236}">
                  <a16:creationId xmlns:a16="http://schemas.microsoft.com/office/drawing/2014/main" id="{00000000-0008-0000-0100-00004F48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59</xdr:row>
          <xdr:rowOff>0</xdr:rowOff>
        </xdr:from>
        <xdr:to>
          <xdr:col>7</xdr:col>
          <xdr:colOff>876300</xdr:colOff>
          <xdr:row>59</xdr:row>
          <xdr:rowOff>200025</xdr:rowOff>
        </xdr:to>
        <xdr:sp macro="" textlink="">
          <xdr:nvSpPr>
            <xdr:cNvPr id="673872" name="Drop Down 80" hidden="1">
              <a:extLst>
                <a:ext uri="{63B3BB69-23CF-44E3-9099-C40C66FF867C}">
                  <a14:compatExt spid="_x0000_s673872"/>
                </a:ext>
                <a:ext uri="{FF2B5EF4-FFF2-40B4-BE49-F238E27FC236}">
                  <a16:creationId xmlns:a16="http://schemas.microsoft.com/office/drawing/2014/main" id="{00000000-0008-0000-0100-00005048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60</xdr:row>
          <xdr:rowOff>0</xdr:rowOff>
        </xdr:from>
        <xdr:to>
          <xdr:col>7</xdr:col>
          <xdr:colOff>876300</xdr:colOff>
          <xdr:row>60</xdr:row>
          <xdr:rowOff>200025</xdr:rowOff>
        </xdr:to>
        <xdr:sp macro="" textlink="">
          <xdr:nvSpPr>
            <xdr:cNvPr id="673873" name="Drop Down 81" hidden="1">
              <a:extLst>
                <a:ext uri="{63B3BB69-23CF-44E3-9099-C40C66FF867C}">
                  <a14:compatExt spid="_x0000_s673873"/>
                </a:ext>
                <a:ext uri="{FF2B5EF4-FFF2-40B4-BE49-F238E27FC236}">
                  <a16:creationId xmlns:a16="http://schemas.microsoft.com/office/drawing/2014/main" id="{00000000-0008-0000-0100-00005148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61</xdr:row>
          <xdr:rowOff>0</xdr:rowOff>
        </xdr:from>
        <xdr:to>
          <xdr:col>7</xdr:col>
          <xdr:colOff>876300</xdr:colOff>
          <xdr:row>61</xdr:row>
          <xdr:rowOff>200025</xdr:rowOff>
        </xdr:to>
        <xdr:sp macro="" textlink="">
          <xdr:nvSpPr>
            <xdr:cNvPr id="673874" name="Drop Down 82" hidden="1">
              <a:extLst>
                <a:ext uri="{63B3BB69-23CF-44E3-9099-C40C66FF867C}">
                  <a14:compatExt spid="_x0000_s673874"/>
                </a:ext>
                <a:ext uri="{FF2B5EF4-FFF2-40B4-BE49-F238E27FC236}">
                  <a16:creationId xmlns:a16="http://schemas.microsoft.com/office/drawing/2014/main" id="{00000000-0008-0000-0100-00005248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47</xdr:row>
          <xdr:rowOff>0</xdr:rowOff>
        </xdr:from>
        <xdr:to>
          <xdr:col>7</xdr:col>
          <xdr:colOff>876300</xdr:colOff>
          <xdr:row>47</xdr:row>
          <xdr:rowOff>200025</xdr:rowOff>
        </xdr:to>
        <xdr:sp macro="" textlink="">
          <xdr:nvSpPr>
            <xdr:cNvPr id="673877" name="Drop Down 85" hidden="1">
              <a:extLst>
                <a:ext uri="{63B3BB69-23CF-44E3-9099-C40C66FF867C}">
                  <a14:compatExt spid="_x0000_s673877"/>
                </a:ext>
                <a:ext uri="{FF2B5EF4-FFF2-40B4-BE49-F238E27FC236}">
                  <a16:creationId xmlns:a16="http://schemas.microsoft.com/office/drawing/2014/main" id="{00000000-0008-0000-0100-00005548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42</xdr:row>
          <xdr:rowOff>0</xdr:rowOff>
        </xdr:from>
        <xdr:to>
          <xdr:col>7</xdr:col>
          <xdr:colOff>876300</xdr:colOff>
          <xdr:row>42</xdr:row>
          <xdr:rowOff>200025</xdr:rowOff>
        </xdr:to>
        <xdr:sp macro="" textlink="">
          <xdr:nvSpPr>
            <xdr:cNvPr id="673878" name="Drop Down 86" hidden="1">
              <a:extLst>
                <a:ext uri="{63B3BB69-23CF-44E3-9099-C40C66FF867C}">
                  <a14:compatExt spid="_x0000_s673878"/>
                </a:ext>
                <a:ext uri="{FF2B5EF4-FFF2-40B4-BE49-F238E27FC236}">
                  <a16:creationId xmlns:a16="http://schemas.microsoft.com/office/drawing/2014/main" id="{00000000-0008-0000-0100-00005648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43</xdr:row>
          <xdr:rowOff>0</xdr:rowOff>
        </xdr:from>
        <xdr:to>
          <xdr:col>7</xdr:col>
          <xdr:colOff>876300</xdr:colOff>
          <xdr:row>43</xdr:row>
          <xdr:rowOff>200025</xdr:rowOff>
        </xdr:to>
        <xdr:sp macro="" textlink="">
          <xdr:nvSpPr>
            <xdr:cNvPr id="673879" name="Drop Down 87" hidden="1">
              <a:extLst>
                <a:ext uri="{63B3BB69-23CF-44E3-9099-C40C66FF867C}">
                  <a14:compatExt spid="_x0000_s673879"/>
                </a:ext>
                <a:ext uri="{FF2B5EF4-FFF2-40B4-BE49-F238E27FC236}">
                  <a16:creationId xmlns:a16="http://schemas.microsoft.com/office/drawing/2014/main" id="{00000000-0008-0000-0100-00005748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1171575</xdr:colOff>
          <xdr:row>48</xdr:row>
          <xdr:rowOff>9525</xdr:rowOff>
        </xdr:from>
        <xdr:to>
          <xdr:col>6</xdr:col>
          <xdr:colOff>638175</xdr:colOff>
          <xdr:row>49</xdr:row>
          <xdr:rowOff>0</xdr:rowOff>
        </xdr:to>
        <xdr:sp macro="" textlink="">
          <xdr:nvSpPr>
            <xdr:cNvPr id="674328" name="Drop Down 536" hidden="1">
              <a:extLst>
                <a:ext uri="{63B3BB69-23CF-44E3-9099-C40C66FF867C}">
                  <a14:compatExt spid="_x0000_s674328"/>
                </a:ext>
                <a:ext uri="{FF2B5EF4-FFF2-40B4-BE49-F238E27FC236}">
                  <a16:creationId xmlns:a16="http://schemas.microsoft.com/office/drawing/2014/main" id="{00000000-0008-0000-0100-0000184A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1171575</xdr:colOff>
          <xdr:row>49</xdr:row>
          <xdr:rowOff>0</xdr:rowOff>
        </xdr:from>
        <xdr:to>
          <xdr:col>6</xdr:col>
          <xdr:colOff>638175</xdr:colOff>
          <xdr:row>49</xdr:row>
          <xdr:rowOff>200025</xdr:rowOff>
        </xdr:to>
        <xdr:sp macro="" textlink="">
          <xdr:nvSpPr>
            <xdr:cNvPr id="674330" name="Drop Down 538" hidden="1">
              <a:extLst>
                <a:ext uri="{63B3BB69-23CF-44E3-9099-C40C66FF867C}">
                  <a14:compatExt spid="_x0000_s674330"/>
                </a:ext>
                <a:ext uri="{FF2B5EF4-FFF2-40B4-BE49-F238E27FC236}">
                  <a16:creationId xmlns:a16="http://schemas.microsoft.com/office/drawing/2014/main" id="{00000000-0008-0000-0100-00001A4A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188260</xdr:colOff>
          <xdr:row>1</xdr:row>
          <xdr:rowOff>2526</xdr:rowOff>
        </xdr:from>
        <xdr:to>
          <xdr:col>8</xdr:col>
          <xdr:colOff>837417</xdr:colOff>
          <xdr:row>32</xdr:row>
          <xdr:rowOff>64158</xdr:rowOff>
        </xdr:to>
        <xdr:pic>
          <xdr:nvPicPr>
            <xdr:cNvPr id="78" name="Picture 77">
              <a:extLst>
                <a:ext uri="{FF2B5EF4-FFF2-40B4-BE49-F238E27FC236}">
                  <a16:creationId xmlns:a16="http://schemas.microsoft.com/office/drawing/2014/main" id="{00000000-0008-0000-0100-00004E000000}"/>
                </a:ext>
              </a:extLst>
            </xdr:cNvPr>
            <xdr:cNvPicPr>
              <a:picLocks noChangeAspect="1"/>
              <a:extLst>
                <a:ext uri="{84589F7E-364E-4C9E-8A38-B11213B215E9}">
                  <a14:cameraTool cellRange="PICTURE10" spid="_x0000_s674754"/>
                </a:ext>
              </a:extLst>
            </xdr:cNvPicPr>
          </xdr:nvPicPr>
          <xdr:blipFill>
            <a:blip xmlns:r="http://schemas.openxmlformats.org/officeDocument/2006/relationships" r:embed="rId1"/>
            <a:stretch>
              <a:fillRect/>
            </a:stretch>
          </xdr:blipFill>
          <xdr:spPr>
            <a:xfrm>
              <a:off x="188260" y="172855"/>
              <a:ext cx="9111839" cy="5341844"/>
            </a:xfrm>
            <a:prstGeom prst="rect">
              <a:avLst/>
            </a:prstGeom>
          </xdr:spPr>
        </xdr:pic>
        <xdr:clientData/>
      </xdr:twoCellAnchor>
    </mc:Choice>
    <mc:Fallback/>
  </mc:AlternateContent>
  <xdr:twoCellAnchor>
    <xdr:from>
      <xdr:col>0</xdr:col>
      <xdr:colOff>376811</xdr:colOff>
      <xdr:row>10</xdr:row>
      <xdr:rowOff>79265</xdr:rowOff>
    </xdr:from>
    <xdr:to>
      <xdr:col>1</xdr:col>
      <xdr:colOff>60013</xdr:colOff>
      <xdr:row>11</xdr:row>
      <xdr:rowOff>140986</xdr:rowOff>
    </xdr:to>
    <xdr:sp macro="" textlink="">
      <xdr:nvSpPr>
        <xdr:cNvPr id="79" name="Text Box 224">
          <a:extLst>
            <a:ext uri="{FF2B5EF4-FFF2-40B4-BE49-F238E27FC236}">
              <a16:creationId xmlns:a16="http://schemas.microsoft.com/office/drawing/2014/main" id="{00000000-0008-0000-0100-00004F000000}"/>
            </a:ext>
          </a:extLst>
        </xdr:cNvPr>
        <xdr:cNvSpPr txBox="1">
          <a:spLocks noChangeArrowheads="1"/>
        </xdr:cNvSpPr>
      </xdr:nvSpPr>
      <xdr:spPr bwMode="auto">
        <a:xfrm>
          <a:off x="376811" y="1782559"/>
          <a:ext cx="274873" cy="232051"/>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C</a:t>
          </a:r>
          <a:r>
            <a:rPr lang="en-US" sz="1000" b="0" i="0" strike="noStrike" baseline="-25000">
              <a:solidFill>
                <a:srgbClr val="000000"/>
              </a:solidFill>
              <a:latin typeface="Arial" pitchFamily="34" charset="0"/>
              <a:cs typeface="Arial" pitchFamily="34" charset="0"/>
            </a:rPr>
            <a:t>C3</a:t>
          </a:r>
        </a:p>
      </xdr:txBody>
    </xdr:sp>
    <xdr:clientData/>
  </xdr:twoCellAnchor>
  <xdr:twoCellAnchor>
    <xdr:from>
      <xdr:col>1</xdr:col>
      <xdr:colOff>575880</xdr:colOff>
      <xdr:row>7</xdr:row>
      <xdr:rowOff>102794</xdr:rowOff>
    </xdr:from>
    <xdr:to>
      <xdr:col>1</xdr:col>
      <xdr:colOff>944395</xdr:colOff>
      <xdr:row>8</xdr:row>
      <xdr:rowOff>142124</xdr:rowOff>
    </xdr:to>
    <xdr:sp macro="" textlink="">
      <xdr:nvSpPr>
        <xdr:cNvPr id="80" name="Text Box 225">
          <a:extLst>
            <a:ext uri="{FF2B5EF4-FFF2-40B4-BE49-F238E27FC236}">
              <a16:creationId xmlns:a16="http://schemas.microsoft.com/office/drawing/2014/main" id="{00000000-0008-0000-0100-000050000000}"/>
            </a:ext>
          </a:extLst>
        </xdr:cNvPr>
        <xdr:cNvSpPr txBox="1">
          <a:spLocks noChangeArrowheads="1"/>
        </xdr:cNvSpPr>
      </xdr:nvSpPr>
      <xdr:spPr bwMode="auto">
        <a:xfrm>
          <a:off x="1167551" y="1295100"/>
          <a:ext cx="368515" cy="209659"/>
        </a:xfrm>
        <a:prstGeom prst="rect">
          <a:avLst/>
        </a:prstGeom>
        <a:noFill/>
        <a:ln w="9525">
          <a:noFill/>
          <a:miter lim="800000"/>
          <a:headEnd/>
          <a:tailEnd/>
        </a:ln>
      </xdr:spPr>
      <xdr:txBody>
        <a:bodyPr vertOverflow="clip" wrap="square" lIns="27432" tIns="27432" rIns="0" bIns="0" anchor="ctr" upright="1"/>
        <a:lstStyle/>
        <a:p>
          <a:pPr algn="ctr" rtl="0">
            <a:defRPr sz="1000"/>
          </a:pPr>
          <a:r>
            <a:rPr lang="en-US" sz="1000" b="0" i="0" strike="noStrike">
              <a:solidFill>
                <a:srgbClr val="000000"/>
              </a:solidFill>
              <a:latin typeface="Arial" pitchFamily="34" charset="0"/>
              <a:cs typeface="Arial" pitchFamily="34" charset="0"/>
            </a:rPr>
            <a:t>R</a:t>
          </a:r>
          <a:r>
            <a:rPr lang="en-US" sz="1000" b="0" i="0" strike="noStrike" baseline="-25000">
              <a:solidFill>
                <a:srgbClr val="000000"/>
              </a:solidFill>
              <a:latin typeface="Arial" pitchFamily="34" charset="0"/>
              <a:cs typeface="Arial" pitchFamily="34" charset="0"/>
            </a:rPr>
            <a:t>FB1</a:t>
          </a:r>
        </a:p>
      </xdr:txBody>
    </xdr:sp>
    <xdr:clientData/>
  </xdr:twoCellAnchor>
  <xdr:twoCellAnchor>
    <xdr:from>
      <xdr:col>0</xdr:col>
      <xdr:colOff>412578</xdr:colOff>
      <xdr:row>7</xdr:row>
      <xdr:rowOff>66616</xdr:rowOff>
    </xdr:from>
    <xdr:to>
      <xdr:col>1</xdr:col>
      <xdr:colOff>99261</xdr:colOff>
      <xdr:row>8</xdr:row>
      <xdr:rowOff>146060</xdr:rowOff>
    </xdr:to>
    <xdr:sp macro="" textlink="">
      <xdr:nvSpPr>
        <xdr:cNvPr id="81" name="Text Box 227">
          <a:extLst>
            <a:ext uri="{FF2B5EF4-FFF2-40B4-BE49-F238E27FC236}">
              <a16:creationId xmlns:a16="http://schemas.microsoft.com/office/drawing/2014/main" id="{00000000-0008-0000-0100-000051000000}"/>
            </a:ext>
          </a:extLst>
        </xdr:cNvPr>
        <xdr:cNvSpPr txBox="1">
          <a:spLocks noChangeArrowheads="1"/>
        </xdr:cNvSpPr>
      </xdr:nvSpPr>
      <xdr:spPr bwMode="auto">
        <a:xfrm>
          <a:off x="412578" y="1258922"/>
          <a:ext cx="278354" cy="249773"/>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R</a:t>
          </a:r>
          <a:r>
            <a:rPr lang="en-US" sz="1000" b="0" i="0" strike="noStrike" baseline="-25000">
              <a:solidFill>
                <a:srgbClr val="000000"/>
              </a:solidFill>
              <a:latin typeface="Arial" pitchFamily="34" charset="0"/>
              <a:cs typeface="Arial" pitchFamily="34" charset="0"/>
            </a:rPr>
            <a:t>C2</a:t>
          </a:r>
        </a:p>
      </xdr:txBody>
    </xdr:sp>
    <xdr:clientData/>
  </xdr:twoCellAnchor>
  <xdr:twoCellAnchor>
    <xdr:from>
      <xdr:col>8</xdr:col>
      <xdr:colOff>210753</xdr:colOff>
      <xdr:row>17</xdr:row>
      <xdr:rowOff>135665</xdr:rowOff>
    </xdr:from>
    <xdr:to>
      <xdr:col>8</xdr:col>
      <xdr:colOff>632542</xdr:colOff>
      <xdr:row>19</xdr:row>
      <xdr:rowOff>23142</xdr:rowOff>
    </xdr:to>
    <xdr:sp macro="" textlink="">
      <xdr:nvSpPr>
        <xdr:cNvPr id="82" name="Text Box 228">
          <a:extLst>
            <a:ext uri="{FF2B5EF4-FFF2-40B4-BE49-F238E27FC236}">
              <a16:creationId xmlns:a16="http://schemas.microsoft.com/office/drawing/2014/main" id="{00000000-0008-0000-0100-000052000000}"/>
            </a:ext>
          </a:extLst>
        </xdr:cNvPr>
        <xdr:cNvSpPr txBox="1">
          <a:spLocks noChangeArrowheads="1"/>
        </xdr:cNvSpPr>
      </xdr:nvSpPr>
      <xdr:spPr bwMode="auto">
        <a:xfrm>
          <a:off x="8673435" y="3031265"/>
          <a:ext cx="421789" cy="228136"/>
        </a:xfrm>
        <a:prstGeom prst="rect">
          <a:avLst/>
        </a:prstGeom>
        <a:noFill/>
        <a:ln w="9525">
          <a:noFill/>
          <a:miter lim="800000"/>
          <a:headEnd/>
          <a:tailEnd/>
        </a:ln>
      </xdr:spPr>
      <xdr:txBody>
        <a:bodyPr vertOverflow="clip" wrap="square" lIns="27432" tIns="27432" rIns="0" bIns="0" anchor="ctr" upright="1"/>
        <a:lstStyle/>
        <a:p>
          <a:pPr algn="l" rtl="0">
            <a:defRPr sz="1000"/>
          </a:pPr>
          <a:r>
            <a:rPr lang="en-US" sz="1000" b="0" i="0" strike="noStrike">
              <a:solidFill>
                <a:srgbClr val="000000"/>
              </a:solidFill>
              <a:latin typeface="Arial" pitchFamily="34" charset="0"/>
              <a:cs typeface="Arial" pitchFamily="34" charset="0"/>
            </a:rPr>
            <a:t>C</a:t>
          </a:r>
          <a:r>
            <a:rPr lang="en-US" sz="1000" b="0" i="0" strike="noStrike" baseline="-25000">
              <a:solidFill>
                <a:srgbClr val="000000"/>
              </a:solidFill>
              <a:latin typeface="Arial" pitchFamily="34" charset="0"/>
              <a:cs typeface="Arial" pitchFamily="34" charset="0"/>
            </a:rPr>
            <a:t>OUT</a:t>
          </a:r>
        </a:p>
      </xdr:txBody>
    </xdr:sp>
    <xdr:clientData/>
  </xdr:twoCellAnchor>
  <xdr:twoCellAnchor>
    <xdr:from>
      <xdr:col>5</xdr:col>
      <xdr:colOff>21151</xdr:colOff>
      <xdr:row>28</xdr:row>
      <xdr:rowOff>3163</xdr:rowOff>
    </xdr:from>
    <xdr:to>
      <xdr:col>5</xdr:col>
      <xdr:colOff>511615</xdr:colOff>
      <xdr:row>29</xdr:row>
      <xdr:rowOff>105010</xdr:rowOff>
    </xdr:to>
    <xdr:sp macro="" textlink="">
      <xdr:nvSpPr>
        <xdr:cNvPr id="83" name="Text Box 231">
          <a:extLst>
            <a:ext uri="{FF2B5EF4-FFF2-40B4-BE49-F238E27FC236}">
              <a16:creationId xmlns:a16="http://schemas.microsoft.com/office/drawing/2014/main" id="{00000000-0008-0000-0100-000053000000}"/>
            </a:ext>
          </a:extLst>
        </xdr:cNvPr>
        <xdr:cNvSpPr txBox="1">
          <a:spLocks noChangeArrowheads="1"/>
        </xdr:cNvSpPr>
      </xdr:nvSpPr>
      <xdr:spPr bwMode="auto">
        <a:xfrm>
          <a:off x="5310327" y="4772387"/>
          <a:ext cx="490464" cy="272176"/>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R</a:t>
          </a:r>
          <a:r>
            <a:rPr lang="en-US" sz="1000" b="0" i="0" strike="noStrike" baseline="-25000">
              <a:solidFill>
                <a:srgbClr val="000000"/>
              </a:solidFill>
              <a:latin typeface="Arial" pitchFamily="34" charset="0"/>
              <a:cs typeface="Arial" pitchFamily="34" charset="0"/>
            </a:rPr>
            <a:t>ILIM</a:t>
          </a:r>
        </a:p>
      </xdr:txBody>
    </xdr:sp>
    <xdr:clientData/>
  </xdr:twoCellAnchor>
  <xdr:twoCellAnchor>
    <xdr:from>
      <xdr:col>7</xdr:col>
      <xdr:colOff>391320</xdr:colOff>
      <xdr:row>12</xdr:row>
      <xdr:rowOff>9344</xdr:rowOff>
    </xdr:from>
    <xdr:to>
      <xdr:col>7</xdr:col>
      <xdr:colOff>736391</xdr:colOff>
      <xdr:row>13</xdr:row>
      <xdr:rowOff>123561</xdr:rowOff>
    </xdr:to>
    <xdr:sp macro="" textlink="">
      <xdr:nvSpPr>
        <xdr:cNvPr id="84" name="Text Box 235">
          <a:extLst>
            <a:ext uri="{FF2B5EF4-FFF2-40B4-BE49-F238E27FC236}">
              <a16:creationId xmlns:a16="http://schemas.microsoft.com/office/drawing/2014/main" id="{00000000-0008-0000-0100-000054000000}"/>
            </a:ext>
          </a:extLst>
        </xdr:cNvPr>
        <xdr:cNvSpPr txBox="1">
          <a:spLocks noChangeArrowheads="1"/>
        </xdr:cNvSpPr>
      </xdr:nvSpPr>
      <xdr:spPr bwMode="auto">
        <a:xfrm>
          <a:off x="7751344" y="2053297"/>
          <a:ext cx="345071" cy="284546"/>
        </a:xfrm>
        <a:prstGeom prst="rect">
          <a:avLst/>
        </a:prstGeom>
        <a:noFill/>
        <a:ln w="9525">
          <a:noFill/>
          <a:miter lim="800000"/>
          <a:headEnd/>
          <a:tailEnd/>
        </a:ln>
      </xdr:spPr>
      <xdr:txBody>
        <a:bodyPr vertOverflow="clip" wrap="square" lIns="27432" tIns="27432" rIns="0" bIns="0" anchor="ctr" upright="1"/>
        <a:lstStyle/>
        <a:p>
          <a:pPr algn="ctr" rtl="0">
            <a:defRPr sz="1000"/>
          </a:pPr>
          <a:r>
            <a:rPr lang="en-US" sz="1000" b="0" i="0" strike="noStrike">
              <a:solidFill>
                <a:srgbClr val="000000"/>
              </a:solidFill>
              <a:latin typeface="Arial" pitchFamily="34" charset="0"/>
              <a:cs typeface="Arial" pitchFamily="34" charset="0"/>
            </a:rPr>
            <a:t>L</a:t>
          </a:r>
          <a:r>
            <a:rPr lang="en-US" sz="1000" b="0" i="0" strike="noStrike" baseline="-25000">
              <a:solidFill>
                <a:srgbClr val="000000"/>
              </a:solidFill>
              <a:latin typeface="Arial" pitchFamily="34" charset="0"/>
              <a:cs typeface="Arial" pitchFamily="34" charset="0"/>
            </a:rPr>
            <a:t>O</a:t>
          </a:r>
        </a:p>
      </xdr:txBody>
    </xdr:sp>
    <xdr:clientData/>
  </xdr:twoCellAnchor>
  <xdr:twoCellAnchor>
    <xdr:from>
      <xdr:col>7</xdr:col>
      <xdr:colOff>261131</xdr:colOff>
      <xdr:row>17</xdr:row>
      <xdr:rowOff>168352</xdr:rowOff>
    </xdr:from>
    <xdr:to>
      <xdr:col>7</xdr:col>
      <xdr:colOff>586897</xdr:colOff>
      <xdr:row>19</xdr:row>
      <xdr:rowOff>55029</xdr:rowOff>
    </xdr:to>
    <xdr:sp macro="" textlink="">
      <xdr:nvSpPr>
        <xdr:cNvPr id="85" name="Text Box 244">
          <a:extLst>
            <a:ext uri="{FF2B5EF4-FFF2-40B4-BE49-F238E27FC236}">
              <a16:creationId xmlns:a16="http://schemas.microsoft.com/office/drawing/2014/main" id="{00000000-0008-0000-0100-000055000000}"/>
            </a:ext>
          </a:extLst>
        </xdr:cNvPr>
        <xdr:cNvSpPr txBox="1">
          <a:spLocks noChangeArrowheads="1"/>
        </xdr:cNvSpPr>
      </xdr:nvSpPr>
      <xdr:spPr bwMode="auto">
        <a:xfrm>
          <a:off x="7621155" y="3063952"/>
          <a:ext cx="325766" cy="227336"/>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C</a:t>
          </a:r>
          <a:r>
            <a:rPr lang="en-US" sz="1000" b="0" i="0" strike="noStrike" baseline="-25000">
              <a:solidFill>
                <a:srgbClr val="000000"/>
              </a:solidFill>
              <a:latin typeface="Arial" pitchFamily="34" charset="0"/>
              <a:cs typeface="Arial" pitchFamily="34" charset="0"/>
            </a:rPr>
            <a:t>IN</a:t>
          </a:r>
        </a:p>
      </xdr:txBody>
    </xdr:sp>
    <xdr:clientData/>
  </xdr:twoCellAnchor>
  <xdr:twoCellAnchor>
    <xdr:from>
      <xdr:col>5</xdr:col>
      <xdr:colOff>1135040</xdr:colOff>
      <xdr:row>24</xdr:row>
      <xdr:rowOff>92838</xdr:rowOff>
    </xdr:from>
    <xdr:to>
      <xdr:col>6</xdr:col>
      <xdr:colOff>99298</xdr:colOff>
      <xdr:row>25</xdr:row>
      <xdr:rowOff>154190</xdr:rowOff>
    </xdr:to>
    <xdr:sp macro="" textlink="">
      <xdr:nvSpPr>
        <xdr:cNvPr id="86" name="Text Box 249">
          <a:extLst>
            <a:ext uri="{FF2B5EF4-FFF2-40B4-BE49-F238E27FC236}">
              <a16:creationId xmlns:a16="http://schemas.microsoft.com/office/drawing/2014/main" id="{00000000-0008-0000-0100-000056000000}"/>
            </a:ext>
          </a:extLst>
        </xdr:cNvPr>
        <xdr:cNvSpPr txBox="1">
          <a:spLocks noChangeArrowheads="1"/>
        </xdr:cNvSpPr>
      </xdr:nvSpPr>
      <xdr:spPr bwMode="auto">
        <a:xfrm>
          <a:off x="6424216" y="4180744"/>
          <a:ext cx="371717" cy="231681"/>
        </a:xfrm>
        <a:prstGeom prst="rect">
          <a:avLst/>
        </a:prstGeom>
        <a:noFill/>
        <a:ln w="9525">
          <a:noFill/>
          <a:miter lim="800000"/>
          <a:headEnd/>
          <a:tailEnd/>
        </a:ln>
      </xdr:spPr>
      <xdr:txBody>
        <a:bodyPr vertOverflow="clip" wrap="square" lIns="27432" tIns="27432" rIns="0" bIns="0" anchor="ctr" upright="1"/>
        <a:lstStyle/>
        <a:p>
          <a:pPr algn="l" rtl="0">
            <a:defRPr sz="1000"/>
          </a:pPr>
          <a:r>
            <a:rPr lang="en-US" sz="1000" b="0" i="0" strike="noStrike">
              <a:solidFill>
                <a:srgbClr val="000000"/>
              </a:solidFill>
              <a:latin typeface="Arial" pitchFamily="34" charset="0"/>
              <a:cs typeface="Arial" pitchFamily="34" charset="0"/>
            </a:rPr>
            <a:t>C</a:t>
          </a:r>
          <a:r>
            <a:rPr lang="en-US" sz="1000" b="0" i="0" strike="noStrike" baseline="-25000">
              <a:solidFill>
                <a:srgbClr val="000000"/>
              </a:solidFill>
              <a:latin typeface="Arial" pitchFamily="34" charset="0"/>
              <a:cs typeface="Arial" pitchFamily="34" charset="0"/>
            </a:rPr>
            <a:t>VCC</a:t>
          </a:r>
        </a:p>
      </xdr:txBody>
    </xdr:sp>
    <xdr:clientData/>
  </xdr:twoCellAnchor>
  <xdr:twoCellAnchor>
    <xdr:from>
      <xdr:col>2</xdr:col>
      <xdr:colOff>688312</xdr:colOff>
      <xdr:row>10</xdr:row>
      <xdr:rowOff>15192</xdr:rowOff>
    </xdr:from>
    <xdr:to>
      <xdr:col>2</xdr:col>
      <xdr:colOff>1013086</xdr:colOff>
      <xdr:row>11</xdr:row>
      <xdr:rowOff>128826</xdr:rowOff>
    </xdr:to>
    <xdr:sp macro="" textlink="">
      <xdr:nvSpPr>
        <xdr:cNvPr id="87" name="Text Box 251">
          <a:extLst>
            <a:ext uri="{FF2B5EF4-FFF2-40B4-BE49-F238E27FC236}">
              <a16:creationId xmlns:a16="http://schemas.microsoft.com/office/drawing/2014/main" id="{00000000-0008-0000-0100-000057000000}"/>
            </a:ext>
          </a:extLst>
        </xdr:cNvPr>
        <xdr:cNvSpPr txBox="1">
          <a:spLocks noChangeArrowheads="1"/>
        </xdr:cNvSpPr>
      </xdr:nvSpPr>
      <xdr:spPr bwMode="auto">
        <a:xfrm>
          <a:off x="2301959" y="1718486"/>
          <a:ext cx="324774" cy="283964"/>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C</a:t>
          </a:r>
          <a:r>
            <a:rPr lang="en-US" sz="1000" b="0" i="0" strike="noStrike" baseline="-25000">
              <a:solidFill>
                <a:srgbClr val="000000"/>
              </a:solidFill>
              <a:latin typeface="Arial" pitchFamily="34" charset="0"/>
              <a:cs typeface="Arial" pitchFamily="34" charset="0"/>
            </a:rPr>
            <a:t>SS</a:t>
          </a:r>
        </a:p>
      </xdr:txBody>
    </xdr:sp>
    <xdr:clientData/>
  </xdr:twoCellAnchor>
  <xdr:twoCellAnchor>
    <xdr:from>
      <xdr:col>2</xdr:col>
      <xdr:colOff>259715</xdr:colOff>
      <xdr:row>24</xdr:row>
      <xdr:rowOff>117966</xdr:rowOff>
    </xdr:from>
    <xdr:to>
      <xdr:col>2</xdr:col>
      <xdr:colOff>639595</xdr:colOff>
      <xdr:row>24</xdr:row>
      <xdr:rowOff>117966</xdr:rowOff>
    </xdr:to>
    <xdr:sp macro="" textlink="">
      <xdr:nvSpPr>
        <xdr:cNvPr id="88" name="Text Box 252">
          <a:extLst>
            <a:ext uri="{FF2B5EF4-FFF2-40B4-BE49-F238E27FC236}">
              <a16:creationId xmlns:a16="http://schemas.microsoft.com/office/drawing/2014/main" id="{00000000-0008-0000-0100-000058000000}"/>
            </a:ext>
          </a:extLst>
        </xdr:cNvPr>
        <xdr:cNvSpPr txBox="1">
          <a:spLocks noChangeArrowheads="1"/>
        </xdr:cNvSpPr>
      </xdr:nvSpPr>
      <xdr:spPr bwMode="auto">
        <a:xfrm>
          <a:off x="1873362" y="4205872"/>
          <a:ext cx="379880" cy="0"/>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100" b="0" i="0" strike="noStrike">
              <a:solidFill>
                <a:srgbClr val="000000"/>
              </a:solidFill>
              <a:latin typeface="Calibri"/>
            </a:rPr>
            <a:t>R</a:t>
          </a:r>
          <a:r>
            <a:rPr lang="en-US" sz="1100" b="0" i="0" strike="noStrike" baseline="-25000">
              <a:solidFill>
                <a:srgbClr val="000000"/>
              </a:solidFill>
              <a:latin typeface="Calibri"/>
            </a:rPr>
            <a:t>FADJ</a:t>
          </a:r>
        </a:p>
      </xdr:txBody>
    </xdr:sp>
    <xdr:clientData/>
  </xdr:twoCellAnchor>
  <xdr:twoCellAnchor>
    <xdr:from>
      <xdr:col>1</xdr:col>
      <xdr:colOff>107308</xdr:colOff>
      <xdr:row>16</xdr:row>
      <xdr:rowOff>99939</xdr:rowOff>
    </xdr:from>
    <xdr:to>
      <xdr:col>1</xdr:col>
      <xdr:colOff>502297</xdr:colOff>
      <xdr:row>17</xdr:row>
      <xdr:rowOff>158578</xdr:rowOff>
    </xdr:to>
    <xdr:sp macro="" textlink="">
      <xdr:nvSpPr>
        <xdr:cNvPr id="89" name="Text Box 255">
          <a:extLst>
            <a:ext uri="{FF2B5EF4-FFF2-40B4-BE49-F238E27FC236}">
              <a16:creationId xmlns:a16="http://schemas.microsoft.com/office/drawing/2014/main" id="{00000000-0008-0000-0100-000059000000}"/>
            </a:ext>
          </a:extLst>
        </xdr:cNvPr>
        <xdr:cNvSpPr txBox="1">
          <a:spLocks noChangeArrowheads="1"/>
        </xdr:cNvSpPr>
      </xdr:nvSpPr>
      <xdr:spPr bwMode="auto">
        <a:xfrm>
          <a:off x="698979" y="2825210"/>
          <a:ext cx="394989" cy="228968"/>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R</a:t>
          </a:r>
          <a:r>
            <a:rPr lang="en-US" sz="1000" b="0" i="0" strike="noStrike" baseline="-25000">
              <a:solidFill>
                <a:srgbClr val="000000"/>
              </a:solidFill>
              <a:latin typeface="Arial" pitchFamily="34" charset="0"/>
              <a:cs typeface="Arial" pitchFamily="34" charset="0"/>
            </a:rPr>
            <a:t>FB2</a:t>
          </a:r>
        </a:p>
      </xdr:txBody>
    </xdr:sp>
    <xdr:clientData/>
  </xdr:twoCellAnchor>
  <xdr:twoCellAnchor>
    <xdr:from>
      <xdr:col>1</xdr:col>
      <xdr:colOff>694827</xdr:colOff>
      <xdr:row>15</xdr:row>
      <xdr:rowOff>10221</xdr:rowOff>
    </xdr:from>
    <xdr:to>
      <xdr:col>1</xdr:col>
      <xdr:colOff>962983</xdr:colOff>
      <xdr:row>16</xdr:row>
      <xdr:rowOff>61831</xdr:rowOff>
    </xdr:to>
    <xdr:sp macro="" textlink="">
      <xdr:nvSpPr>
        <xdr:cNvPr id="90" name="Text Box 256">
          <a:extLst>
            <a:ext uri="{FF2B5EF4-FFF2-40B4-BE49-F238E27FC236}">
              <a16:creationId xmlns:a16="http://schemas.microsoft.com/office/drawing/2014/main" id="{00000000-0008-0000-0100-00005A000000}"/>
            </a:ext>
          </a:extLst>
        </xdr:cNvPr>
        <xdr:cNvSpPr txBox="1">
          <a:spLocks noChangeArrowheads="1"/>
        </xdr:cNvSpPr>
      </xdr:nvSpPr>
      <xdr:spPr bwMode="auto">
        <a:xfrm>
          <a:off x="1286498" y="2565162"/>
          <a:ext cx="268156" cy="221940"/>
        </a:xfrm>
        <a:prstGeom prst="rect">
          <a:avLst/>
        </a:prstGeom>
        <a:noFill/>
        <a:ln w="9525">
          <a:noFill/>
          <a:miter lim="800000"/>
          <a:headEnd/>
          <a:tailEnd/>
        </a:ln>
      </xdr:spPr>
      <xdr:txBody>
        <a:bodyPr vertOverflow="clip" wrap="square" lIns="27432" tIns="27432" rIns="0" bIns="0" anchor="t" upright="1"/>
        <a:lstStyle/>
        <a:p>
          <a:pPr algn="r" rtl="0">
            <a:defRPr sz="1000"/>
          </a:pPr>
          <a:r>
            <a:rPr lang="en-US" sz="1000" b="0" i="0" strike="noStrike">
              <a:solidFill>
                <a:srgbClr val="000000"/>
              </a:solidFill>
              <a:latin typeface="Arial" pitchFamily="34" charset="0"/>
              <a:cs typeface="Arial" pitchFamily="34" charset="0"/>
            </a:rPr>
            <a:t>C</a:t>
          </a:r>
          <a:r>
            <a:rPr lang="en-US" sz="1000" b="0" i="0" strike="noStrike" baseline="-25000">
              <a:solidFill>
                <a:srgbClr val="000000"/>
              </a:solidFill>
              <a:latin typeface="Arial" pitchFamily="34" charset="0"/>
              <a:cs typeface="Arial" pitchFamily="34" charset="0"/>
            </a:rPr>
            <a:t>C2</a:t>
          </a:r>
        </a:p>
      </xdr:txBody>
    </xdr:sp>
    <xdr:clientData/>
  </xdr:twoCellAnchor>
  <xdr:twoCellAnchor>
    <xdr:from>
      <xdr:col>2</xdr:col>
      <xdr:colOff>129684</xdr:colOff>
      <xdr:row>10</xdr:row>
      <xdr:rowOff>76931</xdr:rowOff>
    </xdr:from>
    <xdr:to>
      <xdr:col>2</xdr:col>
      <xdr:colOff>444733</xdr:colOff>
      <xdr:row>11</xdr:row>
      <xdr:rowOff>149972</xdr:rowOff>
    </xdr:to>
    <xdr:sp macro="" textlink="">
      <xdr:nvSpPr>
        <xdr:cNvPr id="91" name="Text Box 257">
          <a:extLst>
            <a:ext uri="{FF2B5EF4-FFF2-40B4-BE49-F238E27FC236}">
              <a16:creationId xmlns:a16="http://schemas.microsoft.com/office/drawing/2014/main" id="{00000000-0008-0000-0100-00005B000000}"/>
            </a:ext>
          </a:extLst>
        </xdr:cNvPr>
        <xdr:cNvSpPr txBox="1">
          <a:spLocks noChangeArrowheads="1"/>
        </xdr:cNvSpPr>
      </xdr:nvSpPr>
      <xdr:spPr bwMode="auto">
        <a:xfrm>
          <a:off x="1743331" y="1780225"/>
          <a:ext cx="315049" cy="243371"/>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C</a:t>
          </a:r>
          <a:r>
            <a:rPr lang="en-US" sz="1000" b="0" i="0" strike="noStrike" baseline="-25000">
              <a:solidFill>
                <a:srgbClr val="000000"/>
              </a:solidFill>
              <a:latin typeface="Arial" pitchFamily="34" charset="0"/>
              <a:cs typeface="Arial" pitchFamily="34" charset="0"/>
            </a:rPr>
            <a:t>C1</a:t>
          </a:r>
        </a:p>
      </xdr:txBody>
    </xdr:sp>
    <xdr:clientData/>
  </xdr:twoCellAnchor>
  <xdr:twoCellAnchor>
    <xdr:from>
      <xdr:col>1</xdr:col>
      <xdr:colOff>708026</xdr:colOff>
      <xdr:row>10</xdr:row>
      <xdr:rowOff>57990</xdr:rowOff>
    </xdr:from>
    <xdr:to>
      <xdr:col>2</xdr:col>
      <xdr:colOff>25513</xdr:colOff>
      <xdr:row>11</xdr:row>
      <xdr:rowOff>137167</xdr:rowOff>
    </xdr:to>
    <xdr:sp macro="" textlink="">
      <xdr:nvSpPr>
        <xdr:cNvPr id="92" name="Text Box 258">
          <a:extLst>
            <a:ext uri="{FF2B5EF4-FFF2-40B4-BE49-F238E27FC236}">
              <a16:creationId xmlns:a16="http://schemas.microsoft.com/office/drawing/2014/main" id="{00000000-0008-0000-0100-00005C000000}"/>
            </a:ext>
          </a:extLst>
        </xdr:cNvPr>
        <xdr:cNvSpPr txBox="1">
          <a:spLocks noChangeArrowheads="1"/>
        </xdr:cNvSpPr>
      </xdr:nvSpPr>
      <xdr:spPr bwMode="auto">
        <a:xfrm>
          <a:off x="1299697" y="1761284"/>
          <a:ext cx="339463" cy="249507"/>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u="none" strike="noStrike" baseline="0">
              <a:solidFill>
                <a:srgbClr val="000000"/>
              </a:solidFill>
              <a:latin typeface="Arial" pitchFamily="34" charset="0"/>
              <a:cs typeface="Arial" pitchFamily="34" charset="0"/>
            </a:rPr>
            <a:t>R</a:t>
          </a:r>
          <a:r>
            <a:rPr lang="en-US" sz="1000" b="0" i="0" u="none" strike="noStrike" baseline="-25000">
              <a:solidFill>
                <a:srgbClr val="000000"/>
              </a:solidFill>
              <a:latin typeface="Arial" pitchFamily="34" charset="0"/>
              <a:cs typeface="Arial" pitchFamily="34" charset="0"/>
            </a:rPr>
            <a:t>C1</a:t>
          </a:r>
        </a:p>
      </xdr:txBody>
    </xdr:sp>
    <xdr:clientData/>
  </xdr:twoCellAnchor>
  <xdr:twoCellAnchor>
    <xdr:from>
      <xdr:col>5</xdr:col>
      <xdr:colOff>1128604</xdr:colOff>
      <xdr:row>25</xdr:row>
      <xdr:rowOff>156815</xdr:rowOff>
    </xdr:from>
    <xdr:to>
      <xdr:col>6</xdr:col>
      <xdr:colOff>138095</xdr:colOff>
      <xdr:row>27</xdr:row>
      <xdr:rowOff>84729</xdr:rowOff>
    </xdr:to>
    <xdr:sp macro="" textlink="">
      <xdr:nvSpPr>
        <xdr:cNvPr id="93" name="Text Box 260">
          <a:extLst>
            <a:ext uri="{FF2B5EF4-FFF2-40B4-BE49-F238E27FC236}">
              <a16:creationId xmlns:a16="http://schemas.microsoft.com/office/drawing/2014/main" id="{00000000-0008-0000-0100-00005D000000}"/>
            </a:ext>
          </a:extLst>
        </xdr:cNvPr>
        <xdr:cNvSpPr txBox="1">
          <a:spLocks noChangeArrowheads="1"/>
        </xdr:cNvSpPr>
      </xdr:nvSpPr>
      <xdr:spPr bwMode="auto">
        <a:xfrm>
          <a:off x="6417780" y="4415050"/>
          <a:ext cx="416950" cy="268573"/>
        </a:xfrm>
        <a:prstGeom prst="rect">
          <a:avLst/>
        </a:prstGeom>
        <a:noFill/>
        <a:ln w="9525">
          <a:noFill/>
          <a:miter lim="800000"/>
          <a:headEnd/>
          <a:tailEnd/>
        </a:ln>
      </xdr:spPr>
      <xdr:txBody>
        <a:bodyPr vertOverflow="clip" wrap="square" lIns="27432" tIns="27432" rIns="0" bIns="0" anchor="ctr" upright="1"/>
        <a:lstStyle/>
        <a:p>
          <a:pPr algn="l" rtl="0">
            <a:defRPr sz="1000"/>
          </a:pPr>
          <a:r>
            <a:rPr lang="en-US" sz="1000" b="0" i="0" strike="noStrike">
              <a:solidFill>
                <a:srgbClr val="000000"/>
              </a:solidFill>
              <a:latin typeface="Arial" pitchFamily="34" charset="0"/>
              <a:cs typeface="Arial" pitchFamily="34" charset="0"/>
            </a:rPr>
            <a:t>2.2</a:t>
          </a:r>
          <a:r>
            <a:rPr lang="el-GR" sz="1000" b="0" i="0" strike="noStrike">
              <a:solidFill>
                <a:srgbClr val="000000"/>
              </a:solidFill>
              <a:latin typeface="Arial" pitchFamily="34" charset="0"/>
              <a:cs typeface="Arial" pitchFamily="34" charset="0"/>
            </a:rPr>
            <a:t>μ</a:t>
          </a:r>
          <a:r>
            <a:rPr lang="en-US" sz="1000" b="0" i="0" strike="noStrike">
              <a:solidFill>
                <a:srgbClr val="000000"/>
              </a:solidFill>
              <a:latin typeface="Arial" pitchFamily="34" charset="0"/>
              <a:cs typeface="Arial" pitchFamily="34" charset="0"/>
            </a:rPr>
            <a:t>F</a:t>
          </a:r>
        </a:p>
      </xdr:txBody>
    </xdr:sp>
    <xdr:clientData/>
  </xdr:twoCellAnchor>
  <xdr:twoCellAnchor>
    <xdr:from>
      <xdr:col>1</xdr:col>
      <xdr:colOff>998007</xdr:colOff>
      <xdr:row>11</xdr:row>
      <xdr:rowOff>86242</xdr:rowOff>
    </xdr:from>
    <xdr:to>
      <xdr:col>2</xdr:col>
      <xdr:colOff>491860</xdr:colOff>
      <xdr:row>12</xdr:row>
      <xdr:rowOff>158628</xdr:rowOff>
    </xdr:to>
    <xdr:sp macro="" textlink="'Variable Management'!B254">
      <xdr:nvSpPr>
        <xdr:cNvPr id="94" name="Text Box 261">
          <a:extLst>
            <a:ext uri="{FF2B5EF4-FFF2-40B4-BE49-F238E27FC236}">
              <a16:creationId xmlns:a16="http://schemas.microsoft.com/office/drawing/2014/main" id="{00000000-0008-0000-0100-00005E000000}"/>
            </a:ext>
          </a:extLst>
        </xdr:cNvPr>
        <xdr:cNvSpPr txBox="1">
          <a:spLocks noChangeArrowheads="1" noTextEdit="1"/>
        </xdr:cNvSpPr>
      </xdr:nvSpPr>
      <xdr:spPr bwMode="auto">
        <a:xfrm>
          <a:off x="1589678" y="1959866"/>
          <a:ext cx="515829" cy="242715"/>
        </a:xfrm>
        <a:prstGeom prst="rect">
          <a:avLst/>
        </a:prstGeom>
        <a:noFill/>
        <a:ln w="9525">
          <a:noFill/>
          <a:miter lim="800000"/>
          <a:headEnd/>
          <a:tailEnd/>
        </a:ln>
      </xdr:spPr>
      <xdr:txBody>
        <a:bodyPr vertOverflow="clip" wrap="square" lIns="27432" tIns="22860" rIns="0" bIns="0" anchor="t" upright="1"/>
        <a:lstStyle/>
        <a:p>
          <a:pPr algn="r" rtl="0">
            <a:defRPr sz="1000"/>
          </a:pPr>
          <a:fld id="{491934A6-59AB-480F-A883-A2630DEA4784}" type="TxLink">
            <a:rPr lang="en-US" sz="1000" b="0" i="0" u="none" strike="noStrike" baseline="0">
              <a:solidFill>
                <a:srgbClr val="000000"/>
              </a:solidFill>
              <a:latin typeface="Arial" pitchFamily="34" charset="0"/>
              <a:cs typeface="Arial" pitchFamily="34" charset="0"/>
            </a:rPr>
            <a:pPr algn="r" rtl="0">
              <a:defRPr sz="1000"/>
            </a:pPr>
            <a:t>39nF</a:t>
          </a:fld>
          <a:endParaRPr lang="en-US" sz="1000" b="0" i="0" u="none" strike="noStrike" baseline="0">
            <a:solidFill>
              <a:srgbClr val="000000"/>
            </a:solidFill>
            <a:latin typeface="Arial" pitchFamily="34" charset="0"/>
            <a:cs typeface="Arial" pitchFamily="34" charset="0"/>
          </a:endParaRPr>
        </a:p>
      </xdr:txBody>
    </xdr:sp>
    <xdr:clientData/>
  </xdr:twoCellAnchor>
  <xdr:twoCellAnchor>
    <xdr:from>
      <xdr:col>2</xdr:col>
      <xdr:colOff>138460</xdr:colOff>
      <xdr:row>15</xdr:row>
      <xdr:rowOff>10793</xdr:rowOff>
    </xdr:from>
    <xdr:to>
      <xdr:col>2</xdr:col>
      <xdr:colOff>610936</xdr:colOff>
      <xdr:row>16</xdr:row>
      <xdr:rowOff>64358</xdr:rowOff>
    </xdr:to>
    <xdr:sp macro="" textlink="'Variable Management'!B255">
      <xdr:nvSpPr>
        <xdr:cNvPr id="95" name="Text Box 262">
          <a:extLst>
            <a:ext uri="{FF2B5EF4-FFF2-40B4-BE49-F238E27FC236}">
              <a16:creationId xmlns:a16="http://schemas.microsoft.com/office/drawing/2014/main" id="{00000000-0008-0000-0100-00005F000000}"/>
            </a:ext>
          </a:extLst>
        </xdr:cNvPr>
        <xdr:cNvSpPr txBox="1">
          <a:spLocks noChangeArrowheads="1" noTextEdit="1"/>
        </xdr:cNvSpPr>
      </xdr:nvSpPr>
      <xdr:spPr bwMode="auto">
        <a:xfrm>
          <a:off x="1752107" y="2565734"/>
          <a:ext cx="472476" cy="223895"/>
        </a:xfrm>
        <a:prstGeom prst="rect">
          <a:avLst/>
        </a:prstGeom>
        <a:noFill/>
        <a:ln w="9525">
          <a:noFill/>
          <a:miter lim="800000"/>
          <a:headEnd/>
          <a:tailEnd/>
        </a:ln>
      </xdr:spPr>
      <xdr:txBody>
        <a:bodyPr vertOverflow="clip" wrap="square" lIns="27432" tIns="22860" rIns="0" bIns="0" anchor="t" upright="1"/>
        <a:lstStyle/>
        <a:p>
          <a:pPr algn="l" rtl="0">
            <a:defRPr sz="1000"/>
          </a:pPr>
          <a:fld id="{2D8520E2-C481-4B17-83BA-3FA209B7A03A}" type="TxLink">
            <a:rPr lang="en-US" sz="1000" b="0" i="0" u="none" strike="noStrike" baseline="0">
              <a:solidFill>
                <a:srgbClr val="000000"/>
              </a:solidFill>
              <a:latin typeface="Arial" pitchFamily="34" charset="0"/>
              <a:cs typeface="Arial" pitchFamily="34" charset="0"/>
            </a:rPr>
            <a:pPr algn="l" rtl="0">
              <a:defRPr sz="1000"/>
            </a:pPr>
            <a:t>180pF</a:t>
          </a:fld>
          <a:endParaRPr lang="en-US" sz="1000" b="0" i="0" u="none" strike="noStrike" baseline="0">
            <a:solidFill>
              <a:srgbClr val="000000"/>
            </a:solidFill>
            <a:latin typeface="Arial" pitchFamily="34" charset="0"/>
            <a:cs typeface="Arial" pitchFamily="34" charset="0"/>
          </a:endParaRPr>
        </a:p>
      </xdr:txBody>
    </xdr:sp>
    <xdr:clientData/>
  </xdr:twoCellAnchor>
  <xdr:twoCellAnchor>
    <xdr:from>
      <xdr:col>1</xdr:col>
      <xdr:colOff>567120</xdr:colOff>
      <xdr:row>11</xdr:row>
      <xdr:rowOff>105364</xdr:rowOff>
    </xdr:from>
    <xdr:to>
      <xdr:col>2</xdr:col>
      <xdr:colOff>85303</xdr:colOff>
      <xdr:row>12</xdr:row>
      <xdr:rowOff>166961</xdr:rowOff>
    </xdr:to>
    <xdr:sp macro="" textlink="'Variable Management'!B253">
      <xdr:nvSpPr>
        <xdr:cNvPr id="96" name="Text Box 263">
          <a:extLst>
            <a:ext uri="{FF2B5EF4-FFF2-40B4-BE49-F238E27FC236}">
              <a16:creationId xmlns:a16="http://schemas.microsoft.com/office/drawing/2014/main" id="{00000000-0008-0000-0100-000060000000}"/>
            </a:ext>
          </a:extLst>
        </xdr:cNvPr>
        <xdr:cNvSpPr txBox="1">
          <a:spLocks noChangeArrowheads="1" noTextEdit="1"/>
        </xdr:cNvSpPr>
      </xdr:nvSpPr>
      <xdr:spPr bwMode="auto">
        <a:xfrm>
          <a:off x="1158791" y="1978988"/>
          <a:ext cx="540159" cy="231926"/>
        </a:xfrm>
        <a:prstGeom prst="rect">
          <a:avLst/>
        </a:prstGeom>
        <a:noFill/>
        <a:ln w="9525">
          <a:noFill/>
          <a:miter lim="800000"/>
          <a:headEnd/>
          <a:tailEnd/>
        </a:ln>
      </xdr:spPr>
      <xdr:txBody>
        <a:bodyPr vertOverflow="clip" wrap="square" lIns="27432" tIns="22860" rIns="0" bIns="0" anchor="t" upright="1"/>
        <a:lstStyle/>
        <a:p>
          <a:pPr algn="ctr" rtl="0">
            <a:defRPr sz="1000"/>
          </a:pPr>
          <a:fld id="{EDB14F34-7391-4353-9626-FAE030CE211F}" type="TxLink">
            <a:rPr lang="en-US" sz="1000" b="0" i="0" u="none" strike="noStrike" baseline="0">
              <a:solidFill>
                <a:srgbClr val="000000"/>
              </a:solidFill>
              <a:latin typeface="Arial" pitchFamily="34" charset="0"/>
              <a:cs typeface="Arial" pitchFamily="34" charset="0"/>
            </a:rPr>
            <a:pPr algn="ctr" rtl="0">
              <a:defRPr sz="1000"/>
            </a:pPr>
            <a:t>3.83kΩ</a:t>
          </a:fld>
          <a:endParaRPr lang="el-GR" sz="1000" b="0" i="0" u="none" strike="noStrike" baseline="0">
            <a:solidFill>
              <a:srgbClr val="000000"/>
            </a:solidFill>
            <a:latin typeface="Arial" pitchFamily="34" charset="0"/>
            <a:cs typeface="Arial" pitchFamily="34" charset="0"/>
          </a:endParaRPr>
        </a:p>
      </xdr:txBody>
    </xdr:sp>
    <xdr:clientData/>
  </xdr:twoCellAnchor>
  <xdr:twoCellAnchor>
    <xdr:from>
      <xdr:col>0</xdr:col>
      <xdr:colOff>389107</xdr:colOff>
      <xdr:row>18</xdr:row>
      <xdr:rowOff>3072</xdr:rowOff>
    </xdr:from>
    <xdr:to>
      <xdr:col>1</xdr:col>
      <xdr:colOff>408785</xdr:colOff>
      <xdr:row>19</xdr:row>
      <xdr:rowOff>70856</xdr:rowOff>
    </xdr:to>
    <xdr:sp macro="" textlink="'Variable Management'!B259">
      <xdr:nvSpPr>
        <xdr:cNvPr id="97" name="Text Box 264">
          <a:extLst>
            <a:ext uri="{FF2B5EF4-FFF2-40B4-BE49-F238E27FC236}">
              <a16:creationId xmlns:a16="http://schemas.microsoft.com/office/drawing/2014/main" id="{00000000-0008-0000-0100-000061000000}"/>
            </a:ext>
          </a:extLst>
        </xdr:cNvPr>
        <xdr:cNvSpPr txBox="1">
          <a:spLocks noChangeArrowheads="1" noTextEdit="1"/>
        </xdr:cNvSpPr>
      </xdr:nvSpPr>
      <xdr:spPr bwMode="auto">
        <a:xfrm>
          <a:off x="389107" y="3069001"/>
          <a:ext cx="611349" cy="238114"/>
        </a:xfrm>
        <a:prstGeom prst="rect">
          <a:avLst/>
        </a:prstGeom>
        <a:noFill/>
        <a:ln w="9525">
          <a:noFill/>
          <a:miter lim="800000"/>
          <a:headEnd/>
          <a:tailEnd/>
        </a:ln>
      </xdr:spPr>
      <xdr:txBody>
        <a:bodyPr vertOverflow="clip" wrap="square" lIns="27432" tIns="22860" rIns="0" bIns="0" anchor="t" upright="1"/>
        <a:lstStyle/>
        <a:p>
          <a:pPr algn="r" rtl="0">
            <a:defRPr sz="1000"/>
          </a:pPr>
          <a:fld id="{4143709D-01BC-4A19-AF00-5C62DAE21E0B}" type="TxLink">
            <a:rPr lang="en-US" sz="1000" b="0" i="0" u="none" strike="noStrike" baseline="0">
              <a:solidFill>
                <a:srgbClr val="000000"/>
              </a:solidFill>
              <a:latin typeface="Arial" pitchFamily="34" charset="0"/>
              <a:cs typeface="Arial" pitchFamily="34" charset="0"/>
            </a:rPr>
            <a:pPr algn="r" rtl="0">
              <a:defRPr sz="1000"/>
            </a:pPr>
            <a:t>3.32kΩ</a:t>
          </a:fld>
          <a:endParaRPr lang="el-GR" sz="1000" b="0" i="0" u="none" strike="noStrike" baseline="0">
            <a:solidFill>
              <a:srgbClr val="000000"/>
            </a:solidFill>
            <a:latin typeface="Arial" pitchFamily="34" charset="0"/>
            <a:cs typeface="Arial" pitchFamily="34" charset="0"/>
          </a:endParaRPr>
        </a:p>
      </xdr:txBody>
    </xdr:sp>
    <xdr:clientData/>
  </xdr:twoCellAnchor>
  <xdr:twoCellAnchor>
    <xdr:from>
      <xdr:col>0</xdr:col>
      <xdr:colOff>270918</xdr:colOff>
      <xdr:row>8</xdr:row>
      <xdr:rowOff>108745</xdr:rowOff>
    </xdr:from>
    <xdr:to>
      <xdr:col>1</xdr:col>
      <xdr:colOff>93342</xdr:colOff>
      <xdr:row>10</xdr:row>
      <xdr:rowOff>40595</xdr:rowOff>
    </xdr:to>
    <xdr:sp macro="" textlink="'Variable Management'!B256">
      <xdr:nvSpPr>
        <xdr:cNvPr id="98" name="Text Box 265">
          <a:extLst>
            <a:ext uri="{FF2B5EF4-FFF2-40B4-BE49-F238E27FC236}">
              <a16:creationId xmlns:a16="http://schemas.microsoft.com/office/drawing/2014/main" id="{00000000-0008-0000-0100-000062000000}"/>
            </a:ext>
          </a:extLst>
        </xdr:cNvPr>
        <xdr:cNvSpPr txBox="1">
          <a:spLocks noChangeArrowheads="1" noTextEdit="1"/>
        </xdr:cNvSpPr>
      </xdr:nvSpPr>
      <xdr:spPr bwMode="auto">
        <a:xfrm>
          <a:off x="270918" y="1471380"/>
          <a:ext cx="414095" cy="272509"/>
        </a:xfrm>
        <a:prstGeom prst="rect">
          <a:avLst/>
        </a:prstGeom>
        <a:noFill/>
        <a:ln w="9525">
          <a:noFill/>
          <a:miter lim="800000"/>
          <a:headEnd/>
          <a:tailEnd/>
        </a:ln>
      </xdr:spPr>
      <xdr:txBody>
        <a:bodyPr vertOverflow="clip" wrap="square" lIns="27432" tIns="22860" rIns="0" bIns="0" anchor="t" upright="1"/>
        <a:lstStyle/>
        <a:p>
          <a:pPr algn="r" rtl="0">
            <a:defRPr sz="1000"/>
          </a:pPr>
          <a:fld id="{8A5847E3-10F5-4FFF-8A55-57AE8AD8F48A}" type="TxLink">
            <a:rPr lang="el-GR" sz="1000" b="0" i="0" u="none" strike="noStrike" baseline="0">
              <a:solidFill>
                <a:srgbClr val="000000"/>
              </a:solidFill>
              <a:latin typeface="Arial" pitchFamily="34" charset="0"/>
              <a:cs typeface="Arial" pitchFamily="34" charset="0"/>
            </a:rPr>
            <a:pPr algn="r" rtl="0">
              <a:defRPr sz="1000"/>
            </a:pPr>
            <a:t>523Ω</a:t>
          </a:fld>
          <a:endParaRPr lang="el-GR" sz="1000" b="0" i="0" u="none" strike="noStrike" baseline="0">
            <a:solidFill>
              <a:srgbClr val="000000"/>
            </a:solidFill>
            <a:latin typeface="Arial" pitchFamily="34" charset="0"/>
            <a:cs typeface="Arial" pitchFamily="34" charset="0"/>
          </a:endParaRPr>
        </a:p>
      </xdr:txBody>
    </xdr:sp>
    <xdr:clientData/>
  </xdr:twoCellAnchor>
  <xdr:twoCellAnchor>
    <xdr:from>
      <xdr:col>0</xdr:col>
      <xdr:colOff>230831</xdr:colOff>
      <xdr:row>11</xdr:row>
      <xdr:rowOff>116103</xdr:rowOff>
    </xdr:from>
    <xdr:to>
      <xdr:col>1</xdr:col>
      <xdr:colOff>135623</xdr:colOff>
      <xdr:row>12</xdr:row>
      <xdr:rowOff>138919</xdr:rowOff>
    </xdr:to>
    <xdr:sp macro="" textlink="'Variable Management'!B257">
      <xdr:nvSpPr>
        <xdr:cNvPr id="99" name="Text Box 266">
          <a:extLst>
            <a:ext uri="{FF2B5EF4-FFF2-40B4-BE49-F238E27FC236}">
              <a16:creationId xmlns:a16="http://schemas.microsoft.com/office/drawing/2014/main" id="{00000000-0008-0000-0100-000063000000}"/>
            </a:ext>
          </a:extLst>
        </xdr:cNvPr>
        <xdr:cNvSpPr txBox="1">
          <a:spLocks noChangeArrowheads="1" noTextEdit="1"/>
        </xdr:cNvSpPr>
      </xdr:nvSpPr>
      <xdr:spPr bwMode="auto">
        <a:xfrm>
          <a:off x="230831" y="1989727"/>
          <a:ext cx="496463" cy="193145"/>
        </a:xfrm>
        <a:prstGeom prst="rect">
          <a:avLst/>
        </a:prstGeom>
        <a:noFill/>
        <a:ln w="9525">
          <a:noFill/>
          <a:miter lim="800000"/>
          <a:headEnd/>
          <a:tailEnd/>
        </a:ln>
      </xdr:spPr>
      <xdr:txBody>
        <a:bodyPr vertOverflow="clip" wrap="square" lIns="27432" tIns="22860" rIns="0" bIns="0" anchor="t" upright="1"/>
        <a:lstStyle/>
        <a:p>
          <a:pPr algn="r" rtl="0">
            <a:defRPr sz="1000"/>
          </a:pPr>
          <a:fld id="{6C3BF70F-B67A-49A8-941F-821453611716}" type="TxLink">
            <a:rPr lang="en-US" sz="1000" b="0" i="0" u="none" strike="noStrike" baseline="0">
              <a:solidFill>
                <a:srgbClr val="000000"/>
              </a:solidFill>
              <a:latin typeface="Arial" pitchFamily="34" charset="0"/>
              <a:cs typeface="Arial" pitchFamily="34" charset="0"/>
            </a:rPr>
            <a:pPr algn="r" rtl="0">
              <a:defRPr sz="1000"/>
            </a:pPr>
            <a:t>1200pF</a:t>
          </a:fld>
          <a:endParaRPr lang="en-US" sz="1000" b="0" i="0" u="none" strike="noStrike" baseline="0">
            <a:solidFill>
              <a:srgbClr val="000000"/>
            </a:solidFill>
            <a:latin typeface="Arial" pitchFamily="34" charset="0"/>
            <a:cs typeface="Arial" pitchFamily="34" charset="0"/>
          </a:endParaRPr>
        </a:p>
      </xdr:txBody>
    </xdr:sp>
    <xdr:clientData/>
  </xdr:twoCellAnchor>
  <xdr:twoCellAnchor>
    <xdr:from>
      <xdr:col>8</xdr:col>
      <xdr:colOff>126755</xdr:colOff>
      <xdr:row>19</xdr:row>
      <xdr:rowOff>36280</xdr:rowOff>
    </xdr:from>
    <xdr:to>
      <xdr:col>8</xdr:col>
      <xdr:colOff>816756</xdr:colOff>
      <xdr:row>20</xdr:row>
      <xdr:rowOff>112898</xdr:rowOff>
    </xdr:to>
    <xdr:sp macro="" textlink="'Variable Management'!E243">
      <xdr:nvSpPr>
        <xdr:cNvPr id="100" name="Text Box 267">
          <a:extLst>
            <a:ext uri="{FF2B5EF4-FFF2-40B4-BE49-F238E27FC236}">
              <a16:creationId xmlns:a16="http://schemas.microsoft.com/office/drawing/2014/main" id="{00000000-0008-0000-0100-000064000000}"/>
            </a:ext>
          </a:extLst>
        </xdr:cNvPr>
        <xdr:cNvSpPr txBox="1">
          <a:spLocks noChangeArrowheads="1" noTextEdit="1"/>
        </xdr:cNvSpPr>
      </xdr:nvSpPr>
      <xdr:spPr bwMode="auto">
        <a:xfrm>
          <a:off x="8589437" y="3272539"/>
          <a:ext cx="690001" cy="246947"/>
        </a:xfrm>
        <a:prstGeom prst="rect">
          <a:avLst/>
        </a:prstGeom>
        <a:noFill/>
        <a:ln w="9525">
          <a:noFill/>
          <a:miter lim="800000"/>
          <a:headEnd/>
          <a:tailEnd/>
        </a:ln>
      </xdr:spPr>
      <xdr:txBody>
        <a:bodyPr vertOverflow="clip" wrap="square" lIns="27432" tIns="22860" rIns="0" bIns="0" anchor="ctr" upright="1"/>
        <a:lstStyle/>
        <a:p>
          <a:pPr algn="l" rtl="0">
            <a:defRPr sz="1000"/>
          </a:pPr>
          <a:fld id="{B1C96643-9062-44BD-9D18-137667D0E8FF}" type="TxLink">
            <a:rPr lang="en-US" sz="1000" b="0" i="0" u="none" strike="noStrike" baseline="0">
              <a:solidFill>
                <a:srgbClr val="000000"/>
              </a:solidFill>
              <a:latin typeface="Arial"/>
              <a:cs typeface="Arial"/>
            </a:rPr>
            <a:pPr algn="l" rtl="0">
              <a:defRPr sz="1000"/>
            </a:pPr>
            <a:t>47µF</a:t>
          </a:fld>
          <a:endParaRPr lang="en-US" sz="1000" b="0" i="0" u="none" strike="noStrike" baseline="0">
            <a:solidFill>
              <a:srgbClr val="000000"/>
            </a:solidFill>
            <a:latin typeface="Arial" pitchFamily="34" charset="0"/>
            <a:cs typeface="Arial" pitchFamily="34" charset="0"/>
          </a:endParaRPr>
        </a:p>
      </xdr:txBody>
    </xdr:sp>
    <xdr:clientData/>
  </xdr:twoCellAnchor>
  <xdr:twoCellAnchor>
    <xdr:from>
      <xdr:col>1</xdr:col>
      <xdr:colOff>589975</xdr:colOff>
      <xdr:row>8</xdr:row>
      <xdr:rowOff>102276</xdr:rowOff>
    </xdr:from>
    <xdr:to>
      <xdr:col>2</xdr:col>
      <xdr:colOff>122040</xdr:colOff>
      <xdr:row>10</xdr:row>
      <xdr:rowOff>71162</xdr:rowOff>
    </xdr:to>
    <xdr:sp macro="" textlink="'Variable Management'!B258">
      <xdr:nvSpPr>
        <xdr:cNvPr id="101" name="Text Box 268">
          <a:extLst>
            <a:ext uri="{FF2B5EF4-FFF2-40B4-BE49-F238E27FC236}">
              <a16:creationId xmlns:a16="http://schemas.microsoft.com/office/drawing/2014/main" id="{00000000-0008-0000-0100-000065000000}"/>
            </a:ext>
          </a:extLst>
        </xdr:cNvPr>
        <xdr:cNvSpPr txBox="1">
          <a:spLocks noChangeArrowheads="1" noTextEdit="1"/>
        </xdr:cNvSpPr>
      </xdr:nvSpPr>
      <xdr:spPr bwMode="auto">
        <a:xfrm>
          <a:off x="1181646" y="1464911"/>
          <a:ext cx="554041" cy="309545"/>
        </a:xfrm>
        <a:prstGeom prst="rect">
          <a:avLst/>
        </a:prstGeom>
        <a:noFill/>
        <a:ln w="9525">
          <a:noFill/>
          <a:miter lim="800000"/>
          <a:headEnd/>
          <a:tailEnd/>
        </a:ln>
      </xdr:spPr>
      <xdr:txBody>
        <a:bodyPr vertOverflow="clip" wrap="square" lIns="27432" tIns="22860" rIns="0" bIns="0" anchor="ctr" upright="1"/>
        <a:lstStyle/>
        <a:p>
          <a:pPr algn="l" rtl="0">
            <a:defRPr sz="1000"/>
          </a:pPr>
          <a:fld id="{DE4FB3C5-779F-4472-8885-3DB2A25A3AD8}" type="TxLink">
            <a:rPr lang="en-US" sz="1000" b="0" i="0" u="none" strike="noStrike">
              <a:solidFill>
                <a:srgbClr val="000000"/>
              </a:solidFill>
              <a:latin typeface="Arial" pitchFamily="34" charset="0"/>
              <a:cs typeface="Arial" pitchFamily="34" charset="0"/>
            </a:rPr>
            <a:pPr algn="l" rtl="0">
              <a:defRPr sz="1000"/>
            </a:pPr>
            <a:t>18kΩ</a:t>
          </a:fld>
          <a:endParaRPr lang="el-GR" sz="1000" b="0" i="0" strike="noStrike">
            <a:solidFill>
              <a:srgbClr val="000000"/>
            </a:solidFill>
            <a:latin typeface="Arial" pitchFamily="34" charset="0"/>
            <a:cs typeface="Arial" pitchFamily="34" charset="0"/>
          </a:endParaRPr>
        </a:p>
      </xdr:txBody>
    </xdr:sp>
    <xdr:clientData/>
  </xdr:twoCellAnchor>
  <xdr:twoCellAnchor>
    <xdr:from>
      <xdr:col>5</xdr:col>
      <xdr:colOff>13758</xdr:colOff>
      <xdr:row>29</xdr:row>
      <xdr:rowOff>50650</xdr:rowOff>
    </xdr:from>
    <xdr:to>
      <xdr:col>5</xdr:col>
      <xdr:colOff>602357</xdr:colOff>
      <xdr:row>30</xdr:row>
      <xdr:rowOff>105786</xdr:rowOff>
    </xdr:to>
    <xdr:sp macro="" textlink="'Variable Management'!B268">
      <xdr:nvSpPr>
        <xdr:cNvPr id="102" name="Text Box 270">
          <a:extLst>
            <a:ext uri="{FF2B5EF4-FFF2-40B4-BE49-F238E27FC236}">
              <a16:creationId xmlns:a16="http://schemas.microsoft.com/office/drawing/2014/main" id="{00000000-0008-0000-0100-000066000000}"/>
            </a:ext>
          </a:extLst>
        </xdr:cNvPr>
        <xdr:cNvSpPr txBox="1">
          <a:spLocks noChangeArrowheads="1" noTextEdit="1"/>
        </xdr:cNvSpPr>
      </xdr:nvSpPr>
      <xdr:spPr bwMode="auto">
        <a:xfrm>
          <a:off x="5302934" y="4990203"/>
          <a:ext cx="588599" cy="225465"/>
        </a:xfrm>
        <a:prstGeom prst="rect">
          <a:avLst/>
        </a:prstGeom>
        <a:noFill/>
        <a:ln w="9525">
          <a:noFill/>
          <a:miter lim="800000"/>
          <a:headEnd/>
          <a:tailEnd/>
        </a:ln>
      </xdr:spPr>
      <xdr:txBody>
        <a:bodyPr vertOverflow="clip" wrap="square" lIns="27432" tIns="22860" rIns="0" bIns="0" anchor="t" upright="1"/>
        <a:lstStyle/>
        <a:p>
          <a:pPr algn="l" rtl="0">
            <a:defRPr sz="1000"/>
          </a:pPr>
          <a:fld id="{07E99D9F-90DD-4315-B69B-BBFCCDB8D767}" type="TxLink">
            <a:rPr lang="en-US" sz="1000" b="0" i="0" u="none" strike="noStrike" baseline="0">
              <a:solidFill>
                <a:srgbClr val="000000"/>
              </a:solidFill>
              <a:latin typeface="Arial"/>
              <a:cs typeface="Arial"/>
            </a:rPr>
            <a:pPr algn="l" rtl="0">
              <a:defRPr sz="1000"/>
            </a:pPr>
            <a:t>237Ω</a:t>
          </a:fld>
          <a:endParaRPr lang="el-GR" sz="1000" b="0" i="0" u="none" strike="noStrike" baseline="0">
            <a:solidFill>
              <a:srgbClr val="000000"/>
            </a:solidFill>
            <a:latin typeface="Arial" pitchFamily="34" charset="0"/>
            <a:cs typeface="Arial" pitchFamily="34" charset="0"/>
          </a:endParaRPr>
        </a:p>
      </xdr:txBody>
    </xdr:sp>
    <xdr:clientData/>
  </xdr:twoCellAnchor>
  <xdr:twoCellAnchor>
    <xdr:from>
      <xdr:col>7</xdr:col>
      <xdr:colOff>353153</xdr:colOff>
      <xdr:row>15</xdr:row>
      <xdr:rowOff>5103</xdr:rowOff>
    </xdr:from>
    <xdr:to>
      <xdr:col>7</xdr:col>
      <xdr:colOff>814933</xdr:colOff>
      <xdr:row>16</xdr:row>
      <xdr:rowOff>111822</xdr:rowOff>
    </xdr:to>
    <xdr:sp macro="" textlink="'Variable Management'!B238">
      <xdr:nvSpPr>
        <xdr:cNvPr id="103" name="Text Box 275">
          <a:extLst>
            <a:ext uri="{FF2B5EF4-FFF2-40B4-BE49-F238E27FC236}">
              <a16:creationId xmlns:a16="http://schemas.microsoft.com/office/drawing/2014/main" id="{00000000-0008-0000-0100-000067000000}"/>
            </a:ext>
          </a:extLst>
        </xdr:cNvPr>
        <xdr:cNvSpPr txBox="1">
          <a:spLocks noChangeArrowheads="1" noTextEdit="1"/>
        </xdr:cNvSpPr>
      </xdr:nvSpPr>
      <xdr:spPr bwMode="auto">
        <a:xfrm>
          <a:off x="7713177" y="2560044"/>
          <a:ext cx="461780" cy="277049"/>
        </a:xfrm>
        <a:prstGeom prst="rect">
          <a:avLst/>
        </a:prstGeom>
        <a:noFill/>
        <a:ln w="9525">
          <a:noFill/>
          <a:miter lim="800000"/>
          <a:headEnd/>
          <a:tailEnd/>
        </a:ln>
      </xdr:spPr>
      <xdr:txBody>
        <a:bodyPr vertOverflow="clip" wrap="square" lIns="27432" tIns="22860" rIns="0" bIns="0" anchor="ctr" upright="1"/>
        <a:lstStyle/>
        <a:p>
          <a:pPr algn="ctr" rtl="0">
            <a:defRPr sz="1000"/>
          </a:pPr>
          <a:fld id="{08583DE7-3129-476B-98BE-2887A134E956}" type="TxLink">
            <a:rPr lang="en-US" sz="1000" b="0" i="0" u="none" strike="noStrike" baseline="0">
              <a:solidFill>
                <a:srgbClr val="000000"/>
              </a:solidFill>
              <a:latin typeface="Arial" pitchFamily="34" charset="0"/>
              <a:cs typeface="Arial" pitchFamily="34" charset="0"/>
            </a:rPr>
            <a:pPr algn="ctr" rtl="0">
              <a:defRPr sz="1000"/>
            </a:pPr>
            <a:t>15µH</a:t>
          </a:fld>
          <a:endParaRPr lang="en-US" sz="1000" b="0" i="0" u="none" strike="noStrike" baseline="0">
            <a:solidFill>
              <a:srgbClr val="000000"/>
            </a:solidFill>
            <a:latin typeface="Arial" pitchFamily="34" charset="0"/>
            <a:cs typeface="Arial" pitchFamily="34" charset="0"/>
          </a:endParaRPr>
        </a:p>
      </xdr:txBody>
    </xdr:sp>
    <xdr:clientData/>
  </xdr:twoCellAnchor>
  <xdr:twoCellAnchor>
    <xdr:from>
      <xdr:col>7</xdr:col>
      <xdr:colOff>215625</xdr:colOff>
      <xdr:row>19</xdr:row>
      <xdr:rowOff>29712</xdr:rowOff>
    </xdr:from>
    <xdr:to>
      <xdr:col>7</xdr:col>
      <xdr:colOff>853651</xdr:colOff>
      <xdr:row>20</xdr:row>
      <xdr:rowOff>97576</xdr:rowOff>
    </xdr:to>
    <xdr:sp macro="" textlink="'Variable Management'!E250">
      <xdr:nvSpPr>
        <xdr:cNvPr id="104" name="Text Box 276">
          <a:extLst>
            <a:ext uri="{FF2B5EF4-FFF2-40B4-BE49-F238E27FC236}">
              <a16:creationId xmlns:a16="http://schemas.microsoft.com/office/drawing/2014/main" id="{00000000-0008-0000-0100-000068000000}"/>
            </a:ext>
          </a:extLst>
        </xdr:cNvPr>
        <xdr:cNvSpPr txBox="1">
          <a:spLocks noChangeArrowheads="1" noTextEdit="1"/>
        </xdr:cNvSpPr>
      </xdr:nvSpPr>
      <xdr:spPr bwMode="auto">
        <a:xfrm>
          <a:off x="7575649" y="3265971"/>
          <a:ext cx="638026" cy="238193"/>
        </a:xfrm>
        <a:prstGeom prst="rect">
          <a:avLst/>
        </a:prstGeom>
        <a:noFill/>
        <a:ln w="9525">
          <a:noFill/>
          <a:miter lim="800000"/>
          <a:headEnd/>
          <a:tailEnd/>
        </a:ln>
      </xdr:spPr>
      <xdr:txBody>
        <a:bodyPr vertOverflow="clip" wrap="square" lIns="27432" tIns="22860" rIns="0" bIns="0" anchor="ctr" upright="1"/>
        <a:lstStyle/>
        <a:p>
          <a:pPr algn="l" rtl="0">
            <a:defRPr sz="1000"/>
          </a:pPr>
          <a:fld id="{1B4FF237-4FCE-4391-A30E-D8A66113D8BC}" type="TxLink">
            <a:rPr lang="en-US" sz="1000" b="0" i="0" u="none" strike="noStrike" baseline="0">
              <a:solidFill>
                <a:srgbClr val="000000"/>
              </a:solidFill>
              <a:latin typeface="Arial"/>
              <a:cs typeface="Arial"/>
            </a:rPr>
            <a:pPr algn="l" rtl="0">
              <a:defRPr sz="1000"/>
            </a:pPr>
            <a:t>5 x 4.7µF</a:t>
          </a:fld>
          <a:endParaRPr lang="en-US" sz="1000" b="0" i="0" u="none" strike="noStrike" baseline="0">
            <a:solidFill>
              <a:srgbClr val="000000"/>
            </a:solidFill>
            <a:latin typeface="Arial" pitchFamily="34" charset="0"/>
            <a:cs typeface="Arial" pitchFamily="34" charset="0"/>
          </a:endParaRPr>
        </a:p>
      </xdr:txBody>
    </xdr:sp>
    <xdr:clientData/>
  </xdr:twoCellAnchor>
  <xdr:twoCellAnchor>
    <xdr:from>
      <xdr:col>5</xdr:col>
      <xdr:colOff>900129</xdr:colOff>
      <xdr:row>7</xdr:row>
      <xdr:rowOff>20001</xdr:rowOff>
    </xdr:from>
    <xdr:to>
      <xdr:col>5</xdr:col>
      <xdr:colOff>1283534</xdr:colOff>
      <xdr:row>8</xdr:row>
      <xdr:rowOff>88717</xdr:rowOff>
    </xdr:to>
    <xdr:sp macro="" textlink="">
      <xdr:nvSpPr>
        <xdr:cNvPr id="105" name="Text Box 279">
          <a:extLst>
            <a:ext uri="{FF2B5EF4-FFF2-40B4-BE49-F238E27FC236}">
              <a16:creationId xmlns:a16="http://schemas.microsoft.com/office/drawing/2014/main" id="{00000000-0008-0000-0100-000069000000}"/>
            </a:ext>
          </a:extLst>
        </xdr:cNvPr>
        <xdr:cNvSpPr txBox="1">
          <a:spLocks noChangeArrowheads="1"/>
        </xdr:cNvSpPr>
      </xdr:nvSpPr>
      <xdr:spPr bwMode="auto">
        <a:xfrm>
          <a:off x="6189305" y="1212307"/>
          <a:ext cx="383405" cy="239045"/>
        </a:xfrm>
        <a:prstGeom prst="rect">
          <a:avLst/>
        </a:prstGeom>
        <a:noFill/>
        <a:ln w="9525">
          <a:noFill/>
          <a:miter lim="800000"/>
          <a:headEnd/>
          <a:tailEnd/>
        </a:ln>
      </xdr:spPr>
      <xdr:txBody>
        <a:bodyPr vertOverflow="clip" wrap="square" lIns="27432" tIns="27432" rIns="0" bIns="0" anchor="ctr" upright="1"/>
        <a:lstStyle/>
        <a:p>
          <a:pPr marL="0" marR="0" indent="0" algn="ctr" defTabSz="914400" rtl="0" eaLnBrk="1" fontAlgn="auto" latinLnBrk="0" hangingPunct="1">
            <a:lnSpc>
              <a:spcPct val="100000"/>
            </a:lnSpc>
            <a:spcBef>
              <a:spcPts val="0"/>
            </a:spcBef>
            <a:spcAft>
              <a:spcPts val="0"/>
            </a:spcAft>
            <a:buClrTx/>
            <a:buSzTx/>
            <a:buFontTx/>
            <a:buNone/>
            <a:tabLst/>
            <a:defRPr sz="1000"/>
          </a:pPr>
          <a:r>
            <a:rPr lang="en-US" sz="1000" b="0" i="0">
              <a:latin typeface="Arial" pitchFamily="34" charset="0"/>
              <a:ea typeface="+mn-ea"/>
              <a:cs typeface="Arial" pitchFamily="34" charset="0"/>
            </a:rPr>
            <a:t>0.1</a:t>
          </a:r>
          <a:r>
            <a:rPr lang="el-GR" sz="1000" b="0" i="0">
              <a:latin typeface="Arial" pitchFamily="34" charset="0"/>
              <a:ea typeface="+mn-ea"/>
              <a:cs typeface="Arial" pitchFamily="34" charset="0"/>
            </a:rPr>
            <a:t>μ</a:t>
          </a:r>
          <a:r>
            <a:rPr lang="en-US" sz="1000" b="0" i="0">
              <a:latin typeface="Arial" pitchFamily="34" charset="0"/>
              <a:ea typeface="+mn-ea"/>
              <a:cs typeface="Arial" pitchFamily="34" charset="0"/>
            </a:rPr>
            <a:t>F</a:t>
          </a:r>
          <a:endParaRPr lang="en-US" sz="1000">
            <a:latin typeface="Arial" pitchFamily="34" charset="0"/>
            <a:cs typeface="Arial" pitchFamily="34" charset="0"/>
          </a:endParaRPr>
        </a:p>
      </xdr:txBody>
    </xdr:sp>
    <xdr:clientData/>
  </xdr:twoCellAnchor>
  <xdr:twoCellAnchor>
    <xdr:from>
      <xdr:col>2</xdr:col>
      <xdr:colOff>640422</xdr:colOff>
      <xdr:row>11</xdr:row>
      <xdr:rowOff>120500</xdr:rowOff>
    </xdr:from>
    <xdr:to>
      <xdr:col>2</xdr:col>
      <xdr:colOff>994046</xdr:colOff>
      <xdr:row>13</xdr:row>
      <xdr:rowOff>18698</xdr:rowOff>
    </xdr:to>
    <xdr:sp macro="" textlink="'Variable Management'!B276">
      <xdr:nvSpPr>
        <xdr:cNvPr id="106" name="Text Box 281">
          <a:extLst>
            <a:ext uri="{FF2B5EF4-FFF2-40B4-BE49-F238E27FC236}">
              <a16:creationId xmlns:a16="http://schemas.microsoft.com/office/drawing/2014/main" id="{00000000-0008-0000-0100-00006A000000}"/>
            </a:ext>
          </a:extLst>
        </xdr:cNvPr>
        <xdr:cNvSpPr txBox="1">
          <a:spLocks noChangeArrowheads="1" noTextEdit="1"/>
        </xdr:cNvSpPr>
      </xdr:nvSpPr>
      <xdr:spPr bwMode="auto">
        <a:xfrm>
          <a:off x="2254069" y="1994124"/>
          <a:ext cx="353624" cy="238856"/>
        </a:xfrm>
        <a:prstGeom prst="rect">
          <a:avLst/>
        </a:prstGeom>
        <a:noFill/>
        <a:ln w="9525">
          <a:noFill/>
          <a:miter lim="800000"/>
          <a:headEnd/>
          <a:tailEnd/>
        </a:ln>
      </xdr:spPr>
      <xdr:txBody>
        <a:bodyPr vertOverflow="clip" wrap="square" lIns="27432" tIns="22860" rIns="0" bIns="0" anchor="t" upright="1"/>
        <a:lstStyle/>
        <a:p>
          <a:pPr algn="l" rtl="0">
            <a:defRPr sz="1000"/>
          </a:pPr>
          <a:fld id="{77460045-3ADA-4E36-A50B-8C5C548E137C}" type="TxLink">
            <a:rPr lang="en-US" sz="1000" b="0" i="0" u="none" strike="noStrike">
              <a:solidFill>
                <a:srgbClr val="000000"/>
              </a:solidFill>
              <a:latin typeface="Arial" pitchFamily="34" charset="0"/>
              <a:cs typeface="Arial" pitchFamily="34" charset="0"/>
            </a:rPr>
            <a:pPr algn="l" rtl="0">
              <a:defRPr sz="1000"/>
            </a:pPr>
            <a:t>56nF</a:t>
          </a:fld>
          <a:endParaRPr lang="en-US" sz="1000" b="0" i="0" strike="noStrike">
            <a:solidFill>
              <a:srgbClr val="000000"/>
            </a:solidFill>
            <a:latin typeface="Arial" pitchFamily="34" charset="0"/>
            <a:cs typeface="Arial" pitchFamily="34" charset="0"/>
          </a:endParaRPr>
        </a:p>
      </xdr:txBody>
    </xdr:sp>
    <xdr:clientData/>
  </xdr:twoCellAnchor>
  <xdr:twoCellAnchor>
    <xdr:from>
      <xdr:col>7</xdr:col>
      <xdr:colOff>176832</xdr:colOff>
      <xdr:row>5</xdr:row>
      <xdr:rowOff>169298</xdr:rowOff>
    </xdr:from>
    <xdr:to>
      <xdr:col>7</xdr:col>
      <xdr:colOff>545172</xdr:colOff>
      <xdr:row>7</xdr:row>
      <xdr:rowOff>82169</xdr:rowOff>
    </xdr:to>
    <xdr:sp macro="" textlink="'Variable Management'!B280">
      <xdr:nvSpPr>
        <xdr:cNvPr id="107" name="Text Box 283">
          <a:extLst>
            <a:ext uri="{FF2B5EF4-FFF2-40B4-BE49-F238E27FC236}">
              <a16:creationId xmlns:a16="http://schemas.microsoft.com/office/drawing/2014/main" id="{00000000-0008-0000-0100-00006B000000}"/>
            </a:ext>
          </a:extLst>
        </xdr:cNvPr>
        <xdr:cNvSpPr txBox="1">
          <a:spLocks noChangeArrowheads="1" noTextEdit="1"/>
        </xdr:cNvSpPr>
      </xdr:nvSpPr>
      <xdr:spPr bwMode="auto">
        <a:xfrm>
          <a:off x="7536856" y="1020945"/>
          <a:ext cx="368340" cy="253530"/>
        </a:xfrm>
        <a:prstGeom prst="rect">
          <a:avLst/>
        </a:prstGeom>
        <a:noFill/>
        <a:ln w="9525">
          <a:noFill/>
          <a:miter lim="800000"/>
          <a:headEnd/>
          <a:tailEnd/>
        </a:ln>
      </xdr:spPr>
      <xdr:txBody>
        <a:bodyPr vertOverflow="clip" wrap="square" lIns="27432" tIns="22860" rIns="0" bIns="0" anchor="t" upright="1"/>
        <a:lstStyle/>
        <a:p>
          <a:pPr algn="l" rtl="0">
            <a:defRPr sz="1000"/>
          </a:pPr>
          <a:fld id="{211B0151-B00E-493E-8C8F-6E492416D93B}" type="TxLink">
            <a:rPr lang="en-US" sz="1200" b="1" i="0" u="none" strike="noStrike">
              <a:solidFill>
                <a:srgbClr val="FF0000"/>
              </a:solidFill>
              <a:latin typeface="Arial" pitchFamily="34" charset="0"/>
              <a:cs typeface="Arial" pitchFamily="34" charset="0"/>
            </a:rPr>
            <a:pPr algn="l" rtl="0">
              <a:defRPr sz="1000"/>
            </a:pPr>
            <a:t>15V</a:t>
          </a:fld>
          <a:endParaRPr lang="en-US" sz="1200" b="1" i="0" strike="noStrike">
            <a:solidFill>
              <a:srgbClr val="FF0000"/>
            </a:solidFill>
            <a:latin typeface="Arial" pitchFamily="34" charset="0"/>
            <a:cs typeface="Arial" pitchFamily="34" charset="0"/>
          </a:endParaRPr>
        </a:p>
      </xdr:txBody>
    </xdr:sp>
    <xdr:clientData/>
  </xdr:twoCellAnchor>
  <xdr:twoCellAnchor>
    <xdr:from>
      <xdr:col>8</xdr:col>
      <xdr:colOff>445671</xdr:colOff>
      <xdr:row>15</xdr:row>
      <xdr:rowOff>134106</xdr:rowOff>
    </xdr:from>
    <xdr:to>
      <xdr:col>8</xdr:col>
      <xdr:colOff>730475</xdr:colOff>
      <xdr:row>17</xdr:row>
      <xdr:rowOff>33768</xdr:rowOff>
    </xdr:to>
    <xdr:sp macro="" textlink="'Variable Management'!B241">
      <xdr:nvSpPr>
        <xdr:cNvPr id="108" name="Text Box 285">
          <a:extLst>
            <a:ext uri="{FF2B5EF4-FFF2-40B4-BE49-F238E27FC236}">
              <a16:creationId xmlns:a16="http://schemas.microsoft.com/office/drawing/2014/main" id="{00000000-0008-0000-0100-00006C000000}"/>
            </a:ext>
          </a:extLst>
        </xdr:cNvPr>
        <xdr:cNvSpPr txBox="1">
          <a:spLocks noChangeArrowheads="1" noTextEdit="1"/>
        </xdr:cNvSpPr>
      </xdr:nvSpPr>
      <xdr:spPr bwMode="auto">
        <a:xfrm>
          <a:off x="8908353" y="2689047"/>
          <a:ext cx="284804" cy="240321"/>
        </a:xfrm>
        <a:prstGeom prst="rect">
          <a:avLst/>
        </a:prstGeom>
        <a:noFill/>
        <a:ln w="9525">
          <a:noFill/>
          <a:miter lim="800000"/>
          <a:headEnd/>
          <a:tailEnd/>
        </a:ln>
      </xdr:spPr>
      <xdr:txBody>
        <a:bodyPr vertOverflow="clip" wrap="square" lIns="27432" tIns="22860" rIns="0" bIns="0" anchor="t" upright="1"/>
        <a:lstStyle/>
        <a:p>
          <a:pPr algn="l" rtl="0">
            <a:defRPr sz="1000"/>
          </a:pPr>
          <a:fld id="{702C2B8A-7C4B-4FDB-B229-3170089D9686}" type="TxLink">
            <a:rPr lang="en-US" sz="1200" b="1" i="0" u="none" strike="noStrike" baseline="0">
              <a:solidFill>
                <a:srgbClr val="FF0000"/>
              </a:solidFill>
              <a:latin typeface="Arial" pitchFamily="34" charset="0"/>
              <a:cs typeface="Arial" pitchFamily="34" charset="0"/>
            </a:rPr>
            <a:pPr algn="l" rtl="0">
              <a:defRPr sz="1000"/>
            </a:pPr>
            <a:t>5.1V</a:t>
          </a:fld>
          <a:endParaRPr lang="en-US" sz="1200" b="1" i="0" u="none" strike="noStrike" baseline="0">
            <a:solidFill>
              <a:srgbClr val="FF0000"/>
            </a:solidFill>
            <a:latin typeface="Arial" pitchFamily="34" charset="0"/>
            <a:cs typeface="Arial" pitchFamily="34" charset="0"/>
          </a:endParaRPr>
        </a:p>
      </xdr:txBody>
    </xdr:sp>
    <xdr:clientData/>
  </xdr:twoCellAnchor>
  <xdr:twoCellAnchor>
    <xdr:from>
      <xdr:col>8</xdr:col>
      <xdr:colOff>386037</xdr:colOff>
      <xdr:row>17</xdr:row>
      <xdr:rowOff>8852</xdr:rowOff>
    </xdr:from>
    <xdr:to>
      <xdr:col>8</xdr:col>
      <xdr:colOff>856371</xdr:colOff>
      <xdr:row>18</xdr:row>
      <xdr:rowOff>82797</xdr:rowOff>
    </xdr:to>
    <xdr:sp macro="" textlink="'Variable Management'!B279">
      <xdr:nvSpPr>
        <xdr:cNvPr id="109" name="Text Box 286">
          <a:extLst>
            <a:ext uri="{FF2B5EF4-FFF2-40B4-BE49-F238E27FC236}">
              <a16:creationId xmlns:a16="http://schemas.microsoft.com/office/drawing/2014/main" id="{00000000-0008-0000-0100-00006D000000}"/>
            </a:ext>
          </a:extLst>
        </xdr:cNvPr>
        <xdr:cNvSpPr txBox="1">
          <a:spLocks noChangeArrowheads="1" noTextEdit="1"/>
        </xdr:cNvSpPr>
      </xdr:nvSpPr>
      <xdr:spPr bwMode="auto">
        <a:xfrm>
          <a:off x="8848719" y="2904452"/>
          <a:ext cx="470334" cy="244274"/>
        </a:xfrm>
        <a:prstGeom prst="rect">
          <a:avLst/>
        </a:prstGeom>
        <a:noFill/>
        <a:ln w="9525">
          <a:noFill/>
          <a:miter lim="800000"/>
          <a:headEnd/>
          <a:tailEnd/>
        </a:ln>
      </xdr:spPr>
      <xdr:txBody>
        <a:bodyPr vertOverflow="clip" wrap="square" lIns="27432" tIns="22860" rIns="0" bIns="0" anchor="t" upright="1"/>
        <a:lstStyle/>
        <a:p>
          <a:pPr algn="l" rtl="0">
            <a:defRPr sz="1000"/>
          </a:pPr>
          <a:fld id="{E0FB88FA-F39E-4ACF-AB5E-DCB628763AAE}" type="TxLink">
            <a:rPr lang="en-US" sz="1200" b="1" i="0" u="none" strike="noStrike">
              <a:solidFill>
                <a:srgbClr val="FF0000"/>
              </a:solidFill>
              <a:latin typeface="Arial" pitchFamily="34" charset="0"/>
              <a:cs typeface="Arial" pitchFamily="34" charset="0"/>
            </a:rPr>
            <a:pPr algn="l" rtl="0">
              <a:defRPr sz="1000"/>
            </a:pPr>
            <a:t>2A</a:t>
          </a:fld>
          <a:endParaRPr lang="en-US" sz="1200" b="1" i="0" strike="noStrike">
            <a:solidFill>
              <a:srgbClr val="FF0000"/>
            </a:solidFill>
            <a:latin typeface="Arial" pitchFamily="34" charset="0"/>
            <a:cs typeface="Arial" pitchFamily="34" charset="0"/>
          </a:endParaRPr>
        </a:p>
      </xdr:txBody>
    </xdr:sp>
    <xdr:clientData/>
  </xdr:twoCellAnchor>
  <xdr:twoCellAnchor>
    <xdr:from>
      <xdr:col>3</xdr:col>
      <xdr:colOff>231140</xdr:colOff>
      <xdr:row>24</xdr:row>
      <xdr:rowOff>117966</xdr:rowOff>
    </xdr:from>
    <xdr:to>
      <xdr:col>3</xdr:col>
      <xdr:colOff>450215</xdr:colOff>
      <xdr:row>24</xdr:row>
      <xdr:rowOff>117966</xdr:rowOff>
    </xdr:to>
    <xdr:sp macro="" textlink="'Variable Management'!B292">
      <xdr:nvSpPr>
        <xdr:cNvPr id="110" name="Text Box 299">
          <a:extLst>
            <a:ext uri="{FF2B5EF4-FFF2-40B4-BE49-F238E27FC236}">
              <a16:creationId xmlns:a16="http://schemas.microsoft.com/office/drawing/2014/main" id="{00000000-0008-0000-0100-00006E000000}"/>
            </a:ext>
          </a:extLst>
        </xdr:cNvPr>
        <xdr:cNvSpPr txBox="1">
          <a:spLocks noChangeArrowheads="1" noTextEdit="1"/>
        </xdr:cNvSpPr>
      </xdr:nvSpPr>
      <xdr:spPr bwMode="auto">
        <a:xfrm>
          <a:off x="2947446" y="4205872"/>
          <a:ext cx="219075" cy="0"/>
        </a:xfrm>
        <a:prstGeom prst="rect">
          <a:avLst/>
        </a:prstGeom>
        <a:noFill/>
        <a:ln w="9525">
          <a:noFill/>
          <a:miter lim="800000"/>
          <a:headEnd/>
          <a:tailEnd/>
        </a:ln>
      </xdr:spPr>
      <xdr:txBody>
        <a:bodyPr vertOverflow="clip" wrap="square" lIns="27432" tIns="22860" rIns="0" bIns="0" anchor="t" upright="1"/>
        <a:lstStyle/>
        <a:p>
          <a:pPr algn="l" rtl="0">
            <a:defRPr sz="1000"/>
          </a:pPr>
          <a:fld id="{497BFBE6-0671-4D0F-A59C-D9187795E36B}" type="TxLink">
            <a:rPr lang="en-US" sz="1000" b="0" i="0" u="none" strike="noStrike">
              <a:solidFill>
                <a:srgbClr val="000000"/>
              </a:solidFill>
              <a:latin typeface="Calibri"/>
              <a:cs typeface="Arial"/>
            </a:rPr>
            <a:pPr algn="l" rtl="0">
              <a:defRPr sz="1000"/>
            </a:pPr>
            <a:t>13</a:t>
          </a:fld>
          <a:endParaRPr lang="en-US" sz="1000" b="0" i="0" strike="noStrike">
            <a:solidFill>
              <a:srgbClr val="000000"/>
            </a:solidFill>
            <a:latin typeface="Calibri"/>
          </a:endParaRPr>
        </a:p>
      </xdr:txBody>
    </xdr:sp>
    <xdr:clientData/>
  </xdr:twoCellAnchor>
  <xdr:twoCellAnchor>
    <xdr:from>
      <xdr:col>2</xdr:col>
      <xdr:colOff>847054</xdr:colOff>
      <xdr:row>6</xdr:row>
      <xdr:rowOff>92318</xdr:rowOff>
    </xdr:from>
    <xdr:to>
      <xdr:col>3</xdr:col>
      <xdr:colOff>125722</xdr:colOff>
      <xdr:row>8</xdr:row>
      <xdr:rowOff>16225</xdr:rowOff>
    </xdr:to>
    <xdr:sp macro="" textlink="">
      <xdr:nvSpPr>
        <xdr:cNvPr id="111" name="Text Box 251">
          <a:extLst>
            <a:ext uri="{FF2B5EF4-FFF2-40B4-BE49-F238E27FC236}">
              <a16:creationId xmlns:a16="http://schemas.microsoft.com/office/drawing/2014/main" id="{00000000-0008-0000-0100-00006F000000}"/>
            </a:ext>
          </a:extLst>
        </xdr:cNvPr>
        <xdr:cNvSpPr txBox="1">
          <a:spLocks noChangeArrowheads="1"/>
        </xdr:cNvSpPr>
      </xdr:nvSpPr>
      <xdr:spPr bwMode="auto">
        <a:xfrm>
          <a:off x="2460701" y="1114294"/>
          <a:ext cx="381327" cy="264566"/>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R</a:t>
          </a:r>
          <a:r>
            <a:rPr lang="en-US" sz="1000" b="0" i="0" strike="noStrike" baseline="-25000">
              <a:solidFill>
                <a:srgbClr val="000000"/>
              </a:solidFill>
              <a:latin typeface="Arial" pitchFamily="34" charset="0"/>
              <a:cs typeface="Arial" pitchFamily="34" charset="0"/>
            </a:rPr>
            <a:t>RT</a:t>
          </a:r>
        </a:p>
      </xdr:txBody>
    </xdr:sp>
    <xdr:clientData/>
  </xdr:twoCellAnchor>
  <xdr:twoCellAnchor>
    <xdr:from>
      <xdr:col>2</xdr:col>
      <xdr:colOff>712335</xdr:colOff>
      <xdr:row>7</xdr:row>
      <xdr:rowOff>146387</xdr:rowOff>
    </xdr:from>
    <xdr:to>
      <xdr:col>3</xdr:col>
      <xdr:colOff>143038</xdr:colOff>
      <xdr:row>9</xdr:row>
      <xdr:rowOff>52482</xdr:rowOff>
    </xdr:to>
    <xdr:sp macro="" textlink="'Variable Management'!B275">
      <xdr:nvSpPr>
        <xdr:cNvPr id="112" name="Text Box 281">
          <a:extLst>
            <a:ext uri="{FF2B5EF4-FFF2-40B4-BE49-F238E27FC236}">
              <a16:creationId xmlns:a16="http://schemas.microsoft.com/office/drawing/2014/main" id="{00000000-0008-0000-0100-000070000000}"/>
            </a:ext>
          </a:extLst>
        </xdr:cNvPr>
        <xdr:cNvSpPr txBox="1">
          <a:spLocks noChangeArrowheads="1" noTextEdit="1"/>
        </xdr:cNvSpPr>
      </xdr:nvSpPr>
      <xdr:spPr bwMode="auto">
        <a:xfrm>
          <a:off x="2325982" y="1338693"/>
          <a:ext cx="533362" cy="246754"/>
        </a:xfrm>
        <a:prstGeom prst="rect">
          <a:avLst/>
        </a:prstGeom>
        <a:noFill/>
        <a:ln w="9525">
          <a:noFill/>
          <a:miter lim="800000"/>
          <a:headEnd/>
          <a:tailEnd/>
        </a:ln>
      </xdr:spPr>
      <xdr:txBody>
        <a:bodyPr vertOverflow="clip" wrap="square" lIns="27432" tIns="22860" rIns="0" bIns="0" anchor="t" upright="1"/>
        <a:lstStyle/>
        <a:p>
          <a:pPr algn="ctr" rtl="0">
            <a:defRPr sz="1000"/>
          </a:pPr>
          <a:fld id="{84EB9262-B954-486D-9975-AAB24967BDAC}" type="TxLink">
            <a:rPr lang="en-US" sz="1000" b="0" i="0" u="none" strike="noStrike">
              <a:solidFill>
                <a:srgbClr val="000000"/>
              </a:solidFill>
              <a:latin typeface="Arial" pitchFamily="34" charset="0"/>
              <a:cs typeface="Arial" pitchFamily="34" charset="0"/>
            </a:rPr>
            <a:pPr algn="ctr" rtl="0">
              <a:defRPr sz="1000"/>
            </a:pPr>
            <a:t>20kΩ</a:t>
          </a:fld>
          <a:endParaRPr lang="en-US" sz="1000" b="0" i="0" strike="noStrike">
            <a:solidFill>
              <a:srgbClr val="000000"/>
            </a:solidFill>
            <a:latin typeface="Arial" pitchFamily="34" charset="0"/>
            <a:cs typeface="Arial" pitchFamily="34" charset="0"/>
          </a:endParaRPr>
        </a:p>
      </xdr:txBody>
    </xdr:sp>
    <xdr:clientData/>
  </xdr:twoCellAnchor>
  <xdr:twoCellAnchor>
    <xdr:from>
      <xdr:col>5</xdr:col>
      <xdr:colOff>874930</xdr:colOff>
      <xdr:row>6</xdr:row>
      <xdr:rowOff>885</xdr:rowOff>
    </xdr:from>
    <xdr:to>
      <xdr:col>5</xdr:col>
      <xdr:colOff>1278873</xdr:colOff>
      <xdr:row>7</xdr:row>
      <xdr:rowOff>59477</xdr:rowOff>
    </xdr:to>
    <xdr:sp macro="" textlink="">
      <xdr:nvSpPr>
        <xdr:cNvPr id="113" name="Text Box 247">
          <a:extLst>
            <a:ext uri="{FF2B5EF4-FFF2-40B4-BE49-F238E27FC236}">
              <a16:creationId xmlns:a16="http://schemas.microsoft.com/office/drawing/2014/main" id="{00000000-0008-0000-0100-000071000000}"/>
            </a:ext>
          </a:extLst>
        </xdr:cNvPr>
        <xdr:cNvSpPr txBox="1">
          <a:spLocks noChangeArrowheads="1"/>
        </xdr:cNvSpPr>
      </xdr:nvSpPr>
      <xdr:spPr bwMode="auto">
        <a:xfrm>
          <a:off x="6164106" y="1022861"/>
          <a:ext cx="403943" cy="228922"/>
        </a:xfrm>
        <a:prstGeom prst="rect">
          <a:avLst/>
        </a:prstGeom>
        <a:noFill/>
        <a:ln w="9525">
          <a:noFill/>
          <a:miter lim="800000"/>
          <a:headEnd/>
          <a:tailEnd/>
        </a:ln>
      </xdr:spPr>
      <xdr:txBody>
        <a:bodyPr vertOverflow="clip" wrap="square" lIns="27432" tIns="27432" rIns="0" bIns="0" anchor="ctr" upright="1"/>
        <a:lstStyle/>
        <a:p>
          <a:pPr algn="ctr" rtl="0">
            <a:defRPr sz="1000"/>
          </a:pPr>
          <a:r>
            <a:rPr lang="en-US" sz="1000" b="0" i="0" strike="noStrike">
              <a:solidFill>
                <a:srgbClr val="000000"/>
              </a:solidFill>
              <a:latin typeface="Arial" pitchFamily="34" charset="0"/>
              <a:cs typeface="Arial" pitchFamily="34" charset="0"/>
            </a:rPr>
            <a:t>C</a:t>
          </a:r>
          <a:r>
            <a:rPr lang="en-US" sz="1000" b="0" i="0" strike="noStrike" baseline="-25000">
              <a:solidFill>
                <a:srgbClr val="000000"/>
              </a:solidFill>
              <a:latin typeface="Arial" pitchFamily="34" charset="0"/>
              <a:cs typeface="Arial" pitchFamily="34" charset="0"/>
            </a:rPr>
            <a:t>BOOT</a:t>
          </a:r>
        </a:p>
      </xdr:txBody>
    </xdr:sp>
    <xdr:clientData/>
  </xdr:twoCellAnchor>
  <xdr:twoCellAnchor>
    <xdr:from>
      <xdr:col>6</xdr:col>
      <xdr:colOff>348967</xdr:colOff>
      <xdr:row>15</xdr:row>
      <xdr:rowOff>107494</xdr:rowOff>
    </xdr:from>
    <xdr:to>
      <xdr:col>7</xdr:col>
      <xdr:colOff>4613</xdr:colOff>
      <xdr:row>17</xdr:row>
      <xdr:rowOff>69361</xdr:rowOff>
    </xdr:to>
    <xdr:sp macro="" textlink="">
      <xdr:nvSpPr>
        <xdr:cNvPr id="114" name="Text Box 244">
          <a:extLst>
            <a:ext uri="{FF2B5EF4-FFF2-40B4-BE49-F238E27FC236}">
              <a16:creationId xmlns:a16="http://schemas.microsoft.com/office/drawing/2014/main" id="{00000000-0008-0000-0100-000072000000}"/>
            </a:ext>
          </a:extLst>
        </xdr:cNvPr>
        <xdr:cNvSpPr txBox="1">
          <a:spLocks noChangeArrowheads="1"/>
        </xdr:cNvSpPr>
      </xdr:nvSpPr>
      <xdr:spPr bwMode="auto">
        <a:xfrm>
          <a:off x="7045602" y="2662435"/>
          <a:ext cx="319035" cy="302526"/>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Q</a:t>
          </a:r>
          <a:r>
            <a:rPr lang="en-US" sz="1000" b="0" i="0" strike="noStrike" baseline="-25000">
              <a:solidFill>
                <a:srgbClr val="000000"/>
              </a:solidFill>
              <a:latin typeface="Arial" pitchFamily="34" charset="0"/>
              <a:cs typeface="Arial" pitchFamily="34" charset="0"/>
            </a:rPr>
            <a:t>2</a:t>
          </a:r>
        </a:p>
      </xdr:txBody>
    </xdr:sp>
    <xdr:clientData/>
  </xdr:twoCellAnchor>
  <xdr:twoCellAnchor>
    <xdr:from>
      <xdr:col>6</xdr:col>
      <xdr:colOff>297622</xdr:colOff>
      <xdr:row>9</xdr:row>
      <xdr:rowOff>115569</xdr:rowOff>
    </xdr:from>
    <xdr:to>
      <xdr:col>6</xdr:col>
      <xdr:colOff>620467</xdr:colOff>
      <xdr:row>11</xdr:row>
      <xdr:rowOff>50049</xdr:rowOff>
    </xdr:to>
    <xdr:sp macro="" textlink="">
      <xdr:nvSpPr>
        <xdr:cNvPr id="115" name="Text Box 244">
          <a:extLst>
            <a:ext uri="{FF2B5EF4-FFF2-40B4-BE49-F238E27FC236}">
              <a16:creationId xmlns:a16="http://schemas.microsoft.com/office/drawing/2014/main" id="{00000000-0008-0000-0100-000073000000}"/>
            </a:ext>
          </a:extLst>
        </xdr:cNvPr>
        <xdr:cNvSpPr txBox="1">
          <a:spLocks noChangeArrowheads="1"/>
        </xdr:cNvSpPr>
      </xdr:nvSpPr>
      <xdr:spPr bwMode="auto">
        <a:xfrm>
          <a:off x="6994257" y="1648534"/>
          <a:ext cx="322845" cy="275139"/>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Q</a:t>
          </a:r>
          <a:r>
            <a:rPr lang="en-US" sz="1000" b="0" i="0" strike="noStrike" baseline="-25000">
              <a:solidFill>
                <a:srgbClr val="000000"/>
              </a:solidFill>
              <a:latin typeface="Arial" pitchFamily="34" charset="0"/>
              <a:cs typeface="Arial" pitchFamily="34" charset="0"/>
            </a:rPr>
            <a:t>1</a:t>
          </a:r>
        </a:p>
      </xdr:txBody>
    </xdr:sp>
    <xdr:clientData/>
  </xdr:twoCellAnchor>
  <xdr:twoCellAnchor>
    <xdr:from>
      <xdr:col>3</xdr:col>
      <xdr:colOff>652346</xdr:colOff>
      <xdr:row>2</xdr:row>
      <xdr:rowOff>57135</xdr:rowOff>
    </xdr:from>
    <xdr:to>
      <xdr:col>3</xdr:col>
      <xdr:colOff>1221208</xdr:colOff>
      <xdr:row>3</xdr:row>
      <xdr:rowOff>110510</xdr:rowOff>
    </xdr:to>
    <xdr:sp macro="" textlink="'Variable Management'!G98">
      <xdr:nvSpPr>
        <xdr:cNvPr id="116" name="Text Box 264">
          <a:extLst>
            <a:ext uri="{FF2B5EF4-FFF2-40B4-BE49-F238E27FC236}">
              <a16:creationId xmlns:a16="http://schemas.microsoft.com/office/drawing/2014/main" id="{00000000-0008-0000-0100-000074000000}"/>
            </a:ext>
          </a:extLst>
        </xdr:cNvPr>
        <xdr:cNvSpPr txBox="1">
          <a:spLocks noChangeArrowheads="1" noTextEdit="1"/>
        </xdr:cNvSpPr>
      </xdr:nvSpPr>
      <xdr:spPr bwMode="auto">
        <a:xfrm>
          <a:off x="3368652" y="397794"/>
          <a:ext cx="568862" cy="223704"/>
        </a:xfrm>
        <a:prstGeom prst="rect">
          <a:avLst/>
        </a:prstGeom>
        <a:noFill/>
        <a:ln w="9525">
          <a:noFill/>
          <a:miter lim="800000"/>
          <a:headEnd/>
          <a:tailEnd/>
        </a:ln>
      </xdr:spPr>
      <xdr:txBody>
        <a:bodyPr vertOverflow="clip" wrap="square" lIns="27432" tIns="22860" rIns="0" bIns="0" anchor="t" upright="1"/>
        <a:lstStyle/>
        <a:p>
          <a:pPr algn="r" rtl="0">
            <a:defRPr sz="1000"/>
          </a:pPr>
          <a:fld id="{123D91BC-1DE9-4CAD-9801-8A70C08E2402}" type="TxLink">
            <a:rPr lang="en-US" sz="1000" b="0" i="0" u="none" strike="noStrike" baseline="0">
              <a:solidFill>
                <a:srgbClr val="000000"/>
              </a:solidFill>
              <a:latin typeface="Arialri"/>
              <a:cs typeface="Arial" pitchFamily="34" charset="0"/>
            </a:rPr>
            <a:pPr algn="r" rtl="0">
              <a:defRPr sz="1000"/>
            </a:pPr>
            <a:t>3.24kΩ</a:t>
          </a:fld>
          <a:endParaRPr lang="el-GR" sz="1000" b="0" i="0" u="none" strike="noStrike" baseline="0">
            <a:solidFill>
              <a:srgbClr val="000000"/>
            </a:solidFill>
            <a:latin typeface="Arial" pitchFamily="34" charset="0"/>
            <a:cs typeface="Arial" pitchFamily="34" charset="0"/>
          </a:endParaRPr>
        </a:p>
      </xdr:txBody>
    </xdr:sp>
    <xdr:clientData/>
  </xdr:twoCellAnchor>
  <xdr:twoCellAnchor>
    <xdr:from>
      <xdr:col>3</xdr:col>
      <xdr:colOff>824727</xdr:colOff>
      <xdr:row>1</xdr:row>
      <xdr:rowOff>17156</xdr:rowOff>
    </xdr:from>
    <xdr:to>
      <xdr:col>3</xdr:col>
      <xdr:colOff>1245796</xdr:colOff>
      <xdr:row>2</xdr:row>
      <xdr:rowOff>56518</xdr:rowOff>
    </xdr:to>
    <xdr:sp macro="" textlink="">
      <xdr:nvSpPr>
        <xdr:cNvPr id="117" name="Text Box 255">
          <a:extLst>
            <a:ext uri="{FF2B5EF4-FFF2-40B4-BE49-F238E27FC236}">
              <a16:creationId xmlns:a16="http://schemas.microsoft.com/office/drawing/2014/main" id="{00000000-0008-0000-0100-000075000000}"/>
            </a:ext>
          </a:extLst>
        </xdr:cNvPr>
        <xdr:cNvSpPr txBox="1">
          <a:spLocks noChangeArrowheads="1"/>
        </xdr:cNvSpPr>
      </xdr:nvSpPr>
      <xdr:spPr bwMode="auto">
        <a:xfrm>
          <a:off x="3541033" y="187485"/>
          <a:ext cx="421069" cy="209692"/>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R</a:t>
          </a:r>
          <a:r>
            <a:rPr lang="en-US" sz="1000" b="0" i="0" strike="noStrike" baseline="-25000">
              <a:solidFill>
                <a:srgbClr val="000000"/>
              </a:solidFill>
              <a:latin typeface="Arial" pitchFamily="34" charset="0"/>
              <a:cs typeface="Arial" pitchFamily="34" charset="0"/>
            </a:rPr>
            <a:t>UV2</a:t>
          </a:r>
        </a:p>
      </xdr:txBody>
    </xdr:sp>
    <xdr:clientData/>
  </xdr:twoCellAnchor>
  <xdr:twoCellAnchor>
    <xdr:from>
      <xdr:col>4</xdr:col>
      <xdr:colOff>21211</xdr:colOff>
      <xdr:row>2</xdr:row>
      <xdr:rowOff>46882</xdr:rowOff>
    </xdr:from>
    <xdr:to>
      <xdr:col>4</xdr:col>
      <xdr:colOff>606573</xdr:colOff>
      <xdr:row>3</xdr:row>
      <xdr:rowOff>92545</xdr:rowOff>
    </xdr:to>
    <xdr:sp macro="" textlink="'Variable Management'!G97">
      <xdr:nvSpPr>
        <xdr:cNvPr id="118" name="Text Box 264">
          <a:extLst>
            <a:ext uri="{FF2B5EF4-FFF2-40B4-BE49-F238E27FC236}">
              <a16:creationId xmlns:a16="http://schemas.microsoft.com/office/drawing/2014/main" id="{00000000-0008-0000-0100-000076000000}"/>
            </a:ext>
          </a:extLst>
        </xdr:cNvPr>
        <xdr:cNvSpPr txBox="1">
          <a:spLocks noChangeArrowheads="1" noTextEdit="1"/>
        </xdr:cNvSpPr>
      </xdr:nvSpPr>
      <xdr:spPr bwMode="auto">
        <a:xfrm>
          <a:off x="4118082" y="387541"/>
          <a:ext cx="585362" cy="215992"/>
        </a:xfrm>
        <a:prstGeom prst="rect">
          <a:avLst/>
        </a:prstGeom>
        <a:noFill/>
        <a:ln w="9525">
          <a:noFill/>
          <a:miter lim="800000"/>
          <a:headEnd/>
          <a:tailEnd/>
        </a:ln>
      </xdr:spPr>
      <xdr:txBody>
        <a:bodyPr vertOverflow="clip" wrap="square" lIns="27432" tIns="22860" rIns="0" bIns="0" anchor="t" upright="1"/>
        <a:lstStyle/>
        <a:p>
          <a:pPr algn="r" rtl="0">
            <a:defRPr sz="1000"/>
          </a:pPr>
          <a:fld id="{302BC79D-87FA-43D3-B7A3-AC5513B978CE}" type="TxLink">
            <a:rPr lang="en-US" sz="1000" b="0" i="0" u="none" strike="noStrike" baseline="0">
              <a:solidFill>
                <a:srgbClr val="000000"/>
              </a:solidFill>
              <a:latin typeface="Arialri"/>
              <a:cs typeface="Arial" pitchFamily="34" charset="0"/>
            </a:rPr>
            <a:pPr algn="r" rtl="0">
              <a:defRPr sz="1000"/>
            </a:pPr>
            <a:t>49.9kΩ</a:t>
          </a:fld>
          <a:endParaRPr lang="el-GR" sz="1000" b="0" i="0" u="none" strike="noStrike" baseline="0">
            <a:solidFill>
              <a:srgbClr val="000000"/>
            </a:solidFill>
            <a:latin typeface="Arial" pitchFamily="34" charset="0"/>
            <a:cs typeface="Arial" pitchFamily="34" charset="0"/>
          </a:endParaRPr>
        </a:p>
      </xdr:txBody>
    </xdr:sp>
    <xdr:clientData/>
  </xdr:twoCellAnchor>
  <xdr:twoCellAnchor>
    <xdr:from>
      <xdr:col>4</xdr:col>
      <xdr:colOff>151933</xdr:colOff>
      <xdr:row>1</xdr:row>
      <xdr:rowOff>0</xdr:rowOff>
    </xdr:from>
    <xdr:to>
      <xdr:col>4</xdr:col>
      <xdr:colOff>586239</xdr:colOff>
      <xdr:row>2</xdr:row>
      <xdr:rowOff>46752</xdr:rowOff>
    </xdr:to>
    <xdr:sp macro="" textlink="">
      <xdr:nvSpPr>
        <xdr:cNvPr id="119" name="Text Box 255">
          <a:extLst>
            <a:ext uri="{FF2B5EF4-FFF2-40B4-BE49-F238E27FC236}">
              <a16:creationId xmlns:a16="http://schemas.microsoft.com/office/drawing/2014/main" id="{00000000-0008-0000-0100-000077000000}"/>
            </a:ext>
          </a:extLst>
        </xdr:cNvPr>
        <xdr:cNvSpPr txBox="1">
          <a:spLocks noChangeArrowheads="1"/>
        </xdr:cNvSpPr>
      </xdr:nvSpPr>
      <xdr:spPr bwMode="auto">
        <a:xfrm>
          <a:off x="4248804" y="170329"/>
          <a:ext cx="434306" cy="217082"/>
        </a:xfrm>
        <a:prstGeom prst="rect">
          <a:avLst/>
        </a:prstGeom>
        <a:noFill/>
        <a:ln w="9525">
          <a:noFill/>
          <a:miter lim="800000"/>
          <a:headEnd/>
          <a:tailEnd/>
        </a:ln>
      </xdr:spPr>
      <xdr:txBody>
        <a:bodyPr vertOverflow="clip" wrap="square" lIns="27432" tIns="27432" rIns="0" bIns="0" anchor="t" upright="1"/>
        <a:lstStyle/>
        <a:p>
          <a:pPr algn="r" rtl="0">
            <a:defRPr sz="1000"/>
          </a:pPr>
          <a:r>
            <a:rPr lang="en-US" sz="1000" b="0" i="0" strike="noStrike">
              <a:solidFill>
                <a:srgbClr val="000000"/>
              </a:solidFill>
              <a:latin typeface="Arial" pitchFamily="34" charset="0"/>
              <a:cs typeface="Arial" pitchFamily="34" charset="0"/>
            </a:rPr>
            <a:t>R</a:t>
          </a:r>
          <a:r>
            <a:rPr lang="en-US" sz="1000" b="0" i="0" strike="noStrike" baseline="-25000">
              <a:solidFill>
                <a:srgbClr val="000000"/>
              </a:solidFill>
              <a:latin typeface="Arial" pitchFamily="34" charset="0"/>
              <a:cs typeface="Arial" pitchFamily="34" charset="0"/>
            </a:rPr>
            <a:t>UV1</a:t>
          </a:r>
        </a:p>
      </xdr:txBody>
    </xdr:sp>
    <xdr:clientData/>
  </xdr:twoCellAnchor>
  <xdr:twoCellAnchor>
    <xdr:from>
      <xdr:col>7</xdr:col>
      <xdr:colOff>327293</xdr:colOff>
      <xdr:row>16</xdr:row>
      <xdr:rowOff>46385</xdr:rowOff>
    </xdr:from>
    <xdr:to>
      <xdr:col>7</xdr:col>
      <xdr:colOff>849121</xdr:colOff>
      <xdr:row>17</xdr:row>
      <xdr:rowOff>147672</xdr:rowOff>
    </xdr:to>
    <xdr:sp macro="" textlink="'Variable Management'!B239">
      <xdr:nvSpPr>
        <xdr:cNvPr id="120" name="Text Box 275">
          <a:extLst>
            <a:ext uri="{FF2B5EF4-FFF2-40B4-BE49-F238E27FC236}">
              <a16:creationId xmlns:a16="http://schemas.microsoft.com/office/drawing/2014/main" id="{00000000-0008-0000-0100-000078000000}"/>
            </a:ext>
          </a:extLst>
        </xdr:cNvPr>
        <xdr:cNvSpPr txBox="1">
          <a:spLocks noChangeArrowheads="1" noTextEdit="1"/>
        </xdr:cNvSpPr>
      </xdr:nvSpPr>
      <xdr:spPr bwMode="auto">
        <a:xfrm>
          <a:off x="7687317" y="2771656"/>
          <a:ext cx="521828" cy="271616"/>
        </a:xfrm>
        <a:prstGeom prst="rect">
          <a:avLst/>
        </a:prstGeom>
        <a:noFill/>
        <a:ln w="9525">
          <a:noFill/>
          <a:miter lim="800000"/>
          <a:headEnd/>
          <a:tailEnd/>
        </a:ln>
      </xdr:spPr>
      <xdr:txBody>
        <a:bodyPr vertOverflow="clip" wrap="square" lIns="27432" tIns="22860" rIns="0" bIns="0" anchor="ctr" upright="1"/>
        <a:lstStyle/>
        <a:p>
          <a:pPr algn="ctr" rtl="0">
            <a:defRPr sz="1000"/>
          </a:pPr>
          <a:fld id="{952677B8-8C18-463F-B0C9-D2099A1EBA1B}" type="TxLink">
            <a:rPr lang="en-US" sz="1000" b="0" i="0" u="none" strike="noStrike" baseline="0">
              <a:solidFill>
                <a:srgbClr val="000000"/>
              </a:solidFill>
              <a:latin typeface="Arialri"/>
              <a:cs typeface="Arial" pitchFamily="34" charset="0"/>
            </a:rPr>
            <a:pPr algn="ctr" rtl="0">
              <a:defRPr sz="1000"/>
            </a:pPr>
            <a:t>24.7mΩ</a:t>
          </a:fld>
          <a:endParaRPr lang="en-US" sz="1000" b="0" i="0" u="none" strike="noStrike" baseline="0">
            <a:solidFill>
              <a:srgbClr val="000000"/>
            </a:solidFill>
            <a:latin typeface="Arial" pitchFamily="34" charset="0"/>
            <a:cs typeface="Arial" pitchFamily="34" charset="0"/>
          </a:endParaRPr>
        </a:p>
      </xdr:txBody>
    </xdr:sp>
    <xdr:clientData/>
  </xdr:twoCellAnchor>
  <xdr:twoCellAnchor>
    <xdr:from>
      <xdr:col>4</xdr:col>
      <xdr:colOff>137954</xdr:colOff>
      <xdr:row>26</xdr:row>
      <xdr:rowOff>143208</xdr:rowOff>
    </xdr:from>
    <xdr:to>
      <xdr:col>4</xdr:col>
      <xdr:colOff>645592</xdr:colOff>
      <xdr:row>28</xdr:row>
      <xdr:rowOff>39020</xdr:rowOff>
    </xdr:to>
    <xdr:sp macro="" textlink="">
      <xdr:nvSpPr>
        <xdr:cNvPr id="121" name="Text Box 245">
          <a:extLst>
            <a:ext uri="{FF2B5EF4-FFF2-40B4-BE49-F238E27FC236}">
              <a16:creationId xmlns:a16="http://schemas.microsoft.com/office/drawing/2014/main" id="{00000000-0008-0000-0100-000079000000}"/>
            </a:ext>
          </a:extLst>
        </xdr:cNvPr>
        <xdr:cNvSpPr txBox="1">
          <a:spLocks noChangeArrowheads="1"/>
        </xdr:cNvSpPr>
      </xdr:nvSpPr>
      <xdr:spPr bwMode="auto">
        <a:xfrm>
          <a:off x="4234825" y="4571773"/>
          <a:ext cx="507638" cy="236471"/>
        </a:xfrm>
        <a:prstGeom prst="rect">
          <a:avLst/>
        </a:prstGeom>
        <a:noFill/>
        <a:ln w="9525">
          <a:noFill/>
          <a:miter lim="800000"/>
          <a:headEnd/>
          <a:tailEnd/>
        </a:ln>
      </xdr:spPr>
      <xdr:txBody>
        <a:bodyPr vertOverflow="clip" wrap="square" lIns="27432" tIns="27432" rIns="0" bIns="0" anchor="t" upright="1"/>
        <a:lstStyle/>
        <a:p>
          <a:pPr algn="l" rtl="0">
            <a:defRPr sz="1000"/>
          </a:pPr>
          <a:r>
            <a:rPr lang="en-US" sz="1000" b="0" i="0" strike="noStrike">
              <a:solidFill>
                <a:srgbClr val="000000"/>
              </a:solidFill>
              <a:latin typeface="Arial" pitchFamily="34" charset="0"/>
              <a:cs typeface="Arial" pitchFamily="34" charset="0"/>
            </a:rPr>
            <a:t>R</a:t>
          </a:r>
          <a:r>
            <a:rPr lang="en-US" sz="1000" b="0" i="0" strike="noStrike" baseline="-25000">
              <a:solidFill>
                <a:srgbClr val="000000"/>
              </a:solidFill>
              <a:latin typeface="Arial" pitchFamily="34" charset="0"/>
              <a:cs typeface="Arial" pitchFamily="34" charset="0"/>
            </a:rPr>
            <a:t>PGOOD</a:t>
          </a:r>
        </a:p>
      </xdr:txBody>
    </xdr:sp>
    <xdr:clientData/>
  </xdr:twoCellAnchor>
  <xdr:twoCellAnchor>
    <xdr:from>
      <xdr:col>4</xdr:col>
      <xdr:colOff>155302</xdr:colOff>
      <xdr:row>27</xdr:row>
      <xdr:rowOff>160736</xdr:rowOff>
    </xdr:from>
    <xdr:to>
      <xdr:col>4</xdr:col>
      <xdr:colOff>791059</xdr:colOff>
      <xdr:row>29</xdr:row>
      <xdr:rowOff>69472</xdr:rowOff>
    </xdr:to>
    <xdr:sp macro="" textlink="'Variable Management'!B274">
      <xdr:nvSpPr>
        <xdr:cNvPr id="122" name="Text Box 281">
          <a:extLst>
            <a:ext uri="{FF2B5EF4-FFF2-40B4-BE49-F238E27FC236}">
              <a16:creationId xmlns:a16="http://schemas.microsoft.com/office/drawing/2014/main" id="{00000000-0008-0000-0100-00007A000000}"/>
            </a:ext>
          </a:extLst>
        </xdr:cNvPr>
        <xdr:cNvSpPr txBox="1">
          <a:spLocks noChangeArrowheads="1" noTextEdit="1"/>
        </xdr:cNvSpPr>
      </xdr:nvSpPr>
      <xdr:spPr bwMode="auto">
        <a:xfrm>
          <a:off x="4252173" y="4759630"/>
          <a:ext cx="635757" cy="249395"/>
        </a:xfrm>
        <a:prstGeom prst="rect">
          <a:avLst/>
        </a:prstGeom>
        <a:noFill/>
        <a:ln w="9525">
          <a:noFill/>
          <a:miter lim="800000"/>
          <a:headEnd/>
          <a:tailEnd/>
        </a:ln>
      </xdr:spPr>
      <xdr:txBody>
        <a:bodyPr vertOverflow="clip" wrap="square" lIns="27432" tIns="22860" rIns="0" bIns="0" anchor="ctr" upright="1"/>
        <a:lstStyle/>
        <a:p>
          <a:pPr algn="l" rtl="0">
            <a:defRPr sz="1000"/>
          </a:pPr>
          <a:fld id="{89760BEF-9E88-4172-89E5-A2E0AD0D10FF}" type="TxLink">
            <a:rPr lang="en-US" sz="1000" b="0" i="0" u="none" strike="noStrike">
              <a:solidFill>
                <a:srgbClr val="000000"/>
              </a:solidFill>
              <a:latin typeface="Arialri"/>
              <a:cs typeface="Arial" pitchFamily="34" charset="0"/>
            </a:rPr>
            <a:pPr algn="l" rtl="0">
              <a:defRPr sz="1000"/>
            </a:pPr>
            <a:t>20kΩ</a:t>
          </a:fld>
          <a:endParaRPr lang="en-US" sz="1000" b="0" i="0" strike="noStrike">
            <a:solidFill>
              <a:srgbClr val="000000"/>
            </a:solidFill>
            <a:latin typeface="Arial" pitchFamily="34" charset="0"/>
            <a:cs typeface="Arial" pitchFamily="34" charset="0"/>
          </a:endParaRPr>
        </a:p>
      </xdr:txBody>
    </xdr:sp>
    <xdr:clientData/>
  </xdr:twoCellAnchor>
  <xdr:twoCellAnchor>
    <xdr:from>
      <xdr:col>6</xdr:col>
      <xdr:colOff>357031</xdr:colOff>
      <xdr:row>21</xdr:row>
      <xdr:rowOff>79102</xdr:rowOff>
    </xdr:from>
    <xdr:to>
      <xdr:col>7</xdr:col>
      <xdr:colOff>267329</xdr:colOff>
      <xdr:row>23</xdr:row>
      <xdr:rowOff>43439</xdr:rowOff>
    </xdr:to>
    <xdr:sp macro="" textlink="'Variable Management'!B269">
      <xdr:nvSpPr>
        <xdr:cNvPr id="123" name="Text Box 270">
          <a:extLst>
            <a:ext uri="{FF2B5EF4-FFF2-40B4-BE49-F238E27FC236}">
              <a16:creationId xmlns:a16="http://schemas.microsoft.com/office/drawing/2014/main" id="{00000000-0008-0000-0100-00007B000000}"/>
            </a:ext>
          </a:extLst>
        </xdr:cNvPr>
        <xdr:cNvSpPr txBox="1">
          <a:spLocks noChangeArrowheads="1" noTextEdit="1"/>
        </xdr:cNvSpPr>
      </xdr:nvSpPr>
      <xdr:spPr bwMode="auto">
        <a:xfrm>
          <a:off x="7053666" y="3656020"/>
          <a:ext cx="573687" cy="304995"/>
        </a:xfrm>
        <a:prstGeom prst="rect">
          <a:avLst/>
        </a:prstGeom>
        <a:noFill/>
        <a:ln w="9525">
          <a:noFill/>
          <a:miter lim="800000"/>
          <a:headEnd/>
          <a:tailEnd/>
        </a:ln>
      </xdr:spPr>
      <xdr:txBody>
        <a:bodyPr vertOverflow="clip" wrap="square" lIns="27432" tIns="22860" rIns="0" bIns="0" anchor="t" upright="1"/>
        <a:lstStyle/>
        <a:p>
          <a:pPr algn="l" rtl="0">
            <a:defRPr sz="1000"/>
          </a:pPr>
          <a:fld id="{B99E8AFA-CC9D-495E-8F5C-E82A30AF7894}" type="TxLink">
            <a:rPr lang="en-US" sz="1000" b="0" i="0" u="none" strike="noStrike" baseline="0">
              <a:solidFill>
                <a:srgbClr val="000000"/>
              </a:solidFill>
              <a:latin typeface="Arial"/>
              <a:cs typeface="Arial"/>
            </a:rPr>
            <a:pPr algn="l" rtl="0">
              <a:defRPr sz="1000"/>
            </a:pPr>
            <a:t> </a:t>
          </a:fld>
          <a:endParaRPr lang="el-GR" sz="1000" b="0" i="0" u="none" strike="noStrike" baseline="0">
            <a:solidFill>
              <a:srgbClr val="000000"/>
            </a:solidFill>
            <a:latin typeface="Arial" pitchFamily="34" charset="0"/>
            <a:cs typeface="Arial" pitchFamily="34" charset="0"/>
          </a:endParaRPr>
        </a:p>
      </xdr:txBody>
    </xdr:sp>
    <xdr:clientData/>
  </xdr:twoCellAnchor>
  <xdr:twoCellAnchor>
    <xdr:from>
      <xdr:col>6</xdr:col>
      <xdr:colOff>421801</xdr:colOff>
      <xdr:row>20</xdr:row>
      <xdr:rowOff>32038</xdr:rowOff>
    </xdr:from>
    <xdr:to>
      <xdr:col>7</xdr:col>
      <xdr:colOff>332099</xdr:colOff>
      <xdr:row>21</xdr:row>
      <xdr:rowOff>87887</xdr:rowOff>
    </xdr:to>
    <xdr:sp macro="" textlink="'Variable Management'!A269">
      <xdr:nvSpPr>
        <xdr:cNvPr id="124" name="Text Box 270">
          <a:extLst>
            <a:ext uri="{FF2B5EF4-FFF2-40B4-BE49-F238E27FC236}">
              <a16:creationId xmlns:a16="http://schemas.microsoft.com/office/drawing/2014/main" id="{00000000-0008-0000-0100-00007C000000}"/>
            </a:ext>
          </a:extLst>
        </xdr:cNvPr>
        <xdr:cNvSpPr txBox="1">
          <a:spLocks noChangeArrowheads="1" noTextEdit="1"/>
        </xdr:cNvSpPr>
      </xdr:nvSpPr>
      <xdr:spPr bwMode="auto">
        <a:xfrm>
          <a:off x="7118436" y="3438626"/>
          <a:ext cx="573687" cy="226179"/>
        </a:xfrm>
        <a:prstGeom prst="rect">
          <a:avLst/>
        </a:prstGeom>
        <a:noFill/>
        <a:ln w="9525">
          <a:noFill/>
          <a:miter lim="800000"/>
          <a:headEnd/>
          <a:tailEnd/>
        </a:ln>
      </xdr:spPr>
      <xdr:txBody>
        <a:bodyPr vertOverflow="clip" wrap="square" lIns="27432" tIns="22860" rIns="0" bIns="0" anchor="t" upright="1"/>
        <a:lstStyle/>
        <a:p>
          <a:pPr algn="l" rtl="0">
            <a:defRPr sz="1000"/>
          </a:pPr>
          <a:fld id="{70DB96BF-E1DF-48E4-A6D6-40F1646A7E3C}" type="TxLink">
            <a:rPr lang="en-US" sz="1000" b="0" i="0" u="none" strike="noStrike" baseline="0">
              <a:solidFill>
                <a:srgbClr val="000000"/>
              </a:solidFill>
              <a:latin typeface="Arial"/>
              <a:cs typeface="Arial"/>
            </a:rPr>
            <a:pPr algn="l" rtl="0">
              <a:defRPr sz="1000"/>
            </a:pPr>
            <a:t> </a:t>
          </a:fld>
          <a:endParaRPr lang="el-GR" sz="1000" b="0" i="0" u="none" strike="noStrike" baseline="0">
            <a:solidFill>
              <a:srgbClr val="000000"/>
            </a:solidFill>
            <a:latin typeface="Arial" pitchFamily="34" charset="0"/>
            <a:cs typeface="Arial" pitchFamily="34" charset="0"/>
          </a:endParaRPr>
        </a:p>
      </xdr:txBody>
    </xdr:sp>
    <xdr:clientData/>
  </xdr:twoCellAnchor>
  <xdr:twoCellAnchor>
    <xdr:from>
      <xdr:col>4</xdr:col>
      <xdr:colOff>398736</xdr:colOff>
      <xdr:row>29</xdr:row>
      <xdr:rowOff>4767</xdr:rowOff>
    </xdr:from>
    <xdr:to>
      <xdr:col>4</xdr:col>
      <xdr:colOff>883507</xdr:colOff>
      <xdr:row>30</xdr:row>
      <xdr:rowOff>107441</xdr:rowOff>
    </xdr:to>
    <xdr:sp macro="" textlink="'Variable Management'!A270">
      <xdr:nvSpPr>
        <xdr:cNvPr id="125" name="Text Box 231">
          <a:extLst>
            <a:ext uri="{FF2B5EF4-FFF2-40B4-BE49-F238E27FC236}">
              <a16:creationId xmlns:a16="http://schemas.microsoft.com/office/drawing/2014/main" id="{00000000-0008-0000-0100-00007D000000}"/>
            </a:ext>
          </a:extLst>
        </xdr:cNvPr>
        <xdr:cNvSpPr txBox="1">
          <a:spLocks noChangeArrowheads="1"/>
        </xdr:cNvSpPr>
      </xdr:nvSpPr>
      <xdr:spPr bwMode="auto">
        <a:xfrm>
          <a:off x="4495607" y="4944320"/>
          <a:ext cx="484771" cy="273003"/>
        </a:xfrm>
        <a:prstGeom prst="rect">
          <a:avLst/>
        </a:prstGeom>
        <a:noFill/>
        <a:ln w="9525">
          <a:noFill/>
          <a:miter lim="800000"/>
          <a:headEnd/>
          <a:tailEnd/>
        </a:ln>
      </xdr:spPr>
      <xdr:txBody>
        <a:bodyPr vertOverflow="clip" wrap="square" lIns="27432" tIns="27432" rIns="0" bIns="0" anchor="t" upright="1"/>
        <a:lstStyle/>
        <a:p>
          <a:pPr algn="l" rtl="0">
            <a:defRPr sz="1000"/>
          </a:pPr>
          <a:fld id="{6DDDD961-FD77-4006-A9BF-86BA94AAC47A}" type="TxLink">
            <a:rPr lang="en-US" sz="1000" b="0" i="0" u="none" strike="noStrike">
              <a:solidFill>
                <a:srgbClr val="000000"/>
              </a:solidFill>
              <a:latin typeface="Arial"/>
              <a:cs typeface="Arial"/>
            </a:rPr>
            <a:pPr algn="l" rtl="0">
              <a:defRPr sz="1000"/>
            </a:pPr>
            <a:t>Cilim</a:t>
          </a:fld>
          <a:endParaRPr lang="en-US" sz="1000" b="0" i="0" strike="noStrike" baseline="-25000">
            <a:solidFill>
              <a:srgbClr val="000000"/>
            </a:solidFill>
            <a:latin typeface="Arial" pitchFamily="34" charset="0"/>
            <a:cs typeface="Arial" pitchFamily="34" charset="0"/>
          </a:endParaRPr>
        </a:p>
      </xdr:txBody>
    </xdr:sp>
    <xdr:clientData/>
  </xdr:twoCellAnchor>
  <xdr:twoCellAnchor>
    <xdr:from>
      <xdr:col>4</xdr:col>
      <xdr:colOff>390929</xdr:colOff>
      <xdr:row>30</xdr:row>
      <xdr:rowOff>50182</xdr:rowOff>
    </xdr:from>
    <xdr:to>
      <xdr:col>4</xdr:col>
      <xdr:colOff>974228</xdr:colOff>
      <xdr:row>31</xdr:row>
      <xdr:rowOff>105316</xdr:rowOff>
    </xdr:to>
    <xdr:sp macro="" textlink="'Variable Management'!B270">
      <xdr:nvSpPr>
        <xdr:cNvPr id="126" name="Text Box 270">
          <a:extLst>
            <a:ext uri="{FF2B5EF4-FFF2-40B4-BE49-F238E27FC236}">
              <a16:creationId xmlns:a16="http://schemas.microsoft.com/office/drawing/2014/main" id="{00000000-0008-0000-0100-00007E000000}"/>
            </a:ext>
          </a:extLst>
        </xdr:cNvPr>
        <xdr:cNvSpPr txBox="1">
          <a:spLocks noChangeArrowheads="1" noTextEdit="1"/>
        </xdr:cNvSpPr>
      </xdr:nvSpPr>
      <xdr:spPr bwMode="auto">
        <a:xfrm>
          <a:off x="4487800" y="5160064"/>
          <a:ext cx="583299" cy="225464"/>
        </a:xfrm>
        <a:prstGeom prst="rect">
          <a:avLst/>
        </a:prstGeom>
        <a:noFill/>
        <a:ln w="9525">
          <a:noFill/>
          <a:miter lim="800000"/>
          <a:headEnd/>
          <a:tailEnd/>
        </a:ln>
      </xdr:spPr>
      <xdr:txBody>
        <a:bodyPr vertOverflow="clip" wrap="square" lIns="27432" tIns="22860" rIns="0" bIns="0" anchor="t" upright="1"/>
        <a:lstStyle/>
        <a:p>
          <a:pPr algn="l" rtl="0">
            <a:defRPr sz="1000"/>
          </a:pPr>
          <a:fld id="{F1AA52B6-2C20-478B-832B-81CF265F500F}" type="TxLink">
            <a:rPr lang="en-US" sz="1000" b="0" i="0" u="none" strike="noStrike" baseline="0">
              <a:solidFill>
                <a:srgbClr val="000000"/>
              </a:solidFill>
              <a:latin typeface="Arial"/>
              <a:cs typeface="Arial"/>
            </a:rPr>
            <a:pPr algn="l" rtl="0">
              <a:defRPr sz="1000"/>
            </a:pPr>
            <a:t>22pF</a:t>
          </a:fld>
          <a:endParaRPr lang="el-GR" sz="1000" b="0" i="0" u="none" strike="noStrike" baseline="0">
            <a:solidFill>
              <a:srgbClr val="000000"/>
            </a:solidFill>
            <a:latin typeface="Arial" pitchFamily="34" charset="0"/>
            <a:cs typeface="Arial" pitchFamily="34" charset="0"/>
          </a:endParaRPr>
        </a:p>
      </xdr:txBody>
    </xdr:sp>
    <xdr:clientData/>
  </xdr:twoCellAnchor>
  <xdr:twoCellAnchor>
    <xdr:from>
      <xdr:col>7</xdr:col>
      <xdr:colOff>170959</xdr:colOff>
      <xdr:row>7</xdr:row>
      <xdr:rowOff>70700</xdr:rowOff>
    </xdr:from>
    <xdr:to>
      <xdr:col>8</xdr:col>
      <xdr:colOff>216681</xdr:colOff>
      <xdr:row>8</xdr:row>
      <xdr:rowOff>141437</xdr:rowOff>
    </xdr:to>
    <xdr:sp macro="" textlink="'Variable Management'!B281">
      <xdr:nvSpPr>
        <xdr:cNvPr id="127" name="Text Box 283">
          <a:extLst>
            <a:ext uri="{FF2B5EF4-FFF2-40B4-BE49-F238E27FC236}">
              <a16:creationId xmlns:a16="http://schemas.microsoft.com/office/drawing/2014/main" id="{00000000-0008-0000-0100-00007F000000}"/>
            </a:ext>
          </a:extLst>
        </xdr:cNvPr>
        <xdr:cNvSpPr txBox="1">
          <a:spLocks noChangeArrowheads="1" noTextEdit="1"/>
        </xdr:cNvSpPr>
      </xdr:nvSpPr>
      <xdr:spPr bwMode="auto">
        <a:xfrm>
          <a:off x="7530983" y="1263006"/>
          <a:ext cx="1148380" cy="241066"/>
        </a:xfrm>
        <a:prstGeom prst="rect">
          <a:avLst/>
        </a:prstGeom>
        <a:noFill/>
        <a:ln w="9525">
          <a:noFill/>
          <a:miter lim="800000"/>
          <a:headEnd/>
          <a:tailEnd/>
        </a:ln>
      </xdr:spPr>
      <xdr:txBody>
        <a:bodyPr vertOverflow="clip" wrap="square" lIns="27432" tIns="22860" rIns="0" bIns="0" anchor="t" upright="1"/>
        <a:lstStyle/>
        <a:p>
          <a:pPr algn="l" rtl="0">
            <a:defRPr sz="1000"/>
          </a:pPr>
          <a:fld id="{EF361795-4FFE-464C-BBFA-7CAE15CC7442}" type="TxLink">
            <a:rPr lang="en-US" sz="1200" b="1" i="0" u="none" strike="noStrike">
              <a:solidFill>
                <a:srgbClr val="0000FF"/>
              </a:solidFill>
              <a:latin typeface="Arial"/>
              <a:cs typeface="Arial"/>
            </a:rPr>
            <a:pPr algn="l" rtl="0">
              <a:defRPr sz="1000"/>
            </a:pPr>
            <a:t>14V to 16V</a:t>
          </a:fld>
          <a:endParaRPr lang="en-US" sz="2400" b="1" i="0" strike="noStrike">
            <a:solidFill>
              <a:srgbClr val="0000FF"/>
            </a:solidFill>
            <a:latin typeface="Arial" pitchFamily="34" charset="0"/>
            <a:cs typeface="Arial" pitchFamily="34" charset="0"/>
          </a:endParaRPr>
        </a:p>
      </xdr:txBody>
    </xdr:sp>
    <xdr:clientData/>
  </xdr:twoCellAnchor>
  <xdr:twoCellAnchor>
    <xdr:from>
      <xdr:col>3</xdr:col>
      <xdr:colOff>1205950</xdr:colOff>
      <xdr:row>14</xdr:row>
      <xdr:rowOff>148053</xdr:rowOff>
    </xdr:from>
    <xdr:to>
      <xdr:col>4</xdr:col>
      <xdr:colOff>941146</xdr:colOff>
      <xdr:row>16</xdr:row>
      <xdr:rowOff>168094</xdr:rowOff>
    </xdr:to>
    <xdr:sp macro="" textlink="'Variable Management'!U12">
      <xdr:nvSpPr>
        <xdr:cNvPr id="128" name="Text Box 24">
          <a:extLst>
            <a:ext uri="{FF2B5EF4-FFF2-40B4-BE49-F238E27FC236}">
              <a16:creationId xmlns:a16="http://schemas.microsoft.com/office/drawing/2014/main" id="{00000000-0008-0000-0100-000080000000}"/>
            </a:ext>
          </a:extLst>
        </xdr:cNvPr>
        <xdr:cNvSpPr txBox="1">
          <a:spLocks noChangeArrowheads="1" noTextEdit="1"/>
        </xdr:cNvSpPr>
      </xdr:nvSpPr>
      <xdr:spPr bwMode="auto">
        <a:xfrm>
          <a:off x="3922256" y="2532665"/>
          <a:ext cx="1115761" cy="360700"/>
        </a:xfrm>
        <a:prstGeom prst="rect">
          <a:avLst/>
        </a:prstGeom>
        <a:solidFill>
          <a:srgbClr val="7DC4D6"/>
        </a:solidFill>
        <a:ln w="9525">
          <a:noFill/>
          <a:miter lim="800000"/>
          <a:headEnd/>
          <a:tailEnd/>
        </a:ln>
      </xdr:spPr>
      <xdr:txBody>
        <a:bodyPr wrap="square" lIns="27432" tIns="22860" rIns="0" bIns="22860" anchor="ctr"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rtl="0">
            <a:defRPr sz="1000"/>
          </a:pPr>
          <a:fld id="{FE4215C9-6CF6-4ED6-BE24-17A843393DAB}" type="TxLink">
            <a:rPr lang="en-US" sz="1400" b="1" i="0" u="none" strike="noStrike" baseline="0">
              <a:solidFill>
                <a:srgbClr val="FF0000"/>
              </a:solidFill>
              <a:latin typeface="Arial"/>
              <a:cs typeface="Arial"/>
            </a:rPr>
            <a:pPr algn="ctr" rtl="0">
              <a:defRPr sz="1000"/>
            </a:pPr>
            <a:t>LM5146</a:t>
          </a:fld>
          <a:endParaRPr lang="en-US" sz="2000" b="1" i="0" u="none" strike="noStrike" baseline="0">
            <a:solidFill>
              <a:srgbClr val="FF0000"/>
            </a:solidFill>
            <a:latin typeface="Arial" pitchFamily="34" charset="0"/>
            <a:cs typeface="Arial"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336176</xdr:colOff>
      <xdr:row>4</xdr:row>
      <xdr:rowOff>123263</xdr:rowOff>
    </xdr:from>
    <xdr:to>
      <xdr:col>12</xdr:col>
      <xdr:colOff>103841</xdr:colOff>
      <xdr:row>38</xdr:row>
      <xdr:rowOff>89647</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863" b="1395"/>
        <a:stretch/>
      </xdr:blipFill>
      <xdr:spPr>
        <a:xfrm>
          <a:off x="336176" y="1400734"/>
          <a:ext cx="7029077" cy="5703795"/>
        </a:xfrm>
        <a:prstGeom prst="rect">
          <a:avLst/>
        </a:prstGeom>
      </xdr:spPr>
    </xdr:pic>
    <xdr:clientData/>
  </xdr:twoCellAnchor>
  <xdr:twoCellAnchor editAs="oneCell">
    <xdr:from>
      <xdr:col>14</xdr:col>
      <xdr:colOff>403411</xdr:colOff>
      <xdr:row>4</xdr:row>
      <xdr:rowOff>11205</xdr:rowOff>
    </xdr:from>
    <xdr:to>
      <xdr:col>27</xdr:col>
      <xdr:colOff>358587</xdr:colOff>
      <xdr:row>39</xdr:row>
      <xdr:rowOff>69528</xdr:rowOff>
    </xdr:to>
    <xdr:pic>
      <xdr:nvPicPr>
        <xdr:cNvPr id="10" name="Picture 9">
          <a:extLst>
            <a:ext uri="{FF2B5EF4-FFF2-40B4-BE49-F238E27FC236}">
              <a16:creationId xmlns:a16="http://schemas.microsoft.com/office/drawing/2014/main" id="{00000000-0008-0000-0200-00000A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065558" y="1288676"/>
          <a:ext cx="8269941" cy="59526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381001</xdr:colOff>
      <xdr:row>48</xdr:row>
      <xdr:rowOff>104404</xdr:rowOff>
    </xdr:from>
    <xdr:to>
      <xdr:col>11</xdr:col>
      <xdr:colOff>280149</xdr:colOff>
      <xdr:row>73</xdr:row>
      <xdr:rowOff>34633</xdr:rowOff>
    </xdr:to>
    <xdr:pic>
      <xdr:nvPicPr>
        <xdr:cNvPr id="4" name="Picture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81001" y="8688110"/>
          <a:ext cx="6555442" cy="4053994"/>
        </a:xfrm>
        <a:prstGeom prst="rect">
          <a:avLst/>
        </a:prstGeom>
      </xdr:spPr>
    </xdr:pic>
    <xdr:clientData/>
  </xdr:twoCellAnchor>
  <xdr:twoCellAnchor editAs="oneCell">
    <xdr:from>
      <xdr:col>0</xdr:col>
      <xdr:colOff>369795</xdr:colOff>
      <xdr:row>76</xdr:row>
      <xdr:rowOff>134469</xdr:rowOff>
    </xdr:from>
    <xdr:to>
      <xdr:col>11</xdr:col>
      <xdr:colOff>246531</xdr:colOff>
      <xdr:row>103</xdr:row>
      <xdr:rowOff>78440</xdr:rowOff>
    </xdr:to>
    <xdr:pic>
      <xdr:nvPicPr>
        <xdr:cNvPr id="5" name="Picture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6353" t="8842" r="3320" b="10752"/>
        <a:stretch/>
      </xdr:blipFill>
      <xdr:spPr>
        <a:xfrm>
          <a:off x="369795" y="13211734"/>
          <a:ext cx="6533030" cy="4381500"/>
        </a:xfrm>
        <a:prstGeom prst="rect">
          <a:avLst/>
        </a:prstGeom>
      </xdr:spPr>
    </xdr:pic>
    <xdr:clientData/>
  </xdr:twoCellAnchor>
  <xdr:twoCellAnchor editAs="oneCell">
    <xdr:from>
      <xdr:col>15</xdr:col>
      <xdr:colOff>268945</xdr:colOff>
      <xdr:row>48</xdr:row>
      <xdr:rowOff>123265</xdr:rowOff>
    </xdr:from>
    <xdr:to>
      <xdr:col>26</xdr:col>
      <xdr:colOff>583270</xdr:colOff>
      <xdr:row>72</xdr:row>
      <xdr:rowOff>54909</xdr:rowOff>
    </xdr:to>
    <xdr:pic>
      <xdr:nvPicPr>
        <xdr:cNvPr id="6" name="Picture 5">
          <a:extLst>
            <a:ext uri="{FF2B5EF4-FFF2-40B4-BE49-F238E27FC236}">
              <a16:creationId xmlns:a16="http://schemas.microsoft.com/office/drawing/2014/main" id="{00000000-0008-0000-0200-000006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9536210" y="8807824"/>
          <a:ext cx="7418854" cy="38985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268945</xdr:colOff>
      <xdr:row>75</xdr:row>
      <xdr:rowOff>78443</xdr:rowOff>
    </xdr:from>
    <xdr:to>
      <xdr:col>26</xdr:col>
      <xdr:colOff>583270</xdr:colOff>
      <xdr:row>98</xdr:row>
      <xdr:rowOff>119345</xdr:rowOff>
    </xdr:to>
    <xdr:pic>
      <xdr:nvPicPr>
        <xdr:cNvPr id="7" name="Picture 6">
          <a:extLst>
            <a:ext uri="{FF2B5EF4-FFF2-40B4-BE49-F238E27FC236}">
              <a16:creationId xmlns:a16="http://schemas.microsoft.com/office/drawing/2014/main" id="{00000000-0008-0000-0200-00000700000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9536210" y="13200531"/>
          <a:ext cx="7418854" cy="385090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268945</xdr:colOff>
      <xdr:row>101</xdr:row>
      <xdr:rowOff>42024</xdr:rowOff>
    </xdr:from>
    <xdr:to>
      <xdr:col>26</xdr:col>
      <xdr:colOff>583270</xdr:colOff>
      <xdr:row>125</xdr:row>
      <xdr:rowOff>45945</xdr:rowOff>
    </xdr:to>
    <xdr:pic>
      <xdr:nvPicPr>
        <xdr:cNvPr id="8" name="Picture 7">
          <a:extLst>
            <a:ext uri="{FF2B5EF4-FFF2-40B4-BE49-F238E27FC236}">
              <a16:creationId xmlns:a16="http://schemas.microsoft.com/office/drawing/2014/main" id="{00000000-0008-0000-0200-000008000000}"/>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9536210" y="17444759"/>
          <a:ext cx="7418854" cy="38699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257735</xdr:colOff>
      <xdr:row>128</xdr:row>
      <xdr:rowOff>67235</xdr:rowOff>
    </xdr:from>
    <xdr:to>
      <xdr:col>26</xdr:col>
      <xdr:colOff>560294</xdr:colOff>
      <xdr:row>152</xdr:row>
      <xdr:rowOff>90207</xdr:rowOff>
    </xdr:to>
    <xdr:pic>
      <xdr:nvPicPr>
        <xdr:cNvPr id="9" name="Picture 8">
          <a:extLst>
            <a:ext uri="{FF2B5EF4-FFF2-40B4-BE49-F238E27FC236}">
              <a16:creationId xmlns:a16="http://schemas.microsoft.com/office/drawing/2014/main" id="{00000000-0008-0000-0200-000009000000}"/>
            </a:ext>
          </a:extLst>
        </xdr:cNvPr>
        <xdr:cNvPicPr>
          <a:picLocks noChangeAspect="1" noChangeArrowheads="1"/>
        </xdr:cNvPicPr>
      </xdr:nvPicPr>
      <xdr:blipFill rotWithShape="1">
        <a:blip xmlns:r="http://schemas.openxmlformats.org/officeDocument/2006/relationships" r:embed="rId8">
          <a:extLst>
            <a:ext uri="{28A0092B-C50C-407E-A947-70E740481C1C}">
              <a14:useLocalDpi xmlns:a14="http://schemas.microsoft.com/office/drawing/2010/main" val="0"/>
            </a:ext>
          </a:extLst>
        </a:blip>
        <a:srcRect l="1038" r="942"/>
        <a:stretch/>
      </xdr:blipFill>
      <xdr:spPr bwMode="auto">
        <a:xfrm>
          <a:off x="9525000" y="21806647"/>
          <a:ext cx="7407088" cy="38890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219075</xdr:colOff>
          <xdr:row>10</xdr:row>
          <xdr:rowOff>114300</xdr:rowOff>
        </xdr:from>
        <xdr:to>
          <xdr:col>16</xdr:col>
          <xdr:colOff>28575</xdr:colOff>
          <xdr:row>31</xdr:row>
          <xdr:rowOff>123825</xdr:rowOff>
        </xdr:to>
        <xdr:sp macro="" textlink="">
          <xdr:nvSpPr>
            <xdr:cNvPr id="3073" name="Object 1" hidden="1">
              <a:extLst>
                <a:ext uri="{63B3BB69-23CF-44E3-9099-C40C66FF867C}">
                  <a14:compatExt spid="_x0000_s3073"/>
                </a:ext>
                <a:ext uri="{FF2B5EF4-FFF2-40B4-BE49-F238E27FC236}">
                  <a16:creationId xmlns:a16="http://schemas.microsoft.com/office/drawing/2014/main" id="{00000000-0008-0000-0300-0000010C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36</xdr:col>
      <xdr:colOff>200025</xdr:colOff>
      <xdr:row>8</xdr:row>
      <xdr:rowOff>19050</xdr:rowOff>
    </xdr:from>
    <xdr:to>
      <xdr:col>44</xdr:col>
      <xdr:colOff>742950</xdr:colOff>
      <xdr:row>30</xdr:row>
      <xdr:rowOff>85725</xdr:rowOff>
    </xdr:to>
    <xdr:graphicFrame macro="">
      <xdr:nvGraphicFramePr>
        <xdr:cNvPr id="21446051" name="Chart 11">
          <a:extLst>
            <a:ext uri="{FF2B5EF4-FFF2-40B4-BE49-F238E27FC236}">
              <a16:creationId xmlns:a16="http://schemas.microsoft.com/office/drawing/2014/main" id="{00000000-0008-0000-0500-0000A33D47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27</xdr:col>
      <xdr:colOff>200025</xdr:colOff>
      <xdr:row>8</xdr:row>
      <xdr:rowOff>28575</xdr:rowOff>
    </xdr:from>
    <xdr:to>
      <xdr:col>36</xdr:col>
      <xdr:colOff>180975</xdr:colOff>
      <xdr:row>30</xdr:row>
      <xdr:rowOff>123825</xdr:rowOff>
    </xdr:to>
    <xdr:graphicFrame macro="">
      <xdr:nvGraphicFramePr>
        <xdr:cNvPr id="21446052" name="Chart 15">
          <a:extLst>
            <a:ext uri="{FF2B5EF4-FFF2-40B4-BE49-F238E27FC236}">
              <a16:creationId xmlns:a16="http://schemas.microsoft.com/office/drawing/2014/main" id="{00000000-0008-0000-0500-0000A43D47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28</xdr:col>
      <xdr:colOff>9525</xdr:colOff>
      <xdr:row>30</xdr:row>
      <xdr:rowOff>152400</xdr:rowOff>
    </xdr:from>
    <xdr:to>
      <xdr:col>36</xdr:col>
      <xdr:colOff>209550</xdr:colOff>
      <xdr:row>53</xdr:row>
      <xdr:rowOff>95250</xdr:rowOff>
    </xdr:to>
    <xdr:graphicFrame macro="">
      <xdr:nvGraphicFramePr>
        <xdr:cNvPr id="21446053" name="Chart 16">
          <a:extLst>
            <a:ext uri="{FF2B5EF4-FFF2-40B4-BE49-F238E27FC236}">
              <a16:creationId xmlns:a16="http://schemas.microsoft.com/office/drawing/2014/main" id="{00000000-0008-0000-0500-0000A53D47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75</xdr:col>
      <xdr:colOff>466725</xdr:colOff>
      <xdr:row>6</xdr:row>
      <xdr:rowOff>76200</xdr:rowOff>
    </xdr:from>
    <xdr:to>
      <xdr:col>84</xdr:col>
      <xdr:colOff>238125</xdr:colOff>
      <xdr:row>29</xdr:row>
      <xdr:rowOff>19050</xdr:rowOff>
    </xdr:to>
    <xdr:graphicFrame macro="">
      <xdr:nvGraphicFramePr>
        <xdr:cNvPr id="21446054" name="Chart 18">
          <a:extLst>
            <a:ext uri="{FF2B5EF4-FFF2-40B4-BE49-F238E27FC236}">
              <a16:creationId xmlns:a16="http://schemas.microsoft.com/office/drawing/2014/main" id="{00000000-0008-0000-0500-0000A63D47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704849</xdr:colOff>
      <xdr:row>6</xdr:row>
      <xdr:rowOff>438149</xdr:rowOff>
    </xdr:from>
    <xdr:to>
      <xdr:col>2</xdr:col>
      <xdr:colOff>22859</xdr:colOff>
      <xdr:row>8</xdr:row>
      <xdr:rowOff>1127</xdr:rowOff>
    </xdr:to>
    <xdr:pic>
      <xdr:nvPicPr>
        <xdr:cNvPr id="4" name="Picture 3">
          <a:extLst>
            <a:ext uri="{FF2B5EF4-FFF2-40B4-BE49-F238E27FC236}">
              <a16:creationId xmlns:a16="http://schemas.microsoft.com/office/drawing/2014/main" id="{00000000-0008-0000-06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04849" y="6362699"/>
          <a:ext cx="8915400" cy="51255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704849</xdr:colOff>
      <xdr:row>3</xdr:row>
      <xdr:rowOff>161924</xdr:rowOff>
    </xdr:from>
    <xdr:to>
      <xdr:col>2</xdr:col>
      <xdr:colOff>22859</xdr:colOff>
      <xdr:row>5</xdr:row>
      <xdr:rowOff>1127</xdr:rowOff>
    </xdr:to>
    <xdr:pic>
      <xdr:nvPicPr>
        <xdr:cNvPr id="6" name="Picture 5">
          <a:extLst>
            <a:ext uri="{FF2B5EF4-FFF2-40B4-BE49-F238E27FC236}">
              <a16:creationId xmlns:a16="http://schemas.microsoft.com/office/drawing/2014/main" id="{00000000-0008-0000-06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04849" y="647699"/>
          <a:ext cx="8915400" cy="51255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6</xdr:col>
      <xdr:colOff>236220</xdr:colOff>
      <xdr:row>49</xdr:row>
      <xdr:rowOff>74295</xdr:rowOff>
    </xdr:from>
    <xdr:to>
      <xdr:col>19</xdr:col>
      <xdr:colOff>179070</xdr:colOff>
      <xdr:row>78</xdr:row>
      <xdr:rowOff>93345</xdr:rowOff>
    </xdr:to>
    <xdr:graphicFrame macro="">
      <xdr:nvGraphicFramePr>
        <xdr:cNvPr id="22259766" name="Chart 1">
          <a:extLst>
            <a:ext uri="{FF2B5EF4-FFF2-40B4-BE49-F238E27FC236}">
              <a16:creationId xmlns:a16="http://schemas.microsoft.com/office/drawing/2014/main" id="{00000000-0008-0000-0700-000036A853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19</xdr:col>
      <xdr:colOff>247650</xdr:colOff>
      <xdr:row>11</xdr:row>
      <xdr:rowOff>57150</xdr:rowOff>
    </xdr:from>
    <xdr:to>
      <xdr:col>30</xdr:col>
      <xdr:colOff>533400</xdr:colOff>
      <xdr:row>40</xdr:row>
      <xdr:rowOff>85725</xdr:rowOff>
    </xdr:to>
    <xdr:graphicFrame macro="">
      <xdr:nvGraphicFramePr>
        <xdr:cNvPr id="22259767" name="Chart 2">
          <a:extLst>
            <a:ext uri="{FF2B5EF4-FFF2-40B4-BE49-F238E27FC236}">
              <a16:creationId xmlns:a16="http://schemas.microsoft.com/office/drawing/2014/main" id="{00000000-0008-0000-0700-000037A853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219075</xdr:colOff>
      <xdr:row>11</xdr:row>
      <xdr:rowOff>64770</xdr:rowOff>
    </xdr:from>
    <xdr:to>
      <xdr:col>19</xdr:col>
      <xdr:colOff>152400</xdr:colOff>
      <xdr:row>40</xdr:row>
      <xdr:rowOff>93345</xdr:rowOff>
    </xdr:to>
    <xdr:graphicFrame macro="">
      <xdr:nvGraphicFramePr>
        <xdr:cNvPr id="22259768" name="Chart 4">
          <a:extLst>
            <a:ext uri="{FF2B5EF4-FFF2-40B4-BE49-F238E27FC236}">
              <a16:creationId xmlns:a16="http://schemas.microsoft.com/office/drawing/2014/main" id="{00000000-0008-0000-0700-000038A853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bwMode="auto">
        <a:noFill/>
        <a:ln w="9525">
          <a:noFill/>
          <a:miter lim="800000"/>
          <a:headEnd/>
          <a:tailEnd/>
        </a:ln>
      </a:spPr>
      <a:bodyPr vertOverflow="clip" wrap="square" lIns="27432" tIns="27432" rIns="0" bIns="0" anchor="t" upright="1"/>
      <a:lstStyle>
        <a:defPPr algn="l" rtl="0">
          <a:defRPr sz="1100" b="0" i="0" strike="noStrike">
            <a:solidFill>
              <a:srgbClr val="000000"/>
            </a:solidFill>
            <a:latin typeface="Calibri"/>
          </a:defRPr>
        </a:defPPr>
      </a:lstStyle>
    </a:tx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3" Type="http://schemas.openxmlformats.org/officeDocument/2006/relationships/drawing" Target="../drawings/drawing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omments" Target="../comments1.xml"/><Relationship Id="rId2" Type="http://schemas.openxmlformats.org/officeDocument/2006/relationships/printerSettings" Target="../printerSettings/printerSettings1.bin"/><Relationship Id="rId16" Type="http://schemas.openxmlformats.org/officeDocument/2006/relationships/ctrlProp" Target="../ctrlProps/ctrlProp11.xml"/><Relationship Id="rId1" Type="http://schemas.openxmlformats.org/officeDocument/2006/relationships/hyperlink" Target="http://www.ti.com/pol" TargetMode="External"/><Relationship Id="rId6" Type="http://schemas.openxmlformats.org/officeDocument/2006/relationships/ctrlProp" Target="../ctrlProps/ctrlProp1.xml"/><Relationship Id="rId11" Type="http://schemas.openxmlformats.org/officeDocument/2006/relationships/ctrlProp" Target="../ctrlProps/ctrlProp6.xml"/><Relationship Id="rId5" Type="http://schemas.openxmlformats.org/officeDocument/2006/relationships/vmlDrawing" Target="../drawings/vmlDrawing2.vml"/><Relationship Id="rId15" Type="http://schemas.openxmlformats.org/officeDocument/2006/relationships/ctrlProp" Target="../ctrlProps/ctrlProp10.xml"/><Relationship Id="rId10" Type="http://schemas.openxmlformats.org/officeDocument/2006/relationships/ctrlProp" Target="../ctrlProps/ctrlProp5.xml"/><Relationship Id="rId4" Type="http://schemas.openxmlformats.org/officeDocument/2006/relationships/vmlDrawing" Target="../drawings/vmlDrawing1.vml"/><Relationship Id="rId9" Type="http://schemas.openxmlformats.org/officeDocument/2006/relationships/ctrlProp" Target="../ctrlProps/ctrlProp4.xml"/><Relationship Id="rId14" Type="http://schemas.openxmlformats.org/officeDocument/2006/relationships/ctrlProp" Target="../ctrlProps/ctrlProp9.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16.xml"/><Relationship Id="rId13" Type="http://schemas.openxmlformats.org/officeDocument/2006/relationships/ctrlProp" Target="../ctrlProps/ctrlProp21.xml"/><Relationship Id="rId18" Type="http://schemas.openxmlformats.org/officeDocument/2006/relationships/ctrlProp" Target="../ctrlProps/ctrlProp26.xml"/><Relationship Id="rId26" Type="http://schemas.openxmlformats.org/officeDocument/2006/relationships/ctrlProp" Target="../ctrlProps/ctrlProp34.xml"/><Relationship Id="rId3" Type="http://schemas.openxmlformats.org/officeDocument/2006/relationships/vmlDrawing" Target="../drawings/vmlDrawing3.vml"/><Relationship Id="rId21" Type="http://schemas.openxmlformats.org/officeDocument/2006/relationships/ctrlProp" Target="../ctrlProps/ctrlProp29.xml"/><Relationship Id="rId7" Type="http://schemas.openxmlformats.org/officeDocument/2006/relationships/ctrlProp" Target="../ctrlProps/ctrlProp15.xml"/><Relationship Id="rId12" Type="http://schemas.openxmlformats.org/officeDocument/2006/relationships/ctrlProp" Target="../ctrlProps/ctrlProp20.xml"/><Relationship Id="rId17" Type="http://schemas.openxmlformats.org/officeDocument/2006/relationships/ctrlProp" Target="../ctrlProps/ctrlProp25.xml"/><Relationship Id="rId25" Type="http://schemas.openxmlformats.org/officeDocument/2006/relationships/ctrlProp" Target="../ctrlProps/ctrlProp33.xml"/><Relationship Id="rId2" Type="http://schemas.openxmlformats.org/officeDocument/2006/relationships/drawing" Target="../drawings/drawing3.xml"/><Relationship Id="rId16" Type="http://schemas.openxmlformats.org/officeDocument/2006/relationships/ctrlProp" Target="../ctrlProps/ctrlProp24.xml"/><Relationship Id="rId20" Type="http://schemas.openxmlformats.org/officeDocument/2006/relationships/ctrlProp" Target="../ctrlProps/ctrlProp28.xml"/><Relationship Id="rId1" Type="http://schemas.openxmlformats.org/officeDocument/2006/relationships/printerSettings" Target="../printerSettings/printerSettings2.bin"/><Relationship Id="rId6" Type="http://schemas.openxmlformats.org/officeDocument/2006/relationships/ctrlProp" Target="../ctrlProps/ctrlProp14.xml"/><Relationship Id="rId11" Type="http://schemas.openxmlformats.org/officeDocument/2006/relationships/ctrlProp" Target="../ctrlProps/ctrlProp19.xml"/><Relationship Id="rId24" Type="http://schemas.openxmlformats.org/officeDocument/2006/relationships/ctrlProp" Target="../ctrlProps/ctrlProp32.xml"/><Relationship Id="rId5" Type="http://schemas.openxmlformats.org/officeDocument/2006/relationships/ctrlProp" Target="../ctrlProps/ctrlProp13.xml"/><Relationship Id="rId15" Type="http://schemas.openxmlformats.org/officeDocument/2006/relationships/ctrlProp" Target="../ctrlProps/ctrlProp23.xml"/><Relationship Id="rId23" Type="http://schemas.openxmlformats.org/officeDocument/2006/relationships/ctrlProp" Target="../ctrlProps/ctrlProp31.xml"/><Relationship Id="rId28" Type="http://schemas.openxmlformats.org/officeDocument/2006/relationships/ctrlProp" Target="../ctrlProps/ctrlProp36.xml"/><Relationship Id="rId10" Type="http://schemas.openxmlformats.org/officeDocument/2006/relationships/ctrlProp" Target="../ctrlProps/ctrlProp18.xml"/><Relationship Id="rId19" Type="http://schemas.openxmlformats.org/officeDocument/2006/relationships/ctrlProp" Target="../ctrlProps/ctrlProp27.xml"/><Relationship Id="rId4" Type="http://schemas.openxmlformats.org/officeDocument/2006/relationships/ctrlProp" Target="../ctrlProps/ctrlProp12.xml"/><Relationship Id="rId9" Type="http://schemas.openxmlformats.org/officeDocument/2006/relationships/ctrlProp" Target="../ctrlProps/ctrlProp17.xml"/><Relationship Id="rId14" Type="http://schemas.openxmlformats.org/officeDocument/2006/relationships/ctrlProp" Target="../ctrlProps/ctrlProp22.xml"/><Relationship Id="rId22" Type="http://schemas.openxmlformats.org/officeDocument/2006/relationships/ctrlProp" Target="../ctrlProps/ctrlProp30.xml"/><Relationship Id="rId27" Type="http://schemas.openxmlformats.org/officeDocument/2006/relationships/ctrlProp" Target="../ctrlProps/ctrlProp35.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4.bin"/><Relationship Id="rId5" Type="http://schemas.openxmlformats.org/officeDocument/2006/relationships/image" Target="../media/image18.emf"/><Relationship Id="rId4" Type="http://schemas.openxmlformats.org/officeDocument/2006/relationships/oleObject" Target="../embeddings/Microsoft_Visio_2003-2010_Drawing.vsd"/></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0000"/>
    <pageSetUpPr fitToPage="1"/>
  </sheetPr>
  <dimension ref="A1:AI459"/>
  <sheetViews>
    <sheetView tabSelected="1" topLeftCell="A75" zoomScale="115" zoomScaleNormal="115" zoomScaleSheetLayoutView="100" workbookViewId="0">
      <selection activeCell="E103" sqref="E103"/>
    </sheetView>
  </sheetViews>
  <sheetFormatPr defaultColWidth="9.140625" defaultRowHeight="12.75" x14ac:dyDescent="0.2"/>
  <cols>
    <col min="1" max="1" width="8.28515625" style="276" customWidth="1"/>
    <col min="2" max="2" width="8.28515625" style="123" customWidth="1"/>
    <col min="3" max="3" width="14.5703125" style="123" customWidth="1"/>
    <col min="4" max="4" width="8" style="123" customWidth="1"/>
    <col min="5" max="5" width="7" style="123" customWidth="1"/>
    <col min="6" max="6" width="8.28515625" style="123" customWidth="1"/>
    <col min="7" max="7" width="9.140625" style="123" customWidth="1"/>
    <col min="8" max="8" width="11.85546875" style="123" customWidth="1"/>
    <col min="9" max="9" width="9.140625" style="123"/>
    <col min="10" max="10" width="12.42578125" style="123" bestFit="1" customWidth="1"/>
    <col min="11" max="11" width="9.140625" style="123"/>
    <col min="12" max="12" width="12.42578125" style="123" bestFit="1" customWidth="1"/>
    <col min="13" max="15" width="9.140625" style="123"/>
    <col min="16" max="16" width="10.140625" style="123" customWidth="1"/>
    <col min="17" max="17" width="41.85546875" style="123" customWidth="1"/>
    <col min="18" max="18" width="3.140625" style="123" customWidth="1"/>
    <col min="19" max="19" width="10" style="123" bestFit="1" customWidth="1"/>
    <col min="20" max="16384" width="9.140625" style="123"/>
  </cols>
  <sheetData>
    <row r="1" spans="1:18" ht="50.25" customHeight="1" x14ac:dyDescent="0.2">
      <c r="A1" s="516" t="s">
        <v>739</v>
      </c>
      <c r="B1" s="517"/>
      <c r="C1" s="517"/>
      <c r="D1" s="517"/>
      <c r="E1" s="517"/>
      <c r="F1" s="517"/>
      <c r="G1" s="517"/>
      <c r="H1" s="517"/>
      <c r="I1" s="517"/>
      <c r="J1" s="517"/>
      <c r="K1" s="517"/>
      <c r="L1" s="517"/>
      <c r="M1" s="517"/>
      <c r="N1" s="517"/>
      <c r="O1" s="517"/>
      <c r="P1" s="517"/>
      <c r="Q1" s="517"/>
      <c r="R1" s="364"/>
    </row>
    <row r="2" spans="1:18" ht="13.5" customHeight="1" x14ac:dyDescent="0.45">
      <c r="A2" s="490"/>
      <c r="B2" s="368"/>
      <c r="C2" s="368"/>
      <c r="D2" s="368"/>
      <c r="E2" s="368"/>
      <c r="F2" s="368"/>
      <c r="G2" s="368"/>
      <c r="H2" s="368"/>
      <c r="I2" s="368"/>
      <c r="J2" s="368"/>
      <c r="K2" s="368"/>
      <c r="L2" s="368"/>
      <c r="M2" s="479"/>
      <c r="N2" s="484"/>
      <c r="O2" s="485"/>
      <c r="P2" s="484"/>
      <c r="Q2" s="484"/>
      <c r="R2" s="364"/>
    </row>
    <row r="3" spans="1:18" ht="14.25" customHeight="1" x14ac:dyDescent="0.45">
      <c r="A3" s="378" t="s">
        <v>474</v>
      </c>
      <c r="B3" s="369"/>
      <c r="C3" s="379" t="s">
        <v>475</v>
      </c>
      <c r="D3" s="370"/>
      <c r="E3" s="177"/>
      <c r="F3" s="372" t="s">
        <v>284</v>
      </c>
      <c r="G3" s="371"/>
      <c r="H3" s="368"/>
      <c r="I3" s="368"/>
      <c r="J3" s="371"/>
      <c r="K3" s="373"/>
      <c r="L3" s="374"/>
      <c r="M3" s="480"/>
      <c r="N3" s="488"/>
      <c r="O3" s="515" t="s">
        <v>117</v>
      </c>
      <c r="P3" s="515"/>
      <c r="Q3" s="364" t="s">
        <v>319</v>
      </c>
      <c r="R3" s="364"/>
    </row>
    <row r="4" spans="1:18" ht="13.5" customHeight="1" thickBot="1" x14ac:dyDescent="0.35">
      <c r="A4" s="375"/>
      <c r="B4" s="376"/>
      <c r="C4" s="377"/>
      <c r="D4" s="377"/>
      <c r="E4" s="377"/>
      <c r="F4" s="377"/>
      <c r="G4" s="377"/>
      <c r="H4" s="377"/>
      <c r="I4" s="377"/>
      <c r="J4" s="377"/>
      <c r="K4" s="377"/>
      <c r="L4" s="377"/>
      <c r="M4" s="481"/>
      <c r="N4" s="486"/>
      <c r="O4" s="486"/>
      <c r="P4" s="486"/>
      <c r="Q4" s="487"/>
      <c r="R4" s="364"/>
    </row>
    <row r="5" spans="1:18" ht="20.100000000000001" customHeight="1" thickBot="1" x14ac:dyDescent="0.35">
      <c r="A5" s="214" t="s">
        <v>440</v>
      </c>
      <c r="B5" s="176"/>
      <c r="C5" s="124"/>
      <c r="D5" s="124"/>
      <c r="E5" s="126"/>
      <c r="F5" s="124"/>
      <c r="G5" s="160"/>
      <c r="H5" s="127"/>
      <c r="I5" s="127"/>
      <c r="J5" s="127"/>
      <c r="K5" s="127"/>
      <c r="L5" s="127"/>
      <c r="M5" s="482"/>
      <c r="N5" s="482"/>
      <c r="O5" s="482"/>
      <c r="P5" s="482"/>
      <c r="Q5" s="483"/>
      <c r="R5" s="364"/>
    </row>
    <row r="6" spans="1:18" ht="14.1" customHeight="1" x14ac:dyDescent="0.25">
      <c r="A6" s="271"/>
      <c r="B6" s="224"/>
      <c r="C6" s="225"/>
      <c r="D6" s="226" t="s">
        <v>564</v>
      </c>
      <c r="E6" s="227">
        <v>14</v>
      </c>
      <c r="F6" s="228" t="s">
        <v>0</v>
      </c>
      <c r="G6" s="186"/>
      <c r="H6" s="184"/>
      <c r="I6" s="127"/>
      <c r="J6" s="127"/>
      <c r="K6" s="127"/>
      <c r="L6" s="127"/>
      <c r="M6" s="127"/>
      <c r="N6" s="127"/>
      <c r="O6" s="127"/>
      <c r="P6" s="127"/>
      <c r="Q6" s="159"/>
      <c r="R6" s="364"/>
    </row>
    <row r="7" spans="1:18" ht="14.1" customHeight="1" x14ac:dyDescent="0.25">
      <c r="A7" s="381"/>
      <c r="B7" s="184"/>
      <c r="C7" s="181"/>
      <c r="D7" s="219" t="s">
        <v>565</v>
      </c>
      <c r="E7" s="185">
        <v>15</v>
      </c>
      <c r="F7" s="229" t="s">
        <v>0</v>
      </c>
      <c r="G7" s="186"/>
      <c r="H7" s="184"/>
      <c r="I7" s="127"/>
      <c r="J7" s="127"/>
      <c r="K7" s="127"/>
      <c r="L7" s="127"/>
      <c r="M7" s="127"/>
      <c r="N7" s="127"/>
      <c r="O7" s="127"/>
      <c r="P7" s="127"/>
      <c r="Q7" s="159"/>
      <c r="R7" s="364"/>
    </row>
    <row r="8" spans="1:18" ht="14.1" customHeight="1" x14ac:dyDescent="0.25">
      <c r="A8" s="381"/>
      <c r="B8" s="184"/>
      <c r="C8" s="181"/>
      <c r="D8" s="219" t="s">
        <v>566</v>
      </c>
      <c r="E8" s="185">
        <v>16</v>
      </c>
      <c r="F8" s="229" t="s">
        <v>0</v>
      </c>
      <c r="G8" s="186"/>
      <c r="H8" s="184"/>
      <c r="I8" s="127"/>
      <c r="J8" s="127"/>
      <c r="K8" s="127"/>
      <c r="L8" s="127"/>
      <c r="M8" s="127"/>
      <c r="N8" s="127"/>
      <c r="O8" s="127"/>
      <c r="P8" s="127"/>
      <c r="Q8" s="159"/>
      <c r="R8" s="364"/>
    </row>
    <row r="9" spans="1:18" ht="14.1" customHeight="1" x14ac:dyDescent="0.25">
      <c r="A9" s="183"/>
      <c r="B9" s="184"/>
      <c r="C9" s="181"/>
      <c r="D9" s="219" t="s">
        <v>560</v>
      </c>
      <c r="E9" s="185">
        <v>5.0999999999999996</v>
      </c>
      <c r="F9" s="229" t="s">
        <v>0</v>
      </c>
      <c r="G9" s="186"/>
      <c r="H9" s="184"/>
      <c r="I9" s="127"/>
      <c r="J9" s="127"/>
      <c r="K9" s="127"/>
      <c r="L9" s="127"/>
      <c r="M9" s="127"/>
      <c r="N9" s="127"/>
      <c r="O9" s="127"/>
      <c r="P9" s="127"/>
      <c r="Q9" s="159"/>
      <c r="R9" s="364"/>
    </row>
    <row r="10" spans="1:18" ht="14.1" customHeight="1" x14ac:dyDescent="0.25">
      <c r="A10" s="183"/>
      <c r="B10" s="184"/>
      <c r="C10" s="181"/>
      <c r="D10" s="219" t="s">
        <v>559</v>
      </c>
      <c r="E10" s="185">
        <v>2</v>
      </c>
      <c r="F10" s="229" t="s">
        <v>2</v>
      </c>
      <c r="G10" s="186"/>
      <c r="H10" s="184"/>
      <c r="I10" s="127"/>
      <c r="J10" s="127"/>
      <c r="K10" s="127"/>
      <c r="L10" s="127"/>
      <c r="M10" s="127"/>
      <c r="N10" s="127"/>
      <c r="O10" s="127"/>
      <c r="P10" s="127"/>
      <c r="Q10" s="159"/>
      <c r="R10" s="364"/>
    </row>
    <row r="11" spans="1:18" ht="14.1" customHeight="1" x14ac:dyDescent="0.25">
      <c r="A11" s="183"/>
      <c r="B11" s="184"/>
      <c r="C11" s="181"/>
      <c r="D11" s="219" t="s">
        <v>616</v>
      </c>
      <c r="E11" s="187">
        <v>500</v>
      </c>
      <c r="F11" s="229" t="s">
        <v>3</v>
      </c>
      <c r="G11" s="186"/>
      <c r="H11" s="184"/>
      <c r="I11" s="127"/>
      <c r="J11" s="127"/>
      <c r="K11" s="127"/>
      <c r="L11" s="127"/>
      <c r="M11" s="127"/>
      <c r="N11" s="127"/>
      <c r="O11" s="127"/>
      <c r="P11" s="127"/>
      <c r="Q11" s="159"/>
      <c r="R11" s="364"/>
    </row>
    <row r="12" spans="1:18" ht="14.1" customHeight="1" x14ac:dyDescent="0.25">
      <c r="A12" s="183"/>
      <c r="B12" s="184"/>
      <c r="C12" s="181"/>
      <c r="D12" s="219" t="s">
        <v>617</v>
      </c>
      <c r="E12" s="187">
        <v>500</v>
      </c>
      <c r="F12" s="229" t="s">
        <v>3</v>
      </c>
      <c r="G12" s="188"/>
      <c r="H12" s="184"/>
      <c r="I12" s="127"/>
      <c r="J12" s="127"/>
      <c r="K12" s="127"/>
      <c r="L12" s="127"/>
      <c r="M12" s="127"/>
      <c r="N12" s="127"/>
      <c r="O12" s="127"/>
      <c r="P12" s="127"/>
      <c r="Q12" s="159"/>
      <c r="R12" s="364"/>
    </row>
    <row r="13" spans="1:18" ht="15.95" customHeight="1" thickBot="1" x14ac:dyDescent="0.35">
      <c r="A13" s="230"/>
      <c r="B13" s="231"/>
      <c r="C13" s="182"/>
      <c r="D13" s="182" t="s">
        <v>561</v>
      </c>
      <c r="E13" s="182">
        <f>'Standard Value Calculator'!S4/1000</f>
        <v>20</v>
      </c>
      <c r="F13" s="232" t="s">
        <v>116</v>
      </c>
      <c r="G13" s="186"/>
      <c r="H13" s="184"/>
      <c r="I13" s="127"/>
      <c r="J13" s="127"/>
      <c r="K13" s="127"/>
      <c r="L13" s="127"/>
      <c r="M13" s="127"/>
      <c r="N13" s="127"/>
      <c r="O13" s="127"/>
      <c r="P13" s="127"/>
      <c r="Q13" s="159"/>
      <c r="R13" s="364"/>
    </row>
    <row r="14" spans="1:18" ht="14.1" customHeight="1" x14ac:dyDescent="0.2">
      <c r="A14" s="183"/>
      <c r="B14" s="184"/>
      <c r="C14" s="184"/>
      <c r="D14" s="189"/>
      <c r="E14" s="190"/>
      <c r="F14" s="184"/>
      <c r="G14" s="186"/>
      <c r="H14" s="184"/>
      <c r="I14" s="127"/>
      <c r="J14" s="127"/>
      <c r="K14" s="127"/>
      <c r="L14" s="127"/>
      <c r="M14" s="127"/>
      <c r="N14" s="127"/>
      <c r="O14" s="127"/>
      <c r="P14" s="127"/>
      <c r="Q14" s="159"/>
      <c r="R14" s="364"/>
    </row>
    <row r="15" spans="1:18" ht="20.100000000000001" customHeight="1" thickBot="1" x14ac:dyDescent="0.35">
      <c r="A15" s="214" t="s">
        <v>429</v>
      </c>
      <c r="B15" s="191"/>
      <c r="C15" s="192"/>
      <c r="D15" s="192"/>
      <c r="E15" s="193"/>
      <c r="F15" s="192"/>
      <c r="G15" s="186"/>
      <c r="H15" s="184"/>
      <c r="I15" s="127"/>
      <c r="J15" s="127"/>
      <c r="K15" s="127"/>
      <c r="L15" s="127"/>
      <c r="M15" s="127"/>
      <c r="N15" s="127"/>
      <c r="O15" s="127"/>
      <c r="P15" s="127"/>
      <c r="Q15" s="159"/>
      <c r="R15" s="364"/>
    </row>
    <row r="16" spans="1:18" ht="14.1" customHeight="1" x14ac:dyDescent="0.2">
      <c r="A16" s="271"/>
      <c r="B16" s="224"/>
      <c r="C16" s="225"/>
      <c r="D16" s="225" t="s">
        <v>457</v>
      </c>
      <c r="E16" s="459">
        <f>Lout1*1000000</f>
        <v>10.108108108108107</v>
      </c>
      <c r="F16" s="233" t="s">
        <v>412</v>
      </c>
      <c r="G16" s="186"/>
      <c r="H16" s="184"/>
      <c r="I16" s="127"/>
      <c r="J16" s="127"/>
      <c r="K16" s="127"/>
      <c r="L16" s="127"/>
      <c r="M16" s="127"/>
      <c r="N16" s="127"/>
      <c r="O16" s="127"/>
      <c r="P16" s="127"/>
      <c r="Q16" s="159"/>
      <c r="R16" s="364"/>
    </row>
    <row r="17" spans="1:19" ht="14.1" customHeight="1" x14ac:dyDescent="0.25">
      <c r="A17" s="183"/>
      <c r="B17" s="184"/>
      <c r="C17" s="181"/>
      <c r="D17" s="219" t="s">
        <v>765</v>
      </c>
      <c r="E17" s="185">
        <v>15</v>
      </c>
      <c r="F17" s="229" t="s">
        <v>412</v>
      </c>
      <c r="G17" s="186"/>
      <c r="H17" s="184"/>
      <c r="I17" s="127"/>
      <c r="J17" s="127"/>
      <c r="K17" s="127"/>
      <c r="L17" s="127"/>
      <c r="M17" s="127"/>
      <c r="N17" s="127"/>
      <c r="O17" s="127"/>
      <c r="P17" s="127"/>
      <c r="Q17" s="159"/>
      <c r="R17" s="364"/>
    </row>
    <row r="18" spans="1:19" ht="14.1" customHeight="1" x14ac:dyDescent="0.2">
      <c r="A18" s="183"/>
      <c r="B18" s="184"/>
      <c r="C18" s="181"/>
      <c r="D18" s="219" t="s">
        <v>458</v>
      </c>
      <c r="E18" s="185">
        <v>24.7</v>
      </c>
      <c r="F18" s="229" t="s">
        <v>115</v>
      </c>
      <c r="G18" s="186"/>
      <c r="H18" s="184"/>
      <c r="I18" s="127"/>
      <c r="J18" s="127"/>
      <c r="K18" s="127"/>
      <c r="L18" s="127"/>
      <c r="M18" s="127"/>
      <c r="N18" s="127"/>
      <c r="O18" s="127"/>
      <c r="P18" s="127"/>
      <c r="Q18" s="159"/>
      <c r="R18" s="364"/>
    </row>
    <row r="19" spans="1:19" ht="15" customHeight="1" x14ac:dyDescent="0.3">
      <c r="A19" s="183"/>
      <c r="B19" s="184"/>
      <c r="C19" s="181"/>
      <c r="D19" s="380" t="s">
        <v>563</v>
      </c>
      <c r="E19" s="216">
        <f>Iripple1</f>
        <v>0.4566672</v>
      </c>
      <c r="F19" s="234" t="s">
        <v>769</v>
      </c>
      <c r="G19" s="186"/>
      <c r="H19" s="184"/>
      <c r="I19" s="127"/>
      <c r="J19" s="127"/>
      <c r="K19" s="127"/>
      <c r="L19" s="127"/>
      <c r="M19" s="127"/>
      <c r="N19" s="127"/>
      <c r="O19" s="127"/>
      <c r="P19" s="127"/>
      <c r="Q19" s="159"/>
      <c r="R19" s="364"/>
    </row>
    <row r="20" spans="1:19" ht="15" customHeight="1" x14ac:dyDescent="0.3">
      <c r="A20" s="381"/>
      <c r="B20" s="184"/>
      <c r="C20" s="181"/>
      <c r="D20" s="181" t="s">
        <v>544</v>
      </c>
      <c r="E20" s="217">
        <f>Iripple1/Iout*100</f>
        <v>22.833359999999999</v>
      </c>
      <c r="F20" s="234" t="s">
        <v>299</v>
      </c>
      <c r="G20" s="186"/>
      <c r="H20" s="184"/>
      <c r="I20" s="127"/>
      <c r="J20" s="127"/>
      <c r="K20" s="127"/>
      <c r="L20" s="127"/>
      <c r="M20" s="127"/>
      <c r="N20" s="127"/>
      <c r="O20" s="127"/>
      <c r="P20" s="127"/>
      <c r="Q20" s="159"/>
      <c r="R20" s="364"/>
    </row>
    <row r="21" spans="1:19" ht="15" customHeight="1" thickBot="1" x14ac:dyDescent="0.25">
      <c r="A21" s="230"/>
      <c r="B21" s="231"/>
      <c r="C21" s="280"/>
      <c r="D21" s="511" t="s">
        <v>762</v>
      </c>
      <c r="E21" s="349">
        <v>0.2</v>
      </c>
      <c r="F21" s="512" t="s">
        <v>208</v>
      </c>
      <c r="G21" s="186"/>
      <c r="H21" s="184"/>
      <c r="I21" s="127"/>
      <c r="J21" s="127"/>
      <c r="K21" s="127"/>
      <c r="L21" s="127"/>
      <c r="M21" s="127"/>
      <c r="N21" s="127"/>
      <c r="O21" s="127"/>
      <c r="P21" s="127"/>
      <c r="Q21" s="159"/>
      <c r="R21" s="364"/>
    </row>
    <row r="22" spans="1:19" ht="14.1" customHeight="1" x14ac:dyDescent="0.2">
      <c r="A22" s="183"/>
      <c r="B22" s="184"/>
      <c r="C22" s="184"/>
      <c r="D22" s="184"/>
      <c r="E22" s="184"/>
      <c r="F22" s="184"/>
      <c r="G22" s="186"/>
      <c r="H22" s="184"/>
      <c r="I22" s="127"/>
      <c r="J22" s="127"/>
      <c r="K22" s="127"/>
      <c r="L22" s="127"/>
      <c r="M22" s="127"/>
      <c r="N22" s="127"/>
      <c r="O22" s="127"/>
      <c r="P22" s="127"/>
      <c r="Q22" s="159"/>
      <c r="R22" s="364"/>
    </row>
    <row r="23" spans="1:19" ht="20.100000000000001" customHeight="1" thickBot="1" x14ac:dyDescent="0.4">
      <c r="A23" s="214" t="s">
        <v>558</v>
      </c>
      <c r="B23" s="191"/>
      <c r="C23" s="184"/>
      <c r="D23" s="184"/>
      <c r="E23" s="184"/>
      <c r="F23" s="184"/>
      <c r="G23" s="186"/>
      <c r="H23" s="184"/>
      <c r="I23" s="127"/>
      <c r="J23" s="127"/>
      <c r="K23" s="127"/>
      <c r="L23" s="127"/>
      <c r="M23" s="127"/>
      <c r="N23" s="127"/>
      <c r="O23" s="127"/>
      <c r="P23" s="127"/>
      <c r="Q23" s="159"/>
      <c r="R23" s="364"/>
    </row>
    <row r="24" spans="1:19" ht="15" customHeight="1" x14ac:dyDescent="0.25">
      <c r="A24" s="396"/>
      <c r="B24" s="278"/>
      <c r="C24" s="397"/>
      <c r="D24" s="401" t="s">
        <v>597</v>
      </c>
      <c r="E24" s="403">
        <v>3.3</v>
      </c>
      <c r="F24" s="402" t="s">
        <v>115</v>
      </c>
      <c r="G24" s="186"/>
      <c r="H24" s="184"/>
      <c r="I24" s="127"/>
      <c r="J24" s="127"/>
      <c r="K24" s="127"/>
      <c r="L24" s="127"/>
      <c r="M24" s="127"/>
      <c r="N24" s="127"/>
      <c r="O24" s="127"/>
      <c r="P24" s="127"/>
      <c r="Q24" s="159"/>
      <c r="R24" s="364"/>
      <c r="S24" s="123" t="s">
        <v>383</v>
      </c>
    </row>
    <row r="25" spans="1:19" ht="15" customHeight="1" x14ac:dyDescent="0.2">
      <c r="A25" s="183"/>
      <c r="B25" s="184"/>
      <c r="C25" s="184"/>
      <c r="D25" s="219" t="s">
        <v>459</v>
      </c>
      <c r="E25" s="185">
        <v>2.6</v>
      </c>
      <c r="F25" s="229" t="s">
        <v>2</v>
      </c>
      <c r="G25" s="186"/>
      <c r="H25" s="184"/>
      <c r="I25" s="127"/>
      <c r="J25" s="127"/>
      <c r="K25" s="127"/>
      <c r="L25" s="127"/>
      <c r="M25" s="127"/>
      <c r="N25" s="127"/>
      <c r="O25" s="127"/>
      <c r="P25" s="127"/>
      <c r="Q25" s="159"/>
      <c r="R25" s="364"/>
    </row>
    <row r="26" spans="1:19" ht="15" customHeight="1" x14ac:dyDescent="0.3">
      <c r="A26" s="184"/>
      <c r="B26" s="184"/>
      <c r="C26" s="184"/>
      <c r="D26" s="181" t="s">
        <v>581</v>
      </c>
      <c r="E26" s="217">
        <f>IF(RDSON_sense=1, Rilim_Rdson, Rilim_shunt)</f>
        <v>237</v>
      </c>
      <c r="F26" s="234" t="s">
        <v>274</v>
      </c>
      <c r="G26" s="188"/>
      <c r="H26" s="184"/>
      <c r="I26" s="127"/>
      <c r="J26" s="127"/>
      <c r="K26" s="127"/>
      <c r="L26" s="127"/>
      <c r="M26" s="127"/>
      <c r="N26" s="127"/>
      <c r="O26" s="127"/>
      <c r="P26" s="127"/>
      <c r="Q26" s="159"/>
      <c r="R26" s="364"/>
    </row>
    <row r="27" spans="1:19" ht="14.1" customHeight="1" x14ac:dyDescent="0.3">
      <c r="A27" s="183"/>
      <c r="B27" s="184"/>
      <c r="C27" s="184"/>
      <c r="D27" s="181" t="s">
        <v>562</v>
      </c>
      <c r="E27" s="216">
        <f>'Variable Management'!B51</f>
        <v>3.5999999999999996</v>
      </c>
      <c r="F27" s="234" t="s">
        <v>2</v>
      </c>
      <c r="G27" s="184"/>
      <c r="H27" s="184"/>
      <c r="I27" s="127"/>
      <c r="J27" s="127"/>
      <c r="K27" s="127"/>
      <c r="L27" s="127"/>
      <c r="M27" s="127"/>
      <c r="N27" s="127"/>
      <c r="O27" s="127"/>
      <c r="P27" s="127"/>
      <c r="Q27" s="159"/>
      <c r="R27" s="364"/>
    </row>
    <row r="28" spans="1:19" ht="14.1" customHeight="1" thickBot="1" x14ac:dyDescent="0.35">
      <c r="A28" s="230"/>
      <c r="B28" s="231"/>
      <c r="C28" s="231"/>
      <c r="D28" s="398" t="s">
        <v>589</v>
      </c>
      <c r="E28" s="399">
        <f>_Rs3</f>
        <v>0.01</v>
      </c>
      <c r="F28" s="257" t="s">
        <v>208</v>
      </c>
      <c r="G28" s="184"/>
      <c r="H28" s="184"/>
      <c r="I28" s="127"/>
      <c r="J28" s="127"/>
      <c r="K28" s="127"/>
      <c r="L28" s="127"/>
      <c r="M28" s="127"/>
      <c r="N28" s="127"/>
      <c r="O28" s="127"/>
      <c r="P28" s="127"/>
      <c r="Q28" s="159"/>
      <c r="R28" s="364"/>
    </row>
    <row r="29" spans="1:19" ht="14.1" customHeight="1" x14ac:dyDescent="0.2">
      <c r="A29" s="277"/>
      <c r="B29" s="170"/>
      <c r="C29" s="170"/>
      <c r="D29" s="170"/>
      <c r="E29" s="170"/>
      <c r="F29" s="170"/>
      <c r="G29" s="184"/>
      <c r="H29" s="184"/>
      <c r="I29" s="127"/>
      <c r="J29" s="127"/>
      <c r="K29" s="127"/>
      <c r="L29" s="127"/>
      <c r="M29" s="127"/>
      <c r="N29" s="127"/>
      <c r="O29" s="127"/>
      <c r="P29" s="127"/>
      <c r="Q29" s="159"/>
      <c r="R29" s="364"/>
    </row>
    <row r="30" spans="1:19" ht="19.5" thickBot="1" x14ac:dyDescent="0.35">
      <c r="A30" s="214" t="s">
        <v>724</v>
      </c>
      <c r="B30" s="191"/>
      <c r="C30" s="192"/>
      <c r="D30" s="192"/>
      <c r="E30" s="193"/>
      <c r="F30" s="192"/>
      <c r="G30" s="184"/>
      <c r="H30" s="184"/>
      <c r="I30" s="127"/>
      <c r="J30" s="127"/>
      <c r="K30" s="127"/>
      <c r="L30" s="127"/>
      <c r="M30" s="127"/>
      <c r="N30" s="127"/>
      <c r="O30" s="127"/>
      <c r="P30" s="127"/>
      <c r="Q30" s="159"/>
      <c r="R30" s="364"/>
    </row>
    <row r="31" spans="1:19" ht="14.1" customHeight="1" x14ac:dyDescent="0.25">
      <c r="A31" s="250"/>
      <c r="B31" s="236"/>
      <c r="C31" s="225"/>
      <c r="D31" s="237" t="s">
        <v>460</v>
      </c>
      <c r="E31" s="238">
        <v>20</v>
      </c>
      <c r="F31" s="228" t="s">
        <v>770</v>
      </c>
      <c r="G31" s="184"/>
      <c r="H31" s="184"/>
      <c r="I31" s="127"/>
      <c r="J31" s="127"/>
      <c r="K31" s="127"/>
      <c r="L31" s="127"/>
      <c r="M31" s="127"/>
      <c r="N31" s="127"/>
      <c r="O31" s="127"/>
      <c r="P31" s="127"/>
      <c r="Q31" s="159"/>
      <c r="R31" s="364"/>
    </row>
    <row r="32" spans="1:19" ht="14.1" customHeight="1" x14ac:dyDescent="0.2">
      <c r="A32" s="183"/>
      <c r="B32" s="184"/>
      <c r="C32" s="181"/>
      <c r="D32" s="181" t="s">
        <v>461</v>
      </c>
      <c r="E32" s="217">
        <f>Coutmin*1000000</f>
        <v>5.7083400000000006</v>
      </c>
      <c r="F32" s="234" t="s">
        <v>413</v>
      </c>
      <c r="G32" s="184"/>
      <c r="H32" s="184"/>
      <c r="I32" s="127"/>
      <c r="J32" s="127"/>
      <c r="K32" s="127"/>
      <c r="L32" s="127"/>
      <c r="M32" s="127"/>
      <c r="N32" s="127"/>
      <c r="O32" s="127"/>
      <c r="P32" s="127"/>
      <c r="Q32" s="159"/>
      <c r="R32" s="364"/>
    </row>
    <row r="33" spans="1:18" ht="14.1" customHeight="1" x14ac:dyDescent="0.25">
      <c r="A33" s="183"/>
      <c r="B33" s="184"/>
      <c r="C33" s="181"/>
      <c r="D33" s="180" t="s">
        <v>728</v>
      </c>
      <c r="E33" s="185">
        <v>19.2</v>
      </c>
      <c r="F33" s="229" t="s">
        <v>413</v>
      </c>
      <c r="G33" s="186"/>
      <c r="H33" s="184"/>
      <c r="I33" s="127"/>
      <c r="J33" s="127"/>
      <c r="K33" s="127"/>
      <c r="L33" s="127"/>
      <c r="M33" s="127"/>
      <c r="N33" s="127"/>
      <c r="O33" s="127"/>
      <c r="P33" s="127"/>
      <c r="Q33" s="159"/>
      <c r="R33" s="364"/>
    </row>
    <row r="34" spans="1:18" ht="14.1" customHeight="1" x14ac:dyDescent="0.2">
      <c r="A34" s="183"/>
      <c r="B34" s="184"/>
      <c r="C34" s="181"/>
      <c r="D34" s="181" t="s">
        <v>462</v>
      </c>
      <c r="E34" s="218">
        <f>IF(ISERROR(Resrmax*1000),"N/A",Resrmax*1000)</f>
        <v>41.815186101789209</v>
      </c>
      <c r="F34" s="234" t="s">
        <v>115</v>
      </c>
      <c r="G34" s="186"/>
      <c r="H34" s="184"/>
      <c r="I34" s="127"/>
      <c r="J34" s="127"/>
      <c r="K34" s="127"/>
      <c r="L34" s="127"/>
      <c r="M34" s="127"/>
      <c r="N34" s="127"/>
      <c r="O34" s="127"/>
      <c r="P34" s="127"/>
      <c r="Q34" s="159"/>
      <c r="R34" s="364"/>
    </row>
    <row r="35" spans="1:18" ht="14.1" customHeight="1" x14ac:dyDescent="0.2">
      <c r="A35" s="183"/>
      <c r="B35" s="184"/>
      <c r="C35" s="181"/>
      <c r="D35" s="180" t="s">
        <v>463</v>
      </c>
      <c r="E35" s="187">
        <v>2</v>
      </c>
      <c r="F35" s="229" t="s">
        <v>115</v>
      </c>
      <c r="G35" s="186"/>
      <c r="H35" s="184"/>
      <c r="I35" s="127"/>
      <c r="J35" s="127"/>
      <c r="K35" s="127"/>
      <c r="L35" s="127"/>
      <c r="M35" s="127"/>
      <c r="N35" s="127"/>
      <c r="O35" s="127"/>
      <c r="P35" s="127"/>
      <c r="Q35" s="159"/>
      <c r="R35" s="364"/>
    </row>
    <row r="36" spans="1:18" ht="14.1" customHeight="1" x14ac:dyDescent="0.3">
      <c r="A36" s="183"/>
      <c r="B36" s="184"/>
      <c r="C36" s="184"/>
      <c r="D36" s="181" t="s">
        <v>464</v>
      </c>
      <c r="E36" s="217">
        <f>Vripple2*1000</f>
        <v>6.0159226650098834</v>
      </c>
      <c r="F36" s="234" t="s">
        <v>767</v>
      </c>
      <c r="G36" s="186"/>
      <c r="H36" s="184"/>
      <c r="I36" s="127"/>
      <c r="J36" s="127"/>
      <c r="K36" s="127"/>
      <c r="L36" s="127"/>
      <c r="M36" s="127"/>
      <c r="N36" s="127"/>
      <c r="O36" s="127"/>
      <c r="P36" s="127"/>
      <c r="Q36" s="159"/>
      <c r="R36" s="364"/>
    </row>
    <row r="37" spans="1:18" ht="14.1" customHeight="1" thickBot="1" x14ac:dyDescent="0.35">
      <c r="A37" s="230"/>
      <c r="B37" s="231"/>
      <c r="C37" s="231"/>
      <c r="D37" s="182" t="s">
        <v>465</v>
      </c>
      <c r="E37" s="235">
        <f>Icoutrms</f>
        <v>0.13182846542503635</v>
      </c>
      <c r="F37" s="232" t="s">
        <v>768</v>
      </c>
      <c r="G37" s="188"/>
      <c r="H37" s="184"/>
      <c r="I37" s="127"/>
      <c r="J37" s="127"/>
      <c r="K37" s="161"/>
      <c r="L37" s="127"/>
      <c r="M37" s="127"/>
      <c r="N37" s="127"/>
      <c r="O37" s="127"/>
      <c r="P37" s="127"/>
      <c r="Q37" s="159"/>
      <c r="R37" s="364"/>
    </row>
    <row r="38" spans="1:18" ht="14.1" customHeight="1" x14ac:dyDescent="0.2">
      <c r="A38" s="272"/>
      <c r="B38" s="194"/>
      <c r="C38" s="194"/>
      <c r="D38" s="194"/>
      <c r="E38" s="194"/>
      <c r="F38" s="194"/>
      <c r="G38" s="184"/>
      <c r="H38" s="184"/>
      <c r="I38" s="127"/>
      <c r="J38" s="127"/>
      <c r="K38" s="127"/>
      <c r="L38" s="127"/>
      <c r="M38" s="127"/>
      <c r="N38" s="127"/>
      <c r="O38" s="127"/>
      <c r="P38" s="127"/>
      <c r="Q38" s="159"/>
      <c r="R38" s="364"/>
    </row>
    <row r="39" spans="1:18" ht="19.5" thickBot="1" x14ac:dyDescent="0.35">
      <c r="A39" s="214" t="s">
        <v>725</v>
      </c>
      <c r="B39" s="191"/>
      <c r="C39" s="192"/>
      <c r="D39" s="192"/>
      <c r="E39" s="184"/>
      <c r="F39" s="184"/>
      <c r="G39" s="184"/>
      <c r="H39" s="184"/>
      <c r="I39" s="127"/>
      <c r="J39" s="127"/>
      <c r="K39" s="127"/>
      <c r="L39" s="162"/>
      <c r="M39" s="127"/>
      <c r="N39" s="127"/>
      <c r="O39" s="127"/>
      <c r="P39" s="127"/>
      <c r="Q39" s="159"/>
      <c r="R39" s="364"/>
    </row>
    <row r="40" spans="1:18" ht="14.1" customHeight="1" x14ac:dyDescent="0.25">
      <c r="A40" s="250"/>
      <c r="B40" s="236"/>
      <c r="C40" s="224"/>
      <c r="D40" s="226" t="s">
        <v>466</v>
      </c>
      <c r="E40" s="238">
        <v>100</v>
      </c>
      <c r="F40" s="228" t="s">
        <v>770</v>
      </c>
      <c r="G40" s="184"/>
      <c r="H40" s="184"/>
      <c r="I40" s="127"/>
      <c r="J40" s="163"/>
      <c r="K40" s="127"/>
      <c r="L40" s="127"/>
      <c r="M40" s="127"/>
      <c r="N40" s="127"/>
      <c r="O40" s="127"/>
      <c r="P40" s="127"/>
      <c r="Q40" s="159"/>
      <c r="R40" s="364"/>
    </row>
    <row r="41" spans="1:18" ht="14.1" customHeight="1" x14ac:dyDescent="0.2">
      <c r="A41" s="195"/>
      <c r="B41" s="192"/>
      <c r="C41" s="184"/>
      <c r="D41" s="181" t="s">
        <v>467</v>
      </c>
      <c r="E41" s="217">
        <f>'Variable Management'!B80*1000000</f>
        <v>9.050867135999999</v>
      </c>
      <c r="F41" s="234" t="s">
        <v>413</v>
      </c>
      <c r="G41" s="184"/>
      <c r="H41" s="184"/>
      <c r="I41" s="127"/>
      <c r="J41" s="163"/>
      <c r="K41" s="127"/>
      <c r="L41" s="127"/>
      <c r="M41" s="127"/>
      <c r="N41" s="127"/>
      <c r="O41" s="127"/>
      <c r="P41" s="127"/>
      <c r="Q41" s="159"/>
      <c r="R41" s="364"/>
    </row>
    <row r="42" spans="1:18" ht="14.1" customHeight="1" x14ac:dyDescent="0.25">
      <c r="A42" s="183"/>
      <c r="B42" s="184"/>
      <c r="C42" s="192"/>
      <c r="D42" s="219" t="s">
        <v>729</v>
      </c>
      <c r="E42" s="185">
        <v>19.2</v>
      </c>
      <c r="F42" s="229" t="s">
        <v>413</v>
      </c>
      <c r="G42" s="184"/>
      <c r="H42" s="184"/>
      <c r="I42" s="127"/>
      <c r="J42" s="163"/>
      <c r="K42" s="127"/>
      <c r="L42" s="127"/>
      <c r="M42" s="127"/>
      <c r="N42" s="127"/>
      <c r="O42" s="127"/>
      <c r="P42" s="127"/>
      <c r="Q42" s="159"/>
      <c r="R42" s="364"/>
    </row>
    <row r="43" spans="1:18" ht="14.1" customHeight="1" x14ac:dyDescent="0.2">
      <c r="A43" s="183"/>
      <c r="B43" s="184"/>
      <c r="C43" s="192"/>
      <c r="D43" s="181" t="s">
        <v>462</v>
      </c>
      <c r="E43" s="218">
        <f>IF(CinEsrMax*1000&lt;0,"N/A",CinEsrMax*1000)</f>
        <v>23.721792374355442</v>
      </c>
      <c r="F43" s="234" t="s">
        <v>115</v>
      </c>
      <c r="G43" s="184"/>
      <c r="H43" s="184"/>
      <c r="I43" s="127"/>
      <c r="J43" s="164"/>
      <c r="K43" s="127"/>
      <c r="L43" s="127"/>
      <c r="M43" s="127"/>
      <c r="N43" s="127"/>
      <c r="O43" s="127"/>
      <c r="P43" s="127"/>
      <c r="Q43" s="159" t="s">
        <v>342</v>
      </c>
      <c r="R43" s="364"/>
    </row>
    <row r="44" spans="1:18" ht="14.1" customHeight="1" x14ac:dyDescent="0.2">
      <c r="A44" s="183"/>
      <c r="B44" s="184"/>
      <c r="C44" s="192"/>
      <c r="D44" s="219" t="s">
        <v>468</v>
      </c>
      <c r="E44" s="185">
        <v>3.2</v>
      </c>
      <c r="F44" s="229" t="s">
        <v>115</v>
      </c>
      <c r="G44" s="184"/>
      <c r="H44" s="184"/>
      <c r="I44" s="127"/>
      <c r="J44" s="164"/>
      <c r="K44" s="127"/>
      <c r="L44" s="127"/>
      <c r="M44" s="127"/>
      <c r="N44" s="127"/>
      <c r="O44" s="127"/>
      <c r="P44" s="127"/>
      <c r="Q44" s="159"/>
      <c r="R44" s="364"/>
    </row>
    <row r="45" spans="1:18" ht="14.1" customHeight="1" x14ac:dyDescent="0.3">
      <c r="A45" s="183"/>
      <c r="B45" s="184"/>
      <c r="C45" s="192"/>
      <c r="D45" s="181" t="s">
        <v>469</v>
      </c>
      <c r="E45" s="217">
        <f>Vinripple2*1000</f>
        <v>54.270600519999995</v>
      </c>
      <c r="F45" s="234" t="s">
        <v>767</v>
      </c>
      <c r="G45" s="184"/>
      <c r="H45" s="184"/>
      <c r="I45" s="127"/>
      <c r="J45" s="164"/>
      <c r="K45" s="127"/>
      <c r="L45" s="127"/>
      <c r="M45" s="127"/>
      <c r="N45" s="127"/>
      <c r="O45" s="127"/>
      <c r="P45" s="127"/>
      <c r="Q45" s="159"/>
      <c r="R45" s="364"/>
    </row>
    <row r="46" spans="1:18" ht="14.1" customHeight="1" thickBot="1" x14ac:dyDescent="0.35">
      <c r="A46" s="230"/>
      <c r="B46" s="231"/>
      <c r="C46" s="231"/>
      <c r="D46" s="182" t="s">
        <v>470</v>
      </c>
      <c r="E46" s="235">
        <f>Icinrms</f>
        <v>0.95136045408667258</v>
      </c>
      <c r="F46" s="232" t="s">
        <v>768</v>
      </c>
      <c r="G46" s="184"/>
      <c r="H46" s="184"/>
      <c r="I46" s="127"/>
      <c r="J46" s="127"/>
      <c r="K46" s="127"/>
      <c r="L46" s="127"/>
      <c r="M46" s="127"/>
      <c r="N46" s="127"/>
      <c r="O46" s="127"/>
      <c r="P46" s="127"/>
      <c r="Q46" s="159"/>
      <c r="R46" s="364"/>
    </row>
    <row r="47" spans="1:18" ht="14.1" customHeight="1" x14ac:dyDescent="0.2">
      <c r="A47" s="183"/>
      <c r="B47" s="184"/>
      <c r="C47" s="184"/>
      <c r="D47" s="181"/>
      <c r="E47" s="184"/>
      <c r="F47" s="184"/>
      <c r="G47" s="184"/>
      <c r="H47" s="184"/>
      <c r="I47" s="127"/>
      <c r="J47" s="127"/>
      <c r="K47" s="127"/>
      <c r="L47" s="127"/>
      <c r="M47" s="127"/>
      <c r="N47" s="127"/>
      <c r="O47" s="127"/>
      <c r="P47" s="127"/>
      <c r="Q47" s="159"/>
      <c r="R47" s="364"/>
    </row>
    <row r="48" spans="1:18" ht="19.5" thickBot="1" x14ac:dyDescent="0.35">
      <c r="A48" s="214" t="s">
        <v>605</v>
      </c>
      <c r="B48" s="191"/>
      <c r="C48" s="184"/>
      <c r="D48" s="181"/>
      <c r="E48" s="184"/>
      <c r="F48" s="184"/>
      <c r="G48" s="184"/>
      <c r="H48" s="196"/>
      <c r="I48" s="170"/>
      <c r="J48" s="170"/>
      <c r="K48" s="170"/>
      <c r="L48" s="170"/>
      <c r="M48" s="170"/>
      <c r="N48" s="127"/>
      <c r="O48" s="127"/>
      <c r="P48" s="127"/>
      <c r="Q48" s="159"/>
      <c r="R48" s="364"/>
    </row>
    <row r="49" spans="1:35" ht="14.1" customHeight="1" x14ac:dyDescent="0.25">
      <c r="A49" s="271"/>
      <c r="B49" s="224"/>
      <c r="C49" s="224"/>
      <c r="D49" s="239" t="s">
        <v>608</v>
      </c>
      <c r="E49" s="227">
        <v>4.5</v>
      </c>
      <c r="F49" s="228" t="s">
        <v>290</v>
      </c>
      <c r="G49" s="184"/>
      <c r="H49" s="194"/>
      <c r="I49" s="170"/>
      <c r="J49" s="170"/>
      <c r="K49" s="170"/>
      <c r="L49" s="170"/>
      <c r="M49" s="170"/>
      <c r="N49" s="127"/>
      <c r="O49" s="127"/>
      <c r="P49" s="127"/>
      <c r="Q49" s="159"/>
      <c r="R49" s="364"/>
    </row>
    <row r="50" spans="1:35" ht="14.1" customHeight="1" x14ac:dyDescent="0.3">
      <c r="A50" s="183"/>
      <c r="B50" s="184"/>
      <c r="C50" s="184"/>
      <c r="D50" s="181" t="s">
        <v>609</v>
      </c>
      <c r="E50" s="218">
        <f>Css_u*1000000000</f>
        <v>56</v>
      </c>
      <c r="F50" s="234" t="s">
        <v>278</v>
      </c>
      <c r="G50" s="184"/>
      <c r="H50" s="194"/>
      <c r="I50" s="170"/>
      <c r="J50" s="170"/>
      <c r="K50" s="170"/>
      <c r="L50" s="170"/>
      <c r="M50" s="170"/>
      <c r="N50" s="127"/>
      <c r="O50" s="127"/>
      <c r="P50" s="127"/>
      <c r="Q50" s="159"/>
      <c r="R50" s="364"/>
    </row>
    <row r="51" spans="1:35" ht="14.1" customHeight="1" x14ac:dyDescent="0.2">
      <c r="A51" s="183"/>
      <c r="B51" s="184"/>
      <c r="C51" s="192"/>
      <c r="D51" s="180" t="s">
        <v>606</v>
      </c>
      <c r="E51" s="308">
        <v>19.5</v>
      </c>
      <c r="F51" s="229" t="s">
        <v>0</v>
      </c>
      <c r="G51" s="184"/>
      <c r="H51" s="184"/>
      <c r="I51" s="127"/>
      <c r="J51" s="125"/>
      <c r="K51" s="179"/>
      <c r="L51" s="127"/>
      <c r="M51" s="170"/>
      <c r="N51" s="127"/>
      <c r="O51" s="127"/>
      <c r="P51" s="127"/>
      <c r="Q51" s="159"/>
      <c r="R51" s="364"/>
    </row>
    <row r="52" spans="1:35" ht="14.1" customHeight="1" x14ac:dyDescent="0.2">
      <c r="A52" s="183"/>
      <c r="B52" s="184"/>
      <c r="C52" s="192"/>
      <c r="D52" s="180" t="s">
        <v>607</v>
      </c>
      <c r="E52" s="308">
        <v>19</v>
      </c>
      <c r="F52" s="229" t="s">
        <v>0</v>
      </c>
      <c r="G52" s="184"/>
      <c r="H52" s="184"/>
      <c r="I52" s="127"/>
      <c r="J52" s="125"/>
      <c r="K52" s="179"/>
      <c r="L52" s="127"/>
      <c r="M52" s="170"/>
      <c r="N52" s="127"/>
      <c r="O52" s="127"/>
      <c r="P52" s="127"/>
      <c r="Q52" s="159"/>
      <c r="R52" s="364"/>
    </row>
    <row r="53" spans="1:35" ht="14.1" customHeight="1" x14ac:dyDescent="0.3">
      <c r="A53" s="183"/>
      <c r="B53" s="184"/>
      <c r="C53" s="184"/>
      <c r="D53" s="181" t="s">
        <v>590</v>
      </c>
      <c r="E53" s="181">
        <f>'Variable Management'!F97</f>
        <v>49.900000000000006</v>
      </c>
      <c r="F53" s="234" t="s">
        <v>116</v>
      </c>
      <c r="G53" s="184"/>
      <c r="H53" s="184"/>
      <c r="I53" s="127"/>
      <c r="J53" s="125"/>
      <c r="K53" s="179"/>
      <c r="L53" s="127"/>
      <c r="M53" s="170"/>
      <c r="N53" s="127"/>
      <c r="O53" s="127"/>
      <c r="P53" s="127"/>
      <c r="Q53" s="159"/>
      <c r="R53" s="364"/>
    </row>
    <row r="54" spans="1:35" ht="14.1" customHeight="1" thickBot="1" x14ac:dyDescent="0.35">
      <c r="A54" s="230"/>
      <c r="B54" s="231"/>
      <c r="C54" s="231"/>
      <c r="D54" s="182" t="s">
        <v>591</v>
      </c>
      <c r="E54" s="182">
        <f>'Variable Management'!F98</f>
        <v>3.24</v>
      </c>
      <c r="F54" s="232" t="s">
        <v>116</v>
      </c>
      <c r="G54" s="184"/>
      <c r="H54" s="184"/>
      <c r="I54" s="127"/>
      <c r="J54" s="125"/>
      <c r="K54" s="179"/>
      <c r="L54" s="127"/>
      <c r="M54" s="170"/>
      <c r="N54" s="127"/>
      <c r="O54" s="127"/>
      <c r="P54" s="127"/>
      <c r="Q54" s="159"/>
      <c r="R54" s="364"/>
    </row>
    <row r="55" spans="1:35" ht="14.1" customHeight="1" x14ac:dyDescent="0.2">
      <c r="A55" s="183" t="s">
        <v>726</v>
      </c>
      <c r="B55" s="184"/>
      <c r="C55" s="184"/>
      <c r="D55" s="181"/>
      <c r="E55" s="197"/>
      <c r="F55" s="184"/>
      <c r="G55" s="184"/>
      <c r="H55" s="184"/>
      <c r="I55" s="127"/>
      <c r="J55" s="125"/>
      <c r="K55" s="179"/>
      <c r="L55" s="127"/>
      <c r="M55" s="170"/>
      <c r="N55" s="127"/>
      <c r="O55" s="127"/>
      <c r="P55" s="127"/>
      <c r="Q55" s="159"/>
      <c r="R55" s="364"/>
    </row>
    <row r="56" spans="1:35" ht="14.1" customHeight="1" x14ac:dyDescent="0.2">
      <c r="A56" s="272" t="s">
        <v>771</v>
      </c>
      <c r="B56" s="170"/>
      <c r="C56" s="170"/>
      <c r="D56" s="170"/>
      <c r="E56" s="170"/>
      <c r="F56" s="170"/>
      <c r="G56" s="184"/>
      <c r="H56" s="184"/>
      <c r="I56" s="127"/>
      <c r="J56" s="125"/>
      <c r="K56" s="179"/>
      <c r="L56" s="127"/>
      <c r="M56" s="170"/>
      <c r="N56" s="127"/>
      <c r="O56" s="127"/>
      <c r="P56" s="127"/>
      <c r="Q56" s="159"/>
      <c r="R56" s="364"/>
    </row>
    <row r="57" spans="1:35" ht="14.1" customHeight="1" x14ac:dyDescent="0.2">
      <c r="A57" s="277"/>
      <c r="B57" s="184"/>
      <c r="C57" s="184"/>
      <c r="D57" s="181"/>
      <c r="E57" s="197"/>
      <c r="F57" s="184"/>
      <c r="G57" s="184"/>
      <c r="H57" s="184"/>
      <c r="I57" s="127"/>
      <c r="J57" s="125"/>
      <c r="K57" s="179"/>
      <c r="L57" s="127"/>
      <c r="M57" s="170"/>
      <c r="N57" s="127"/>
      <c r="O57" s="127"/>
      <c r="P57" s="127"/>
      <c r="Q57" s="159"/>
      <c r="R57" s="364"/>
    </row>
    <row r="58" spans="1:35" ht="24.95" customHeight="1" thickBot="1" x14ac:dyDescent="0.25">
      <c r="A58" s="270" t="s">
        <v>455</v>
      </c>
      <c r="B58" s="199"/>
      <c r="C58" s="192"/>
      <c r="D58" s="192"/>
      <c r="E58" s="193"/>
      <c r="F58" s="192"/>
      <c r="G58" s="184"/>
      <c r="H58" s="184"/>
      <c r="I58" s="127"/>
      <c r="J58" s="127"/>
      <c r="K58" s="127"/>
      <c r="L58" s="127"/>
      <c r="M58" s="127"/>
      <c r="N58" s="127"/>
      <c r="O58" s="127"/>
      <c r="P58" s="127"/>
      <c r="Q58" s="159"/>
      <c r="R58" s="365"/>
      <c r="S58" s="85"/>
      <c r="T58" s="85"/>
      <c r="W58" s="85"/>
      <c r="X58" s="85"/>
      <c r="Y58" s="85"/>
      <c r="AB58" s="85"/>
      <c r="AC58" s="85"/>
      <c r="AD58" s="85"/>
      <c r="AG58" s="85"/>
      <c r="AH58" s="85"/>
      <c r="AI58" s="85"/>
    </row>
    <row r="59" spans="1:35" ht="14.1" customHeight="1" x14ac:dyDescent="0.2">
      <c r="A59" s="271"/>
      <c r="B59" s="224"/>
      <c r="C59" s="225"/>
      <c r="D59" s="225" t="s">
        <v>471</v>
      </c>
      <c r="E59" s="241">
        <f>Fo/1000</f>
        <v>9.4199174782096478</v>
      </c>
      <c r="F59" s="233" t="s">
        <v>3</v>
      </c>
      <c r="G59" s="184"/>
      <c r="H59" s="184"/>
      <c r="I59" s="127"/>
      <c r="J59" s="127"/>
      <c r="K59" s="127"/>
      <c r="L59" s="127"/>
      <c r="M59" s="127"/>
      <c r="N59" s="127"/>
      <c r="O59" s="127"/>
      <c r="P59" s="127"/>
      <c r="Q59" s="159"/>
      <c r="R59" s="365"/>
      <c r="S59" s="85"/>
      <c r="T59" s="85"/>
      <c r="W59" s="85"/>
      <c r="X59" s="85"/>
      <c r="Y59" s="85"/>
      <c r="AB59" s="85"/>
      <c r="AC59" s="85"/>
      <c r="AD59" s="85"/>
      <c r="AG59" s="85"/>
      <c r="AH59" s="85"/>
      <c r="AI59" s="85"/>
    </row>
    <row r="60" spans="1:35" ht="14.1" customHeight="1" x14ac:dyDescent="0.2">
      <c r="A60" s="183"/>
      <c r="B60" s="184"/>
      <c r="C60" s="181"/>
      <c r="D60" s="181" t="s">
        <v>472</v>
      </c>
      <c r="E60" s="217">
        <f>Fesr/1000</f>
        <v>4144.6599810874059</v>
      </c>
      <c r="F60" s="234" t="s">
        <v>3</v>
      </c>
      <c r="G60" s="184"/>
      <c r="H60" s="184"/>
      <c r="I60" s="127"/>
      <c r="J60" s="127"/>
      <c r="K60" s="127"/>
      <c r="L60" s="127"/>
      <c r="M60" s="127"/>
      <c r="N60" s="127"/>
      <c r="O60" s="127"/>
      <c r="P60" s="127"/>
      <c r="Q60" s="159"/>
      <c r="R60" s="365"/>
      <c r="S60" s="85"/>
      <c r="T60" s="85"/>
      <c r="W60" s="85"/>
      <c r="X60" s="85"/>
      <c r="Y60" s="85"/>
      <c r="AB60" s="85"/>
      <c r="AC60" s="85"/>
      <c r="AD60" s="85"/>
      <c r="AG60" s="85"/>
      <c r="AH60" s="85"/>
      <c r="AI60" s="85"/>
    </row>
    <row r="61" spans="1:35" ht="14.1" customHeight="1" x14ac:dyDescent="0.2">
      <c r="A61" s="183"/>
      <c r="B61" s="184"/>
      <c r="C61" s="181"/>
      <c r="D61" s="180" t="s">
        <v>481</v>
      </c>
      <c r="E61" s="220">
        <v>30</v>
      </c>
      <c r="F61" s="404" t="s">
        <v>604</v>
      </c>
      <c r="G61" s="184"/>
      <c r="H61" s="184"/>
      <c r="I61" s="127"/>
      <c r="J61" s="127"/>
      <c r="K61" s="127"/>
      <c r="L61" s="127"/>
      <c r="M61" s="127"/>
      <c r="N61" s="127"/>
      <c r="O61" s="127"/>
      <c r="P61" s="127"/>
      <c r="Q61" s="159"/>
      <c r="R61" s="365"/>
      <c r="S61" s="85"/>
      <c r="T61" s="85"/>
      <c r="W61" s="85"/>
      <c r="X61" s="85"/>
      <c r="Y61" s="85"/>
      <c r="AB61" s="85"/>
      <c r="AC61" s="85"/>
      <c r="AD61" s="85"/>
      <c r="AG61" s="85"/>
      <c r="AH61" s="85"/>
      <c r="AI61" s="85"/>
    </row>
    <row r="62" spans="1:35" ht="14.1" customHeight="1" x14ac:dyDescent="0.2">
      <c r="A62" s="183"/>
      <c r="B62" s="184"/>
      <c r="C62" s="181"/>
      <c r="D62" s="181" t="s">
        <v>473</v>
      </c>
      <c r="E62" s="215">
        <f>Kmidband</f>
        <v>0.21231608500036678</v>
      </c>
      <c r="F62" s="234" t="s">
        <v>49</v>
      </c>
      <c r="G62" s="184"/>
      <c r="H62" s="184"/>
      <c r="I62" s="127"/>
      <c r="J62" s="127"/>
      <c r="K62" s="127"/>
      <c r="L62" s="127"/>
      <c r="M62" s="127"/>
      <c r="N62" s="127"/>
      <c r="O62" s="127"/>
      <c r="P62" s="127"/>
      <c r="Q62" s="159"/>
      <c r="R62" s="365"/>
      <c r="S62" s="85"/>
      <c r="T62" s="85"/>
      <c r="W62" s="85"/>
      <c r="X62" s="85"/>
      <c r="Y62" s="85"/>
      <c r="AB62" s="85"/>
      <c r="AC62" s="85"/>
      <c r="AD62" s="85"/>
      <c r="AG62" s="85"/>
      <c r="AH62" s="85"/>
      <c r="AI62" s="85"/>
    </row>
    <row r="63" spans="1:35" ht="15.95" customHeight="1" x14ac:dyDescent="0.25">
      <c r="A63" s="183"/>
      <c r="B63" s="184"/>
      <c r="C63" s="181"/>
      <c r="D63" s="180" t="s">
        <v>592</v>
      </c>
      <c r="E63" s="221">
        <v>18</v>
      </c>
      <c r="F63" s="229" t="s">
        <v>116</v>
      </c>
      <c r="G63" s="184"/>
      <c r="H63" s="184"/>
      <c r="I63" s="127"/>
      <c r="J63" s="127"/>
      <c r="K63" s="127"/>
      <c r="L63" s="127"/>
      <c r="M63" s="127"/>
      <c r="N63" s="127"/>
      <c r="O63" s="127"/>
      <c r="P63" s="127"/>
      <c r="Q63" s="159"/>
      <c r="R63" s="365"/>
      <c r="S63" s="85"/>
      <c r="T63" s="85"/>
      <c r="W63" s="85"/>
      <c r="X63" s="85"/>
      <c r="Y63" s="85"/>
      <c r="AB63" s="85"/>
      <c r="AC63" s="85"/>
      <c r="AD63" s="85"/>
      <c r="AG63" s="85"/>
      <c r="AH63" s="85"/>
      <c r="AI63" s="85"/>
    </row>
    <row r="64" spans="1:35" ht="15.95" customHeight="1" x14ac:dyDescent="0.3">
      <c r="A64" s="381"/>
      <c r="B64" s="184"/>
      <c r="C64" s="181"/>
      <c r="D64" s="181" t="s">
        <v>593</v>
      </c>
      <c r="E64" s="181">
        <f>IF(Vout=Vref,"OPEN",Rfb2_u/1000)</f>
        <v>3.32</v>
      </c>
      <c r="F64" s="234" t="str">
        <f>IF(Vout=Vref,"","kΩ")</f>
        <v>kΩ</v>
      </c>
      <c r="G64" s="184"/>
      <c r="H64" s="184"/>
      <c r="I64" s="127"/>
      <c r="J64" s="127"/>
      <c r="K64" s="127"/>
      <c r="L64" s="127"/>
      <c r="M64" s="127"/>
      <c r="N64" s="127"/>
      <c r="O64" s="127"/>
      <c r="P64" s="127"/>
      <c r="Q64" s="159"/>
      <c r="R64" s="365"/>
      <c r="S64" s="85"/>
      <c r="T64" s="85"/>
      <c r="W64" s="85"/>
      <c r="X64" s="85"/>
      <c r="Y64" s="85"/>
      <c r="AB64" s="85"/>
      <c r="AC64" s="85"/>
      <c r="AD64" s="85"/>
      <c r="AG64" s="85"/>
      <c r="AH64" s="85"/>
      <c r="AI64" s="85"/>
    </row>
    <row r="65" spans="1:35" ht="15.95" customHeight="1" thickBot="1" x14ac:dyDescent="0.35">
      <c r="A65" s="230"/>
      <c r="B65" s="280"/>
      <c r="C65" s="280"/>
      <c r="D65" s="398" t="s">
        <v>699</v>
      </c>
      <c r="E65" s="489">
        <f>'Variable Management'!B129</f>
        <v>5.1373493975903619</v>
      </c>
      <c r="F65" s="257" t="s">
        <v>0</v>
      </c>
      <c r="G65" s="184"/>
      <c r="H65" s="184"/>
      <c r="I65" s="127"/>
      <c r="J65" s="127"/>
      <c r="K65" s="127"/>
      <c r="L65" s="127"/>
      <c r="M65" s="127"/>
      <c r="N65" s="127"/>
      <c r="O65" s="127"/>
      <c r="P65" s="127"/>
      <c r="Q65" s="159"/>
      <c r="R65" s="365"/>
      <c r="S65" s="85"/>
      <c r="T65" s="85"/>
      <c r="W65" s="85"/>
      <c r="X65" s="85"/>
      <c r="Y65" s="85"/>
      <c r="AB65" s="85"/>
      <c r="AC65" s="85"/>
      <c r="AD65" s="85"/>
      <c r="AG65" s="85"/>
      <c r="AH65" s="85"/>
      <c r="AI65" s="85"/>
    </row>
    <row r="66" spans="1:35" ht="13.5" thickBot="1" x14ac:dyDescent="0.25">
      <c r="A66" s="183"/>
      <c r="B66" s="184"/>
      <c r="C66" s="181"/>
      <c r="D66" s="200"/>
      <c r="E66" s="201"/>
      <c r="F66" s="202"/>
      <c r="G66" s="184"/>
      <c r="H66" s="184"/>
      <c r="I66" s="127"/>
      <c r="J66" s="127"/>
      <c r="K66" s="127"/>
      <c r="L66" s="127"/>
      <c r="M66" s="127"/>
      <c r="N66" s="127"/>
      <c r="O66" s="127"/>
      <c r="P66" s="127"/>
      <c r="Q66" s="159"/>
      <c r="R66" s="365"/>
      <c r="S66" s="85"/>
      <c r="T66" s="85"/>
      <c r="W66" s="85"/>
      <c r="X66" s="85"/>
      <c r="Y66" s="85"/>
      <c r="AB66" s="85"/>
      <c r="AC66" s="85"/>
      <c r="AD66" s="85"/>
      <c r="AG66" s="85"/>
      <c r="AH66" s="85"/>
      <c r="AI66" s="85"/>
    </row>
    <row r="67" spans="1:35" ht="15.95" customHeight="1" x14ac:dyDescent="0.2">
      <c r="A67" s="348" t="s">
        <v>727</v>
      </c>
      <c r="B67" s="278"/>
      <c r="C67" s="278"/>
      <c r="D67" s="281" t="s">
        <v>533</v>
      </c>
      <c r="E67" s="282">
        <v>1</v>
      </c>
      <c r="F67" s="284" t="str">
        <f>"      kHz  "</f>
        <v xml:space="preserve">      kHz  </v>
      </c>
      <c r="G67" s="204"/>
      <c r="H67" s="205"/>
      <c r="I67" s="127"/>
      <c r="J67" s="127"/>
      <c r="K67" s="127"/>
      <c r="L67" s="127"/>
      <c r="M67" s="127"/>
      <c r="N67" s="127"/>
      <c r="O67" s="127"/>
      <c r="P67" s="127"/>
      <c r="Q67" s="159"/>
      <c r="R67" s="365"/>
      <c r="S67" s="85"/>
      <c r="T67" s="85"/>
      <c r="W67" s="85"/>
      <c r="X67" s="85"/>
      <c r="Y67" s="85"/>
      <c r="AB67" s="85"/>
      <c r="AC67" s="85"/>
      <c r="AD67" s="85"/>
      <c r="AG67" s="85"/>
      <c r="AH67" s="85"/>
      <c r="AI67" s="85"/>
    </row>
    <row r="68" spans="1:35" ht="15.95" customHeight="1" x14ac:dyDescent="0.2">
      <c r="A68" s="354" t="str">
        <f>" Baseline P/Z Frequencies:"</f>
        <v xml:space="preserve"> Baseline P/Z Frequencies:</v>
      </c>
      <c r="B68" s="170"/>
      <c r="C68" s="170"/>
      <c r="D68" s="203" t="s">
        <v>534</v>
      </c>
      <c r="E68" s="222">
        <v>7</v>
      </c>
      <c r="F68" s="240" t="str">
        <f>"      kHz"</f>
        <v xml:space="preserve">      kHz</v>
      </c>
      <c r="G68" s="204"/>
      <c r="H68" s="205"/>
      <c r="I68" s="127"/>
      <c r="J68" s="127"/>
      <c r="K68" s="127"/>
      <c r="L68" s="127"/>
      <c r="M68" s="127"/>
      <c r="N68" s="127"/>
      <c r="O68" s="127"/>
      <c r="P68" s="127"/>
      <c r="Q68" s="159"/>
      <c r="R68" s="365"/>
      <c r="S68" s="85"/>
      <c r="T68" s="85"/>
      <c r="W68" s="85"/>
      <c r="X68" s="85"/>
      <c r="Y68" s="85"/>
      <c r="AB68" s="85"/>
      <c r="AC68" s="85"/>
      <c r="AD68" s="85"/>
      <c r="AG68" s="85"/>
      <c r="AH68" s="85"/>
      <c r="AI68" s="85"/>
    </row>
    <row r="69" spans="1:35" ht="15.95" customHeight="1" x14ac:dyDescent="0.2">
      <c r="A69" s="277"/>
      <c r="B69" s="170"/>
      <c r="C69" s="170"/>
      <c r="D69" s="206" t="s">
        <v>531</v>
      </c>
      <c r="E69" s="223">
        <v>250</v>
      </c>
      <c r="F69" s="240" t="str">
        <f>"      kHz"</f>
        <v xml:space="preserve">      kHz</v>
      </c>
      <c r="G69" s="207"/>
      <c r="H69" s="205"/>
      <c r="I69" s="127"/>
      <c r="J69" s="127"/>
      <c r="K69" s="127"/>
      <c r="L69" s="127"/>
      <c r="M69" s="127"/>
      <c r="N69" s="127"/>
      <c r="O69" s="127"/>
      <c r="P69" s="127"/>
      <c r="Q69" s="159"/>
      <c r="R69" s="365"/>
      <c r="S69" s="85"/>
      <c r="T69" s="85"/>
      <c r="W69" s="85"/>
      <c r="X69" s="85"/>
      <c r="Y69" s="85"/>
      <c r="AB69" s="85"/>
      <c r="AC69" s="85"/>
      <c r="AD69" s="85"/>
      <c r="AG69" s="85"/>
      <c r="AH69" s="85"/>
      <c r="AI69" s="85"/>
    </row>
    <row r="70" spans="1:35" ht="15.95" customHeight="1" thickBot="1" x14ac:dyDescent="0.25">
      <c r="A70" s="279"/>
      <c r="B70" s="280"/>
      <c r="C70" s="280"/>
      <c r="D70" s="267" t="s">
        <v>532</v>
      </c>
      <c r="E70" s="268">
        <v>250</v>
      </c>
      <c r="F70" s="269" t="str">
        <f>"      kHz"</f>
        <v xml:space="preserve">      kHz</v>
      </c>
      <c r="G70" s="207"/>
      <c r="H70" s="205"/>
      <c r="I70" s="127"/>
      <c r="J70" s="127"/>
      <c r="K70" s="127"/>
      <c r="L70" s="127"/>
      <c r="M70" s="127"/>
      <c r="N70" s="127"/>
      <c r="O70" s="127"/>
      <c r="P70" s="127"/>
      <c r="Q70" s="159"/>
      <c r="R70" s="365"/>
      <c r="S70" s="85"/>
      <c r="T70" s="85"/>
      <c r="W70" s="85"/>
      <c r="X70" s="85"/>
      <c r="Y70" s="85"/>
      <c r="AB70" s="85"/>
      <c r="AC70" s="85"/>
      <c r="AD70" s="85"/>
      <c r="AG70" s="85"/>
      <c r="AH70" s="85"/>
      <c r="AI70" s="85"/>
    </row>
    <row r="71" spans="1:35" ht="15.75" customHeight="1" x14ac:dyDescent="0.2">
      <c r="A71" s="273"/>
      <c r="B71" s="208"/>
      <c r="C71" s="209"/>
      <c r="D71" s="194"/>
      <c r="E71" s="194"/>
      <c r="F71" s="194"/>
      <c r="G71" s="207"/>
      <c r="H71" s="205"/>
      <c r="I71" s="127"/>
      <c r="J71" s="127"/>
      <c r="K71" s="127"/>
      <c r="L71" s="127"/>
      <c r="M71" s="127"/>
      <c r="N71" s="127"/>
      <c r="O71" s="127"/>
      <c r="P71" s="127"/>
      <c r="Q71" s="159"/>
      <c r="R71" s="365"/>
      <c r="S71" s="85"/>
      <c r="T71" s="85"/>
      <c r="W71" s="85"/>
      <c r="X71" s="85"/>
      <c r="Y71" s="85"/>
      <c r="AB71" s="85"/>
      <c r="AC71" s="85"/>
      <c r="AD71" s="85"/>
      <c r="AG71" s="85"/>
      <c r="AH71" s="85"/>
      <c r="AI71" s="85"/>
    </row>
    <row r="72" spans="1:35" ht="18" customHeight="1" x14ac:dyDescent="0.2">
      <c r="A72" s="195" t="s">
        <v>443</v>
      </c>
      <c r="B72" s="210"/>
      <c r="C72" s="181"/>
      <c r="D72" s="200"/>
      <c r="E72" s="201"/>
      <c r="F72" s="202"/>
      <c r="G72" s="211"/>
      <c r="H72" s="184"/>
      <c r="I72" s="127"/>
      <c r="J72" s="127"/>
      <c r="K72" s="127"/>
      <c r="L72" s="127"/>
      <c r="M72" s="127"/>
      <c r="N72" s="127"/>
      <c r="O72" s="127"/>
      <c r="P72" s="127"/>
      <c r="Q72" s="159"/>
      <c r="R72" s="365"/>
      <c r="S72" s="285"/>
      <c r="T72" s="285"/>
      <c r="U72" s="286"/>
      <c r="V72" s="286"/>
      <c r="W72" s="285"/>
      <c r="X72" s="285"/>
      <c r="Y72" s="285"/>
      <c r="Z72" s="286"/>
      <c r="AA72" s="286"/>
      <c r="AB72" s="285"/>
      <c r="AC72" s="285"/>
      <c r="AD72" s="285"/>
      <c r="AE72" s="286"/>
      <c r="AF72" s="286"/>
      <c r="AG72" s="85"/>
      <c r="AH72" s="85"/>
      <c r="AI72" s="85"/>
    </row>
    <row r="73" spans="1:35" s="298" customFormat="1" ht="13.5" customHeight="1" thickBot="1" x14ac:dyDescent="0.25">
      <c r="A73" s="300"/>
      <c r="B73" s="301" t="s">
        <v>456</v>
      </c>
      <c r="C73" s="304" t="s">
        <v>442</v>
      </c>
      <c r="D73" s="302" t="str">
        <f>"    Selected"</f>
        <v xml:space="preserve">    Selected</v>
      </c>
      <c r="E73" s="303"/>
      <c r="F73" s="514" t="s">
        <v>444</v>
      </c>
      <c r="G73" s="514"/>
      <c r="H73" s="514"/>
      <c r="I73" s="293"/>
      <c r="J73" s="293"/>
      <c r="K73" s="293"/>
      <c r="L73" s="293"/>
      <c r="M73" s="293"/>
      <c r="N73" s="293"/>
      <c r="O73" s="293"/>
      <c r="P73" s="293"/>
      <c r="Q73" s="294"/>
      <c r="R73" s="366"/>
      <c r="S73" s="295"/>
      <c r="T73" s="295"/>
      <c r="U73" s="296"/>
      <c r="V73" s="296"/>
      <c r="W73" s="295"/>
      <c r="X73" s="295"/>
      <c r="Y73" s="295"/>
      <c r="Z73" s="296"/>
      <c r="AA73" s="296"/>
      <c r="AB73" s="295"/>
      <c r="AC73" s="295"/>
      <c r="AD73" s="295"/>
      <c r="AE73" s="296"/>
      <c r="AF73" s="296"/>
      <c r="AG73" s="297"/>
      <c r="AH73" s="297"/>
      <c r="AI73" s="297"/>
    </row>
    <row r="74" spans="1:35" ht="14.25" x14ac:dyDescent="0.25">
      <c r="A74" s="248" t="s">
        <v>445</v>
      </c>
      <c r="B74" s="264">
        <f>Rcea1/1000</f>
        <v>3.8216895300066023</v>
      </c>
      <c r="C74" s="242">
        <f>'Standard Value Calculator'!S27</f>
        <v>3.83</v>
      </c>
      <c r="D74" s="243">
        <f>C74</f>
        <v>3.83</v>
      </c>
      <c r="E74" s="244" t="s">
        <v>116</v>
      </c>
      <c r="F74" s="246">
        <f>Fz1_u/1000</f>
        <v>1.0655080891327333</v>
      </c>
      <c r="G74" s="263" t="s">
        <v>446</v>
      </c>
      <c r="H74" s="194"/>
      <c r="I74" s="127"/>
      <c r="J74" s="127"/>
      <c r="K74" s="127"/>
      <c r="L74" s="127"/>
      <c r="M74" s="127"/>
      <c r="N74" s="127"/>
      <c r="O74" s="127"/>
      <c r="P74" s="127"/>
      <c r="Q74" s="159"/>
      <c r="R74" s="365"/>
      <c r="S74" s="285"/>
      <c r="T74" s="285"/>
      <c r="U74" s="286"/>
      <c r="V74" s="286"/>
      <c r="W74" s="285"/>
      <c r="X74" s="285"/>
      <c r="Y74" s="285"/>
      <c r="Z74" s="286"/>
      <c r="AA74" s="286"/>
      <c r="AB74" s="285"/>
      <c r="AC74" s="285"/>
      <c r="AD74" s="285"/>
      <c r="AE74" s="286"/>
      <c r="AF74" s="286"/>
      <c r="AG74" s="85"/>
      <c r="AH74" s="85"/>
      <c r="AI74" s="85"/>
    </row>
    <row r="75" spans="1:35" ht="14.25" x14ac:dyDescent="0.25">
      <c r="A75" s="249" t="s">
        <v>447</v>
      </c>
      <c r="B75" s="265">
        <f>Cc1ea*1000000000000</f>
        <v>41645.178663553408</v>
      </c>
      <c r="C75" s="205">
        <f>'Standard Value Calculator'!S28</f>
        <v>39000</v>
      </c>
      <c r="D75" s="212">
        <f>C75</f>
        <v>39000</v>
      </c>
      <c r="E75" s="245" t="s">
        <v>53</v>
      </c>
      <c r="F75" s="247">
        <f>Fz2_u/1000</f>
        <v>7.1602396693190613</v>
      </c>
      <c r="G75" s="240" t="s">
        <v>448</v>
      </c>
      <c r="H75" s="194"/>
      <c r="I75" s="127"/>
      <c r="J75" s="127"/>
      <c r="K75" s="127"/>
      <c r="L75" s="127"/>
      <c r="M75" s="127"/>
      <c r="N75" s="127"/>
      <c r="O75" s="127"/>
      <c r="P75" s="127"/>
      <c r="Q75" s="159"/>
      <c r="R75" s="365"/>
      <c r="S75" s="285"/>
      <c r="T75" s="285"/>
      <c r="U75" s="286"/>
      <c r="V75" s="286"/>
      <c r="W75" s="285"/>
      <c r="X75" s="285"/>
      <c r="Y75" s="285"/>
      <c r="Z75" s="286"/>
      <c r="AA75" s="286"/>
      <c r="AB75" s="285"/>
      <c r="AC75" s="285"/>
      <c r="AD75" s="285"/>
      <c r="AE75" s="286"/>
      <c r="AF75" s="286"/>
      <c r="AG75" s="85"/>
      <c r="AH75" s="85"/>
      <c r="AI75" s="85"/>
    </row>
    <row r="76" spans="1:35" ht="14.25" x14ac:dyDescent="0.25">
      <c r="A76" s="249" t="s">
        <v>449</v>
      </c>
      <c r="B76" s="265">
        <f>Cc2ea*1000000000000</f>
        <v>167.24971350824657</v>
      </c>
      <c r="C76" s="205">
        <f>'Standard Value Calculator'!S29</f>
        <v>180</v>
      </c>
      <c r="D76" s="212">
        <f>C76</f>
        <v>180</v>
      </c>
      <c r="E76" s="245" t="s">
        <v>53</v>
      </c>
      <c r="F76" s="422">
        <f>Fp1_u/1000</f>
        <v>253.59296251395213</v>
      </c>
      <c r="G76" s="240" t="s">
        <v>450</v>
      </c>
      <c r="H76" s="194"/>
      <c r="I76" s="127"/>
      <c r="J76" s="127"/>
      <c r="K76" s="127"/>
      <c r="L76" s="127"/>
      <c r="M76" s="127"/>
      <c r="N76" s="127"/>
      <c r="O76" s="127"/>
      <c r="P76" s="127"/>
      <c r="Q76" s="159"/>
      <c r="R76" s="365"/>
      <c r="S76" s="285"/>
      <c r="T76" s="285"/>
      <c r="U76" s="286"/>
      <c r="V76" s="286"/>
      <c r="W76" s="285"/>
      <c r="X76" s="285"/>
      <c r="Y76" s="285"/>
      <c r="Z76" s="286"/>
      <c r="AA76" s="286"/>
      <c r="AB76" s="285"/>
      <c r="AC76" s="285"/>
      <c r="AD76" s="285"/>
      <c r="AE76" s="286"/>
      <c r="AF76" s="286"/>
      <c r="AG76" s="85"/>
      <c r="AH76" s="85"/>
      <c r="AI76" s="85"/>
    </row>
    <row r="77" spans="1:35" ht="16.149999999999999" customHeight="1" x14ac:dyDescent="0.25">
      <c r="A77" s="249" t="s">
        <v>451</v>
      </c>
      <c r="B77" s="265">
        <f>Rcea2</f>
        <v>518.51851851851859</v>
      </c>
      <c r="C77" s="205">
        <f>'Standard Value Calculator'!S30</f>
        <v>523</v>
      </c>
      <c r="D77" s="212">
        <f>C77</f>
        <v>523</v>
      </c>
      <c r="E77" s="245" t="s">
        <v>274</v>
      </c>
      <c r="F77" s="422">
        <f>Fp2_u/1000</f>
        <v>231.92559406789158</v>
      </c>
      <c r="G77" s="240" t="s">
        <v>452</v>
      </c>
      <c r="H77" s="194"/>
      <c r="I77" s="127"/>
      <c r="J77" s="127"/>
      <c r="K77" s="127"/>
      <c r="L77" s="127"/>
      <c r="M77" s="127"/>
      <c r="N77" s="127"/>
      <c r="O77" s="127"/>
      <c r="P77" s="127"/>
      <c r="Q77" s="159"/>
      <c r="R77" s="365"/>
      <c r="S77" s="285"/>
      <c r="T77" s="285"/>
      <c r="U77" s="286"/>
      <c r="V77" s="286"/>
      <c r="W77" s="285"/>
      <c r="X77" s="285"/>
      <c r="Y77" s="285"/>
      <c r="Z77" s="286"/>
      <c r="AA77" s="286"/>
      <c r="AB77" s="285"/>
      <c r="AC77" s="285"/>
      <c r="AD77" s="285"/>
      <c r="AE77" s="286"/>
      <c r="AF77" s="286"/>
      <c r="AG77" s="85"/>
      <c r="AH77" s="85"/>
      <c r="AI77" s="85"/>
    </row>
    <row r="78" spans="1:35" ht="15" customHeight="1" thickBot="1" x14ac:dyDescent="0.3">
      <c r="A78" s="274" t="s">
        <v>453</v>
      </c>
      <c r="B78" s="266">
        <f>Cc3ea*1000000000000</f>
        <v>1227.7667052546919</v>
      </c>
      <c r="C78" s="258">
        <f>'Standard Value Calculator'!S31</f>
        <v>1200</v>
      </c>
      <c r="D78" s="259">
        <f>C78</f>
        <v>1200</v>
      </c>
      <c r="E78" s="260" t="s">
        <v>53</v>
      </c>
      <c r="F78" s="261"/>
      <c r="G78" s="262"/>
      <c r="H78" s="194"/>
      <c r="I78" s="127"/>
      <c r="J78" s="127"/>
      <c r="K78" s="127"/>
      <c r="L78" s="180"/>
      <c r="M78" s="513"/>
      <c r="N78" s="192"/>
      <c r="O78" s="127"/>
      <c r="P78" s="127"/>
      <c r="Q78" s="159"/>
      <c r="R78" s="365"/>
      <c r="S78" s="285"/>
      <c r="T78" s="285"/>
      <c r="U78" s="286"/>
      <c r="V78" s="286"/>
      <c r="W78" s="285"/>
      <c r="X78" s="285"/>
      <c r="Y78" s="285"/>
      <c r="Z78" s="286"/>
      <c r="AA78" s="286"/>
      <c r="AB78" s="285"/>
      <c r="AC78" s="285"/>
      <c r="AD78" s="285"/>
      <c r="AE78" s="286"/>
      <c r="AF78" s="286"/>
      <c r="AG78" s="85"/>
      <c r="AH78" s="85"/>
      <c r="AI78" s="85"/>
    </row>
    <row r="79" spans="1:35" ht="13.5" thickBot="1" x14ac:dyDescent="0.25">
      <c r="A79" s="183"/>
      <c r="B79" s="181"/>
      <c r="C79" s="181"/>
      <c r="D79" s="184"/>
      <c r="E79" s="184"/>
      <c r="F79" s="184"/>
      <c r="G79" s="184"/>
      <c r="H79" s="184"/>
      <c r="I79" s="127"/>
      <c r="J79" s="127"/>
      <c r="K79" s="127"/>
      <c r="L79" s="127"/>
      <c r="M79" s="127"/>
      <c r="N79" s="127"/>
      <c r="O79" s="127"/>
      <c r="P79" s="127"/>
      <c r="Q79" s="159"/>
      <c r="R79" s="365"/>
      <c r="S79" s="285"/>
      <c r="T79" s="285"/>
      <c r="U79" s="286"/>
      <c r="V79" s="286"/>
      <c r="W79" s="285"/>
      <c r="X79" s="285"/>
      <c r="Y79" s="285"/>
      <c r="Z79" s="286"/>
      <c r="AA79" s="286"/>
      <c r="AB79" s="285"/>
      <c r="AC79" s="285"/>
      <c r="AD79" s="285"/>
      <c r="AE79" s="286"/>
      <c r="AF79" s="286"/>
      <c r="AG79" s="85"/>
      <c r="AH79" s="85"/>
      <c r="AI79" s="85"/>
    </row>
    <row r="80" spans="1:35" s="130" customFormat="1" ht="18.75" thickBot="1" x14ac:dyDescent="0.3">
      <c r="A80" s="275" t="s">
        <v>454</v>
      </c>
      <c r="B80" s="198"/>
      <c r="C80" s="213"/>
      <c r="D80" s="213"/>
      <c r="E80" s="213"/>
      <c r="F80" s="213"/>
      <c r="G80" s="213"/>
      <c r="H80" s="213"/>
      <c r="I80" s="128"/>
      <c r="J80" s="128"/>
      <c r="K80" s="128"/>
      <c r="L80" s="128"/>
      <c r="M80" s="128"/>
      <c r="N80" s="128"/>
      <c r="O80" s="128"/>
      <c r="P80" s="128"/>
      <c r="Q80" s="129"/>
      <c r="R80" s="367"/>
      <c r="S80" s="287"/>
      <c r="T80" s="287"/>
      <c r="U80" s="288"/>
      <c r="V80" s="288"/>
      <c r="W80" s="287"/>
      <c r="X80" s="287"/>
      <c r="Y80" s="287"/>
      <c r="Z80" s="288"/>
      <c r="AA80" s="288"/>
      <c r="AB80" s="287"/>
      <c r="AC80" s="287"/>
      <c r="AD80" s="287"/>
      <c r="AE80" s="288"/>
      <c r="AF80" s="288"/>
      <c r="AG80" s="86"/>
      <c r="AH80" s="86"/>
      <c r="AI80" s="86"/>
    </row>
    <row r="81" spans="1:35" x14ac:dyDescent="0.2">
      <c r="A81" s="272"/>
      <c r="B81" s="194"/>
      <c r="C81" s="184"/>
      <c r="D81" s="184"/>
      <c r="E81" s="184"/>
      <c r="F81" s="184"/>
      <c r="G81" s="184"/>
      <c r="H81" s="184"/>
      <c r="I81" s="127"/>
      <c r="J81" s="127"/>
      <c r="K81" s="127"/>
      <c r="L81" s="127"/>
      <c r="M81" s="127"/>
      <c r="N81" s="127"/>
      <c r="O81" s="127"/>
      <c r="P81" s="127"/>
      <c r="Q81" s="159"/>
      <c r="R81" s="365"/>
      <c r="S81" s="285"/>
      <c r="T81" s="285"/>
      <c r="U81" s="286"/>
      <c r="V81" s="286"/>
      <c r="W81" s="285"/>
      <c r="X81" s="285"/>
      <c r="Y81" s="285"/>
      <c r="Z81" s="286"/>
      <c r="AA81" s="286"/>
      <c r="AB81" s="285"/>
      <c r="AC81" s="285"/>
      <c r="AD81" s="285"/>
      <c r="AE81" s="286"/>
      <c r="AF81" s="286"/>
      <c r="AG81" s="85"/>
      <c r="AH81" s="85"/>
      <c r="AI81" s="85"/>
    </row>
    <row r="82" spans="1:35" ht="18.75" x14ac:dyDescent="0.3">
      <c r="A82" s="214" t="s">
        <v>361</v>
      </c>
      <c r="B82" s="191"/>
      <c r="C82" s="184"/>
      <c r="D82" s="184"/>
      <c r="E82" s="184"/>
      <c r="F82" s="184"/>
      <c r="G82" s="184"/>
      <c r="H82" s="184"/>
      <c r="I82" s="127"/>
      <c r="J82" s="127"/>
      <c r="K82" s="127"/>
      <c r="L82" s="127"/>
      <c r="M82" s="127"/>
      <c r="N82" s="127"/>
      <c r="O82" s="127"/>
      <c r="P82" s="127"/>
      <c r="Q82" s="159"/>
      <c r="R82" s="365"/>
      <c r="S82" s="285"/>
      <c r="T82" s="285"/>
      <c r="U82" s="286"/>
      <c r="V82" s="286"/>
      <c r="W82" s="285"/>
      <c r="X82" s="285"/>
      <c r="Y82" s="285"/>
      <c r="Z82" s="286"/>
      <c r="AA82" s="286"/>
      <c r="AB82" s="285"/>
      <c r="AC82" s="285"/>
      <c r="AD82" s="285"/>
      <c r="AE82" s="286"/>
      <c r="AF82" s="286"/>
      <c r="AG82" s="85"/>
      <c r="AH82" s="85"/>
      <c r="AI82" s="85"/>
    </row>
    <row r="83" spans="1:35" ht="13.5" customHeight="1" thickBot="1" x14ac:dyDescent="0.25">
      <c r="A83" s="183"/>
      <c r="B83" s="184"/>
      <c r="C83" s="184"/>
      <c r="D83" s="184"/>
      <c r="E83" s="184"/>
      <c r="F83" s="184"/>
      <c r="G83" s="184"/>
      <c r="H83" s="184"/>
      <c r="I83" s="127"/>
      <c r="J83" s="127"/>
      <c r="K83" s="127"/>
      <c r="L83" s="127"/>
      <c r="M83" s="127"/>
      <c r="N83" s="127"/>
      <c r="O83" s="127"/>
      <c r="P83" s="127"/>
      <c r="Q83" s="159"/>
      <c r="R83" s="365"/>
      <c r="S83" s="285"/>
      <c r="T83" s="178"/>
      <c r="U83" s="178"/>
      <c r="V83" s="286"/>
      <c r="W83" s="285"/>
      <c r="X83" s="285"/>
      <c r="Y83" s="285"/>
      <c r="Z83" s="286"/>
      <c r="AA83" s="286"/>
      <c r="AB83" s="285"/>
      <c r="AC83" s="285"/>
      <c r="AD83" s="285"/>
      <c r="AE83" s="286"/>
      <c r="AF83" s="286"/>
      <c r="AG83" s="85"/>
      <c r="AH83" s="85"/>
      <c r="AI83" s="85"/>
    </row>
    <row r="84" spans="1:35" ht="18" customHeight="1" x14ac:dyDescent="0.25">
      <c r="A84" s="250"/>
      <c r="B84" s="251"/>
      <c r="C84" s="252"/>
      <c r="D84" s="299" t="s">
        <v>529</v>
      </c>
      <c r="E84" s="352" t="s">
        <v>763</v>
      </c>
      <c r="F84" s="253"/>
      <c r="G84" s="184"/>
      <c r="H84" s="184"/>
      <c r="I84" s="127"/>
      <c r="J84" s="127"/>
      <c r="K84" s="127"/>
      <c r="L84" s="127"/>
      <c r="M84" s="127"/>
      <c r="N84" s="127"/>
      <c r="O84" s="127"/>
      <c r="P84" s="127"/>
      <c r="Q84" s="159"/>
      <c r="R84" s="365"/>
      <c r="S84" s="285"/>
      <c r="T84" s="178"/>
      <c r="U84" s="178"/>
      <c r="V84" s="286"/>
      <c r="W84" s="285"/>
      <c r="X84" s="285"/>
      <c r="Y84" s="285"/>
      <c r="Z84" s="286"/>
      <c r="AA84" s="286"/>
      <c r="AB84" s="285"/>
      <c r="AC84" s="285"/>
      <c r="AD84" s="285"/>
      <c r="AE84" s="286"/>
      <c r="AF84" s="286"/>
      <c r="AG84" s="85"/>
      <c r="AH84" s="85"/>
      <c r="AI84" s="85"/>
    </row>
    <row r="85" spans="1:35" ht="14.45" customHeight="1" x14ac:dyDescent="0.25">
      <c r="A85" s="183"/>
      <c r="B85" s="184"/>
      <c r="C85" s="192"/>
      <c r="D85" s="180" t="s">
        <v>545</v>
      </c>
      <c r="E85" s="185">
        <v>20</v>
      </c>
      <c r="F85" s="234" t="s">
        <v>115</v>
      </c>
      <c r="G85" s="184"/>
      <c r="H85" s="184"/>
      <c r="I85" s="127"/>
      <c r="J85" s="127"/>
      <c r="K85" s="127"/>
      <c r="L85" s="127"/>
      <c r="M85" s="127"/>
      <c r="N85" s="127"/>
      <c r="O85" s="127"/>
      <c r="P85" s="127"/>
      <c r="Q85" s="159"/>
      <c r="R85" s="365"/>
      <c r="S85" s="285"/>
      <c r="T85" s="178"/>
      <c r="U85" s="178"/>
      <c r="V85" s="286"/>
      <c r="W85" s="285"/>
      <c r="X85" s="285"/>
      <c r="Y85" s="285"/>
      <c r="Z85" s="286"/>
      <c r="AA85" s="286"/>
      <c r="AB85" s="285"/>
      <c r="AC85" s="285"/>
      <c r="AD85" s="285"/>
      <c r="AE85" s="286"/>
      <c r="AF85" s="286"/>
      <c r="AG85" s="85"/>
      <c r="AH85" s="85"/>
      <c r="AI85" s="85"/>
    </row>
    <row r="86" spans="1:35" ht="14.45" customHeight="1" x14ac:dyDescent="0.25">
      <c r="A86" s="183"/>
      <c r="B86" s="184"/>
      <c r="C86" s="192"/>
      <c r="D86" s="180" t="s">
        <v>546</v>
      </c>
      <c r="E86" s="185">
        <v>9</v>
      </c>
      <c r="F86" s="234" t="s">
        <v>136</v>
      </c>
      <c r="G86" s="184"/>
      <c r="H86" s="184"/>
      <c r="I86" s="127"/>
      <c r="J86" s="127"/>
      <c r="K86" s="127"/>
      <c r="L86" s="127"/>
      <c r="M86" s="127"/>
      <c r="N86" s="127"/>
      <c r="O86" s="127"/>
      <c r="P86" s="127"/>
      <c r="Q86" s="159"/>
      <c r="R86" s="365"/>
      <c r="S86" s="285"/>
      <c r="T86" s="178"/>
      <c r="U86" s="178"/>
      <c r="V86" s="286"/>
      <c r="W86" s="285"/>
      <c r="X86" s="285"/>
      <c r="Y86" s="285"/>
      <c r="Z86" s="286"/>
      <c r="AA86" s="286"/>
      <c r="AB86" s="285"/>
      <c r="AC86" s="285"/>
      <c r="AD86" s="285"/>
      <c r="AE86" s="286"/>
      <c r="AF86" s="286"/>
      <c r="AG86" s="85"/>
      <c r="AH86" s="85"/>
      <c r="AI86" s="85"/>
    </row>
    <row r="87" spans="1:35" ht="14.45" customHeight="1" x14ac:dyDescent="0.25">
      <c r="A87" s="183"/>
      <c r="B87" s="184"/>
      <c r="C87" s="192"/>
      <c r="D87" s="180" t="s">
        <v>547</v>
      </c>
      <c r="E87" s="185">
        <v>2.6</v>
      </c>
      <c r="F87" s="234" t="s">
        <v>136</v>
      </c>
      <c r="G87" s="184"/>
      <c r="H87" s="184"/>
      <c r="I87" s="127"/>
      <c r="J87" s="127"/>
      <c r="K87" s="127"/>
      <c r="L87" s="127"/>
      <c r="M87" s="127"/>
      <c r="N87" s="127"/>
      <c r="O87" s="127"/>
      <c r="P87" s="127"/>
      <c r="Q87" s="159"/>
      <c r="R87" s="365"/>
      <c r="S87" s="285"/>
      <c r="T87" s="178"/>
      <c r="U87" s="178"/>
      <c r="V87" s="286"/>
      <c r="W87" s="285"/>
      <c r="X87" s="285"/>
      <c r="Y87" s="285"/>
      <c r="Z87" s="286"/>
      <c r="AA87" s="286"/>
      <c r="AB87" s="285"/>
      <c r="AC87" s="285"/>
      <c r="AD87" s="285"/>
      <c r="AE87" s="286"/>
      <c r="AF87" s="286"/>
      <c r="AG87" s="85"/>
      <c r="AH87" s="85"/>
      <c r="AI87" s="85"/>
    </row>
    <row r="88" spans="1:35" ht="14.45" customHeight="1" x14ac:dyDescent="0.25">
      <c r="A88" s="183"/>
      <c r="B88" s="184"/>
      <c r="C88" s="192"/>
      <c r="D88" s="180" t="s">
        <v>548</v>
      </c>
      <c r="E88" s="185">
        <v>1.5</v>
      </c>
      <c r="F88" s="234" t="s">
        <v>136</v>
      </c>
      <c r="G88" s="184"/>
      <c r="H88" s="184"/>
      <c r="I88" s="127"/>
      <c r="J88" s="127"/>
      <c r="K88" s="127"/>
      <c r="L88" s="127"/>
      <c r="M88" s="127"/>
      <c r="N88" s="127"/>
      <c r="O88" s="127"/>
      <c r="P88" s="127"/>
      <c r="Q88" s="159"/>
      <c r="R88" s="365"/>
      <c r="S88" s="285"/>
      <c r="T88" s="178"/>
      <c r="U88" s="178"/>
      <c r="V88" s="286"/>
      <c r="W88" s="285"/>
      <c r="X88" s="285"/>
      <c r="Y88" s="285"/>
      <c r="Z88" s="286"/>
      <c r="AA88" s="286"/>
      <c r="AB88" s="285"/>
      <c r="AC88" s="285"/>
      <c r="AD88" s="285"/>
      <c r="AE88" s="286"/>
      <c r="AF88" s="286"/>
      <c r="AG88" s="85"/>
      <c r="AH88" s="85"/>
      <c r="AI88" s="85"/>
    </row>
    <row r="89" spans="1:35" ht="14.45" customHeight="1" x14ac:dyDescent="0.25">
      <c r="A89" s="183"/>
      <c r="B89" s="184"/>
      <c r="C89" s="192"/>
      <c r="D89" s="180" t="s">
        <v>717</v>
      </c>
      <c r="E89" s="185">
        <v>240</v>
      </c>
      <c r="F89" s="234" t="s">
        <v>53</v>
      </c>
      <c r="G89" s="184"/>
      <c r="H89" s="184"/>
      <c r="I89" s="127"/>
      <c r="J89" s="127"/>
      <c r="K89" s="127"/>
      <c r="L89" s="127"/>
      <c r="M89" s="127"/>
      <c r="N89" s="127"/>
      <c r="O89" s="127"/>
      <c r="P89" s="127"/>
      <c r="Q89" s="159"/>
      <c r="R89" s="365"/>
      <c r="S89" s="285"/>
      <c r="T89" s="178"/>
      <c r="U89" s="178"/>
      <c r="V89" s="286"/>
      <c r="W89" s="285"/>
      <c r="X89" s="285"/>
      <c r="Y89" s="285"/>
      <c r="Z89" s="286"/>
      <c r="AA89" s="286"/>
      <c r="AB89" s="285"/>
      <c r="AC89" s="285"/>
      <c r="AD89" s="285"/>
      <c r="AE89" s="286"/>
      <c r="AF89" s="286"/>
      <c r="AG89" s="85"/>
      <c r="AH89" s="85"/>
      <c r="AI89" s="85"/>
    </row>
    <row r="90" spans="1:35" ht="14.45" customHeight="1" x14ac:dyDescent="0.25">
      <c r="A90" s="183"/>
      <c r="B90" s="184"/>
      <c r="C90" s="192"/>
      <c r="D90" s="180" t="s">
        <v>549</v>
      </c>
      <c r="E90" s="185">
        <v>1.2</v>
      </c>
      <c r="F90" s="234" t="s">
        <v>274</v>
      </c>
      <c r="G90" s="184"/>
      <c r="H90" s="184"/>
      <c r="I90" s="127"/>
      <c r="J90" s="127"/>
      <c r="K90" s="127"/>
      <c r="L90" s="127"/>
      <c r="M90" s="127"/>
      <c r="N90" s="127"/>
      <c r="O90" s="127"/>
      <c r="P90" s="127"/>
      <c r="Q90" s="159"/>
      <c r="R90" s="365"/>
      <c r="S90" s="285"/>
      <c r="T90" s="178"/>
      <c r="U90" s="178"/>
      <c r="V90" s="286"/>
      <c r="W90" s="285"/>
      <c r="X90" s="285"/>
      <c r="Y90" s="285"/>
      <c r="Z90" s="286"/>
      <c r="AA90" s="286"/>
      <c r="AB90" s="285"/>
      <c r="AC90" s="285"/>
      <c r="AD90" s="285"/>
      <c r="AE90" s="286"/>
      <c r="AF90" s="286"/>
      <c r="AG90" s="85"/>
      <c r="AH90" s="85"/>
      <c r="AI90" s="85"/>
    </row>
    <row r="91" spans="1:35" ht="14.45" customHeight="1" x14ac:dyDescent="0.25">
      <c r="A91" s="183"/>
      <c r="B91" s="184"/>
      <c r="C91" s="192"/>
      <c r="D91" s="180" t="s">
        <v>550</v>
      </c>
      <c r="E91" s="185">
        <v>9.6</v>
      </c>
      <c r="F91" s="234" t="s">
        <v>137</v>
      </c>
      <c r="G91" s="184"/>
      <c r="H91" s="184"/>
      <c r="I91" s="127"/>
      <c r="J91" s="127"/>
      <c r="K91" s="127"/>
      <c r="L91" s="127"/>
      <c r="M91" s="127"/>
      <c r="N91" s="127"/>
      <c r="O91" s="127"/>
      <c r="P91" s="127"/>
      <c r="Q91" s="159"/>
      <c r="R91" s="365"/>
      <c r="S91" s="285"/>
      <c r="T91" s="178"/>
      <c r="U91" s="178"/>
      <c r="V91" s="286"/>
      <c r="W91" s="285"/>
      <c r="X91" s="285"/>
      <c r="Y91" s="285"/>
      <c r="Z91" s="286"/>
      <c r="AA91" s="286"/>
      <c r="AB91" s="285"/>
      <c r="AC91" s="285"/>
      <c r="AD91" s="285"/>
      <c r="AE91" s="286"/>
      <c r="AF91" s="286"/>
      <c r="AG91" s="85"/>
      <c r="AH91" s="85"/>
      <c r="AI91" s="85"/>
    </row>
    <row r="92" spans="1:35" ht="14.45" customHeight="1" x14ac:dyDescent="0.25">
      <c r="A92" s="183"/>
      <c r="B92" s="184"/>
      <c r="C92" s="192"/>
      <c r="D92" s="180" t="s">
        <v>761</v>
      </c>
      <c r="E92" s="185">
        <v>3.2</v>
      </c>
      <c r="F92" s="234" t="s">
        <v>0</v>
      </c>
      <c r="G92" s="184"/>
      <c r="H92" s="184"/>
      <c r="I92" s="127"/>
      <c r="J92" s="127"/>
      <c r="K92" s="127"/>
      <c r="L92" s="127"/>
      <c r="M92" s="127"/>
      <c r="N92" s="127"/>
      <c r="O92" s="127"/>
      <c r="P92" s="127"/>
      <c r="Q92" s="159"/>
      <c r="R92" s="365"/>
      <c r="S92" s="285"/>
      <c r="T92" s="178"/>
      <c r="U92" s="178"/>
      <c r="V92" s="286"/>
      <c r="W92" s="285"/>
      <c r="X92" s="285"/>
      <c r="Y92" s="285"/>
      <c r="Z92" s="286"/>
      <c r="AA92" s="286"/>
      <c r="AB92" s="285"/>
      <c r="AC92" s="285"/>
      <c r="AD92" s="285"/>
      <c r="AE92" s="286"/>
      <c r="AF92" s="286"/>
      <c r="AG92" s="85"/>
      <c r="AH92" s="85"/>
      <c r="AI92" s="85"/>
    </row>
    <row r="93" spans="1:35" ht="14.45" customHeight="1" x14ac:dyDescent="0.25">
      <c r="A93" s="183"/>
      <c r="B93" s="184"/>
      <c r="C93" s="192"/>
      <c r="D93" s="180" t="s">
        <v>554</v>
      </c>
      <c r="E93" s="185">
        <v>1</v>
      </c>
      <c r="F93" s="234" t="s">
        <v>0</v>
      </c>
      <c r="G93" s="184"/>
      <c r="H93" s="184"/>
      <c r="I93" s="127"/>
      <c r="J93" s="127"/>
      <c r="K93" s="127"/>
      <c r="L93" s="127"/>
      <c r="M93" s="127"/>
      <c r="N93" s="127"/>
      <c r="O93" s="127"/>
      <c r="P93" s="127"/>
      <c r="Q93" s="159"/>
      <c r="R93" s="365"/>
      <c r="S93" s="285"/>
      <c r="T93" s="178"/>
      <c r="U93" s="178"/>
      <c r="V93" s="286"/>
      <c r="W93" s="285"/>
      <c r="X93" s="285"/>
      <c r="Y93" s="285"/>
      <c r="Z93" s="286"/>
      <c r="AA93" s="286"/>
      <c r="AB93" s="285"/>
      <c r="AC93" s="285"/>
      <c r="AD93" s="285"/>
      <c r="AE93" s="286"/>
      <c r="AF93" s="286"/>
      <c r="AG93" s="85"/>
      <c r="AH93" s="85"/>
      <c r="AI93" s="85"/>
    </row>
    <row r="94" spans="1:35" ht="14.45" customHeight="1" thickBot="1" x14ac:dyDescent="0.3">
      <c r="A94" s="289"/>
      <c r="B94" s="255"/>
      <c r="C94" s="290"/>
      <c r="D94" s="256" t="s">
        <v>551</v>
      </c>
      <c r="E94" s="349">
        <v>45</v>
      </c>
      <c r="F94" s="257" t="s">
        <v>380</v>
      </c>
      <c r="G94" s="184"/>
      <c r="H94" s="184"/>
      <c r="I94" s="127"/>
      <c r="J94" s="127"/>
      <c r="K94" s="127"/>
      <c r="L94" s="127"/>
      <c r="M94" s="127"/>
      <c r="N94" s="127"/>
      <c r="O94" s="127"/>
      <c r="P94" s="127"/>
      <c r="Q94" s="159"/>
      <c r="R94" s="365"/>
      <c r="S94" s="285"/>
      <c r="T94" s="178"/>
      <c r="U94" s="178"/>
      <c r="V94" s="286"/>
      <c r="W94" s="285"/>
      <c r="X94" s="285"/>
      <c r="Y94" s="285"/>
      <c r="Z94" s="286"/>
      <c r="AA94" s="286"/>
      <c r="AB94" s="285"/>
      <c r="AC94" s="285"/>
      <c r="AD94" s="285"/>
      <c r="AE94" s="286"/>
      <c r="AF94" s="286"/>
      <c r="AG94" s="85"/>
      <c r="AH94" s="85"/>
      <c r="AI94" s="85"/>
    </row>
    <row r="95" spans="1:35" ht="18" customHeight="1" thickBot="1" x14ac:dyDescent="0.25">
      <c r="A95" s="183"/>
      <c r="B95" s="184"/>
      <c r="C95" s="192"/>
      <c r="D95" s="180"/>
      <c r="E95" s="194"/>
      <c r="F95" s="291"/>
      <c r="G95" s="184"/>
      <c r="H95" s="184"/>
      <c r="I95" s="127"/>
      <c r="J95" s="127"/>
      <c r="K95" s="127"/>
      <c r="L95" s="127"/>
      <c r="M95" s="127"/>
      <c r="N95" s="127"/>
      <c r="O95" s="127"/>
      <c r="P95" s="127"/>
      <c r="Q95" s="159"/>
      <c r="R95" s="365"/>
      <c r="S95" s="285"/>
      <c r="T95" s="178"/>
      <c r="U95" s="178"/>
      <c r="V95" s="286"/>
      <c r="W95" s="285"/>
      <c r="X95" s="285"/>
      <c r="Y95" s="285"/>
      <c r="Z95" s="286"/>
      <c r="AA95" s="286"/>
      <c r="AB95" s="285"/>
      <c r="AC95" s="285"/>
      <c r="AD95" s="285"/>
      <c r="AE95" s="286"/>
      <c r="AF95" s="286"/>
      <c r="AG95" s="85"/>
      <c r="AH95" s="85"/>
      <c r="AI95" s="85"/>
    </row>
    <row r="96" spans="1:35" ht="18" customHeight="1" x14ac:dyDescent="0.25">
      <c r="A96" s="250"/>
      <c r="B96" s="251"/>
      <c r="C96" s="254"/>
      <c r="D96" s="299" t="s">
        <v>530</v>
      </c>
      <c r="E96" s="352" t="s">
        <v>764</v>
      </c>
      <c r="F96" s="253"/>
      <c r="G96" s="184"/>
      <c r="H96" s="184"/>
      <c r="I96" s="127"/>
      <c r="J96" s="127"/>
      <c r="K96" s="127"/>
      <c r="L96" s="127"/>
      <c r="M96" s="127"/>
      <c r="N96" s="127"/>
      <c r="O96" s="127"/>
      <c r="P96" s="127"/>
      <c r="Q96" s="159"/>
      <c r="R96" s="365"/>
      <c r="S96" s="285"/>
      <c r="T96" s="178"/>
      <c r="U96" s="178"/>
      <c r="V96" s="286"/>
      <c r="W96" s="285"/>
      <c r="X96" s="285"/>
      <c r="Y96" s="285"/>
      <c r="Z96" s="286"/>
      <c r="AA96" s="286"/>
      <c r="AB96" s="285"/>
      <c r="AC96" s="285"/>
      <c r="AD96" s="285"/>
      <c r="AE96" s="286"/>
      <c r="AF96" s="286"/>
      <c r="AG96" s="85"/>
      <c r="AH96" s="85"/>
      <c r="AI96" s="85"/>
    </row>
    <row r="97" spans="1:35" ht="14.45" customHeight="1" x14ac:dyDescent="0.25">
      <c r="A97" s="183"/>
      <c r="B97" s="184"/>
      <c r="C97" s="184"/>
      <c r="D97" s="180" t="s">
        <v>545</v>
      </c>
      <c r="E97" s="185">
        <v>20</v>
      </c>
      <c r="F97" s="234" t="s">
        <v>115</v>
      </c>
      <c r="G97" s="184"/>
      <c r="H97" s="184"/>
      <c r="I97" s="127"/>
      <c r="J97" s="127"/>
      <c r="K97" s="127"/>
      <c r="L97" s="127"/>
      <c r="M97" s="127"/>
      <c r="N97" s="127"/>
      <c r="O97" s="127"/>
      <c r="P97" s="127"/>
      <c r="Q97" s="159"/>
      <c r="R97" s="365"/>
      <c r="S97" s="285"/>
      <c r="T97" s="178"/>
      <c r="U97" s="178"/>
      <c r="V97" s="286"/>
      <c r="W97" s="285"/>
      <c r="X97" s="285"/>
      <c r="Y97" s="285"/>
      <c r="Z97" s="286"/>
      <c r="AA97" s="286"/>
      <c r="AB97" s="285"/>
      <c r="AC97" s="285"/>
      <c r="AD97" s="285"/>
      <c r="AE97" s="286"/>
      <c r="AF97" s="286"/>
      <c r="AG97" s="85"/>
      <c r="AH97" s="85"/>
      <c r="AI97" s="85"/>
    </row>
    <row r="98" spans="1:35" ht="14.45" customHeight="1" x14ac:dyDescent="0.25">
      <c r="A98" s="183"/>
      <c r="B98" s="184"/>
      <c r="C98" s="184"/>
      <c r="D98" s="180" t="s">
        <v>546</v>
      </c>
      <c r="E98" s="185">
        <v>9</v>
      </c>
      <c r="F98" s="234" t="s">
        <v>136</v>
      </c>
      <c r="G98" s="184"/>
      <c r="H98" s="184"/>
      <c r="I98" s="127"/>
      <c r="J98" s="127"/>
      <c r="K98" s="127"/>
      <c r="L98" s="127"/>
      <c r="M98" s="127"/>
      <c r="N98" s="127"/>
      <c r="O98" s="127"/>
      <c r="P98" s="127"/>
      <c r="Q98" s="159"/>
      <c r="R98" s="365"/>
      <c r="S98" s="85"/>
      <c r="T98" s="6"/>
      <c r="U98" s="6"/>
      <c r="W98" s="85"/>
      <c r="X98" s="85"/>
      <c r="Y98" s="85"/>
      <c r="AB98" s="85"/>
      <c r="AC98" s="85"/>
      <c r="AD98" s="85"/>
      <c r="AG98" s="85"/>
      <c r="AH98" s="85"/>
      <c r="AI98" s="85"/>
    </row>
    <row r="99" spans="1:35" ht="14.45" customHeight="1" x14ac:dyDescent="0.25">
      <c r="A99" s="183"/>
      <c r="B99" s="184"/>
      <c r="C99" s="184"/>
      <c r="D99" s="180" t="s">
        <v>710</v>
      </c>
      <c r="E99" s="185">
        <v>7</v>
      </c>
      <c r="F99" s="234" t="s">
        <v>136</v>
      </c>
      <c r="G99" s="184"/>
      <c r="H99" s="184"/>
      <c r="I99" s="127"/>
      <c r="J99" s="127"/>
      <c r="K99" s="127"/>
      <c r="L99" s="127"/>
      <c r="M99" s="127"/>
      <c r="N99" s="127"/>
      <c r="O99" s="127"/>
      <c r="P99" s="127"/>
      <c r="Q99" s="159"/>
      <c r="R99" s="365"/>
      <c r="S99" s="85"/>
      <c r="T99" s="85"/>
      <c r="W99" s="85"/>
      <c r="X99" s="85"/>
      <c r="Y99" s="85"/>
      <c r="AB99" s="85"/>
      <c r="AC99" s="85"/>
      <c r="AD99" s="85"/>
      <c r="AG99" s="85"/>
      <c r="AH99" s="85"/>
      <c r="AI99" s="85"/>
    </row>
    <row r="100" spans="1:35" ht="14.45" customHeight="1" x14ac:dyDescent="0.25">
      <c r="A100" s="183"/>
      <c r="B100" s="184"/>
      <c r="C100" s="184"/>
      <c r="D100" s="180" t="s">
        <v>717</v>
      </c>
      <c r="E100" s="185">
        <v>290</v>
      </c>
      <c r="F100" s="234" t="s">
        <v>53</v>
      </c>
      <c r="G100" s="184"/>
      <c r="H100" s="184"/>
      <c r="I100" s="127"/>
      <c r="J100" s="127"/>
      <c r="K100" s="127"/>
      <c r="L100" s="127"/>
      <c r="M100" s="127"/>
      <c r="N100" s="127"/>
      <c r="O100" s="127"/>
      <c r="P100" s="127"/>
      <c r="Q100" s="159"/>
      <c r="R100" s="365"/>
      <c r="S100" s="85"/>
      <c r="T100" s="85"/>
      <c r="W100" s="85"/>
      <c r="X100" s="85"/>
      <c r="Y100" s="85"/>
      <c r="AB100" s="85"/>
      <c r="AC100" s="85"/>
      <c r="AD100" s="85"/>
      <c r="AG100" s="85"/>
      <c r="AH100" s="85"/>
      <c r="AI100" s="85"/>
    </row>
    <row r="101" spans="1:35" ht="14.25" customHeight="1" x14ac:dyDescent="0.25">
      <c r="A101" s="183"/>
      <c r="B101" s="184"/>
      <c r="C101" s="184"/>
      <c r="D101" s="180" t="s">
        <v>553</v>
      </c>
      <c r="E101" s="185">
        <v>1.3</v>
      </c>
      <c r="F101" s="234" t="s">
        <v>0</v>
      </c>
      <c r="G101" s="184"/>
      <c r="H101" s="184"/>
      <c r="I101" s="127"/>
      <c r="J101" s="127"/>
      <c r="K101" s="127"/>
      <c r="L101" s="127"/>
      <c r="M101" s="127"/>
      <c r="N101" s="127"/>
      <c r="O101" s="127"/>
      <c r="P101" s="127"/>
      <c r="Q101" s="159"/>
      <c r="R101" s="365"/>
      <c r="S101" s="85"/>
      <c r="T101" s="85"/>
      <c r="W101" s="85"/>
      <c r="X101" s="85"/>
      <c r="Y101" s="85"/>
      <c r="AB101" s="85"/>
      <c r="AC101" s="85"/>
      <c r="AD101" s="85"/>
      <c r="AG101" s="85"/>
      <c r="AH101" s="85"/>
      <c r="AI101" s="85"/>
    </row>
    <row r="102" spans="1:35" ht="14.45" customHeight="1" x14ac:dyDescent="0.25">
      <c r="A102" s="183"/>
      <c r="B102" s="184"/>
      <c r="C102" s="184"/>
      <c r="D102" s="180" t="s">
        <v>552</v>
      </c>
      <c r="E102" s="185">
        <v>4</v>
      </c>
      <c r="F102" s="234" t="s">
        <v>136</v>
      </c>
      <c r="G102" s="184"/>
      <c r="H102" s="184"/>
      <c r="I102" s="131"/>
      <c r="J102" s="132"/>
      <c r="K102" s="127"/>
      <c r="L102" s="127"/>
      <c r="M102" s="127"/>
      <c r="N102" s="127"/>
      <c r="O102" s="127"/>
      <c r="P102" s="127"/>
      <c r="Q102" s="159"/>
      <c r="R102" s="365"/>
      <c r="S102" s="85"/>
      <c r="T102" s="85"/>
      <c r="W102" s="85"/>
      <c r="X102" s="85"/>
      <c r="Y102" s="85"/>
      <c r="AB102" s="85"/>
      <c r="AC102" s="85"/>
      <c r="AD102" s="85"/>
      <c r="AG102" s="85"/>
      <c r="AH102" s="85"/>
      <c r="AI102" s="85"/>
    </row>
    <row r="103" spans="1:35" ht="14.45" customHeight="1" thickBot="1" x14ac:dyDescent="0.3">
      <c r="A103" s="289"/>
      <c r="B103" s="255"/>
      <c r="C103" s="255"/>
      <c r="D103" s="256" t="s">
        <v>551</v>
      </c>
      <c r="E103" s="349">
        <v>40</v>
      </c>
      <c r="F103" s="257" t="s">
        <v>380</v>
      </c>
      <c r="G103" s="184"/>
      <c r="H103" s="184"/>
      <c r="I103" s="127"/>
      <c r="J103" s="127"/>
      <c r="K103" s="127"/>
      <c r="L103" s="127"/>
      <c r="M103" s="127"/>
      <c r="N103" s="127"/>
      <c r="O103" s="127"/>
      <c r="P103" s="127"/>
      <c r="Q103" s="159"/>
      <c r="R103" s="365"/>
      <c r="S103" s="85"/>
      <c r="T103" s="85"/>
      <c r="W103" s="85"/>
      <c r="X103" s="85"/>
      <c r="Y103" s="85"/>
      <c r="AB103" s="85"/>
      <c r="AC103" s="85"/>
      <c r="AD103" s="85"/>
      <c r="AG103" s="85"/>
      <c r="AH103" s="85"/>
      <c r="AI103" s="85"/>
    </row>
    <row r="104" spans="1:35" ht="14.45" customHeight="1" x14ac:dyDescent="0.2">
      <c r="A104" s="195"/>
      <c r="B104" s="192"/>
      <c r="C104" s="184"/>
      <c r="D104" s="292"/>
      <c r="E104" s="210"/>
      <c r="F104" s="252"/>
      <c r="G104" s="184"/>
      <c r="H104" s="184"/>
      <c r="I104" s="127"/>
      <c r="J104" s="127"/>
      <c r="K104" s="127"/>
      <c r="L104" s="127"/>
      <c r="M104" s="127"/>
      <c r="N104" s="127"/>
      <c r="O104" s="127"/>
      <c r="P104" s="127"/>
      <c r="Q104" s="159"/>
      <c r="R104" s="365"/>
      <c r="S104" s="85"/>
      <c r="T104" s="85"/>
      <c r="W104" s="85"/>
      <c r="X104" s="85"/>
      <c r="Y104" s="85"/>
      <c r="AB104" s="85"/>
      <c r="AC104" s="85"/>
      <c r="AD104" s="85"/>
      <c r="AG104" s="85"/>
      <c r="AH104" s="85"/>
      <c r="AI104" s="85"/>
    </row>
    <row r="105" spans="1:35" ht="14.45" customHeight="1" x14ac:dyDescent="0.2">
      <c r="A105" s="183"/>
      <c r="B105" s="184"/>
      <c r="C105" s="184"/>
      <c r="D105" s="180"/>
      <c r="E105" s="502"/>
      <c r="F105" s="184"/>
      <c r="G105" s="184"/>
      <c r="H105" s="184"/>
      <c r="I105" s="127"/>
      <c r="J105" s="127"/>
      <c r="K105" s="127"/>
      <c r="L105" s="127"/>
      <c r="M105" s="127"/>
      <c r="N105" s="127"/>
      <c r="O105" s="127"/>
      <c r="P105" s="127"/>
      <c r="Q105" s="159"/>
      <c r="R105" s="365"/>
      <c r="S105" s="85"/>
      <c r="T105" s="85"/>
      <c r="W105" s="85"/>
      <c r="X105" s="85"/>
      <c r="Y105" s="85"/>
      <c r="AB105" s="85"/>
      <c r="AC105" s="85"/>
      <c r="AD105" s="85"/>
      <c r="AG105" s="85"/>
      <c r="AH105" s="85"/>
      <c r="AI105" s="85"/>
    </row>
    <row r="106" spans="1:35" ht="18" customHeight="1" thickBot="1" x14ac:dyDescent="0.3">
      <c r="A106" s="503" t="s">
        <v>757</v>
      </c>
      <c r="B106" s="194"/>
      <c r="C106" s="504"/>
      <c r="D106" s="505"/>
      <c r="E106" s="170"/>
      <c r="F106" s="170"/>
      <c r="G106" s="184"/>
      <c r="H106" s="184"/>
      <c r="I106" s="127"/>
      <c r="J106" s="127"/>
      <c r="K106" s="127"/>
      <c r="L106" s="127"/>
      <c r="M106" s="127"/>
      <c r="N106" s="127"/>
      <c r="O106" s="127"/>
      <c r="P106" s="127"/>
      <c r="Q106" s="159"/>
      <c r="R106" s="365"/>
      <c r="S106" s="85"/>
      <c r="T106" s="85"/>
      <c r="W106" s="85"/>
      <c r="X106" s="85"/>
      <c r="Y106" s="85"/>
      <c r="AB106" s="85"/>
      <c r="AC106" s="85"/>
      <c r="AD106" s="85"/>
      <c r="AG106" s="85"/>
      <c r="AH106" s="85"/>
      <c r="AI106" s="85"/>
    </row>
    <row r="107" spans="1:35" ht="14.45" customHeight="1" x14ac:dyDescent="0.2">
      <c r="A107" s="271"/>
      <c r="B107" s="252"/>
      <c r="C107" s="506"/>
      <c r="D107" s="506" t="s">
        <v>758</v>
      </c>
      <c r="E107" s="507">
        <f>'Power Calculations'!AN9</f>
        <v>0.16500000000000001</v>
      </c>
      <c r="F107" s="253" t="s">
        <v>208</v>
      </c>
      <c r="G107" s="184"/>
      <c r="H107" s="184"/>
      <c r="I107" s="127"/>
      <c r="J107" s="127"/>
      <c r="K107" s="127"/>
      <c r="L107" s="127"/>
      <c r="M107" s="127"/>
      <c r="N107" s="127"/>
      <c r="O107" s="127"/>
      <c r="P107" s="127"/>
      <c r="Q107" s="159"/>
      <c r="R107" s="365"/>
      <c r="S107" s="85"/>
      <c r="T107" s="85"/>
      <c r="W107" s="85"/>
      <c r="X107" s="85"/>
      <c r="Y107" s="85"/>
      <c r="AB107" s="85"/>
      <c r="AC107" s="85"/>
      <c r="AD107" s="85"/>
      <c r="AG107" s="85"/>
      <c r="AH107" s="85"/>
      <c r="AI107" s="85"/>
    </row>
    <row r="108" spans="1:35" ht="19.5" customHeight="1" thickBot="1" x14ac:dyDescent="0.25">
      <c r="A108" s="289"/>
      <c r="B108" s="255"/>
      <c r="C108" s="255"/>
      <c r="D108" s="508" t="s">
        <v>759</v>
      </c>
      <c r="E108" s="509">
        <f>'Power Calculations'!AN9*50</f>
        <v>8.25</v>
      </c>
      <c r="F108" s="510" t="s">
        <v>441</v>
      </c>
      <c r="G108" s="170"/>
      <c r="H108" s="184"/>
      <c r="I108" s="127"/>
      <c r="J108" s="127"/>
      <c r="K108" s="127"/>
      <c r="L108" s="127"/>
      <c r="M108" s="127"/>
      <c r="N108" s="127"/>
      <c r="O108" s="127"/>
      <c r="P108" s="127"/>
      <c r="Q108" s="159"/>
      <c r="R108" s="365"/>
      <c r="S108" s="85"/>
      <c r="T108" s="85"/>
      <c r="W108" s="85"/>
      <c r="X108" s="85"/>
      <c r="Y108" s="85"/>
      <c r="AB108" s="85"/>
      <c r="AC108" s="85"/>
      <c r="AD108" s="85"/>
      <c r="AG108" s="85"/>
      <c r="AH108" s="85"/>
      <c r="AI108" s="85"/>
    </row>
    <row r="109" spans="1:35" ht="15.75" customHeight="1" x14ac:dyDescent="0.2">
      <c r="A109" s="277"/>
      <c r="B109" s="170"/>
      <c r="C109" s="170"/>
      <c r="D109" s="170"/>
      <c r="E109" s="170"/>
      <c r="F109" s="170"/>
      <c r="G109" s="170"/>
      <c r="H109" s="184"/>
      <c r="I109" s="127"/>
      <c r="J109" s="127"/>
      <c r="K109" s="127"/>
      <c r="L109" s="127"/>
      <c r="M109" s="127"/>
      <c r="N109" s="127"/>
      <c r="O109" s="127"/>
      <c r="P109" s="127"/>
      <c r="Q109" s="159"/>
      <c r="R109" s="365"/>
      <c r="S109" s="85"/>
      <c r="T109" s="85"/>
      <c r="W109" s="85"/>
      <c r="X109" s="85"/>
      <c r="Y109" s="85"/>
      <c r="AB109" s="85"/>
      <c r="AC109" s="85"/>
      <c r="AD109" s="85"/>
      <c r="AG109" s="85"/>
      <c r="AH109" s="85"/>
      <c r="AI109" s="85"/>
    </row>
    <row r="110" spans="1:35" ht="14.45" customHeight="1" x14ac:dyDescent="0.2">
      <c r="A110" s="277"/>
      <c r="B110" s="170"/>
      <c r="C110" s="170"/>
      <c r="D110" s="170"/>
      <c r="E110" s="170"/>
      <c r="F110" s="170"/>
      <c r="G110" s="170"/>
      <c r="H110" s="184"/>
      <c r="I110" s="127"/>
      <c r="J110" s="127"/>
      <c r="K110" s="127"/>
      <c r="L110" s="127"/>
      <c r="M110" s="127"/>
      <c r="N110" s="127"/>
      <c r="O110" s="127"/>
      <c r="P110" s="127"/>
      <c r="Q110" s="159"/>
      <c r="R110" s="365"/>
      <c r="S110" s="85"/>
      <c r="T110" s="85"/>
      <c r="W110" s="85"/>
      <c r="X110" s="85"/>
      <c r="Y110" s="85"/>
      <c r="AB110" s="85"/>
      <c r="AC110" s="85"/>
      <c r="AD110" s="85"/>
      <c r="AG110" s="85"/>
      <c r="AH110" s="85"/>
      <c r="AI110" s="85"/>
    </row>
    <row r="111" spans="1:35" ht="16.149999999999999" customHeight="1" thickBot="1" x14ac:dyDescent="0.25">
      <c r="A111" s="183"/>
      <c r="B111" s="184"/>
      <c r="C111" s="184"/>
      <c r="D111" s="180"/>
      <c r="E111" s="283"/>
      <c r="F111" s="184"/>
      <c r="G111" s="184"/>
      <c r="H111" s="184"/>
      <c r="I111" s="127"/>
      <c r="J111" s="127"/>
      <c r="K111" s="127"/>
      <c r="L111" s="127"/>
      <c r="M111" s="127"/>
      <c r="N111" s="127"/>
      <c r="O111" s="127"/>
      <c r="P111" s="127"/>
      <c r="Q111" s="159"/>
      <c r="R111" s="365"/>
      <c r="S111" s="85"/>
      <c r="T111" s="85"/>
      <c r="W111" s="85"/>
      <c r="X111" s="85"/>
      <c r="Y111" s="85"/>
      <c r="AB111" s="85"/>
      <c r="AC111" s="85"/>
      <c r="AD111" s="85"/>
      <c r="AG111" s="85"/>
      <c r="AH111" s="85"/>
      <c r="AI111" s="85"/>
    </row>
    <row r="112" spans="1:35" ht="13.5" thickBot="1" x14ac:dyDescent="0.25">
      <c r="A112" s="360"/>
      <c r="B112" s="361"/>
      <c r="C112" s="362"/>
      <c r="D112" s="362"/>
      <c r="E112" s="362"/>
      <c r="F112" s="362"/>
      <c r="G112" s="362"/>
      <c r="H112" s="362"/>
      <c r="I112" s="362"/>
      <c r="J112" s="362"/>
      <c r="K112" s="362"/>
      <c r="L112" s="362"/>
      <c r="M112" s="362"/>
      <c r="N112" s="362"/>
      <c r="O112" s="362"/>
      <c r="P112" s="362"/>
      <c r="Q112" s="362"/>
      <c r="R112" s="363"/>
      <c r="S112" s="85"/>
      <c r="T112" s="85"/>
      <c r="W112" s="85"/>
      <c r="X112" s="85"/>
      <c r="Y112" s="85"/>
      <c r="AB112" s="85"/>
      <c r="AC112" s="85"/>
      <c r="AD112" s="85"/>
      <c r="AG112" s="85"/>
      <c r="AH112" s="85"/>
      <c r="AI112" s="85"/>
    </row>
    <row r="113" spans="18:35" x14ac:dyDescent="0.2">
      <c r="R113" s="85"/>
      <c r="S113" s="85"/>
      <c r="T113" s="85"/>
      <c r="W113" s="85"/>
      <c r="X113" s="85"/>
      <c r="Y113" s="85"/>
      <c r="AB113" s="85"/>
      <c r="AC113" s="85"/>
      <c r="AD113" s="85"/>
      <c r="AG113" s="85"/>
      <c r="AH113" s="85"/>
      <c r="AI113" s="85"/>
    </row>
    <row r="114" spans="18:35" x14ac:dyDescent="0.2">
      <c r="R114" s="85"/>
      <c r="S114" s="85"/>
      <c r="T114" s="85"/>
      <c r="W114" s="85"/>
      <c r="X114" s="85"/>
      <c r="Y114" s="85"/>
      <c r="AB114" s="85"/>
      <c r="AC114" s="85"/>
      <c r="AD114" s="85"/>
      <c r="AG114" s="85"/>
      <c r="AH114" s="85"/>
      <c r="AI114" s="85"/>
    </row>
    <row r="115" spans="18:35" x14ac:dyDescent="0.2">
      <c r="R115" s="85"/>
      <c r="S115" s="85"/>
      <c r="T115" s="85"/>
      <c r="W115" s="85"/>
      <c r="X115" s="85"/>
      <c r="Y115" s="85"/>
      <c r="AB115" s="85"/>
      <c r="AC115" s="85"/>
      <c r="AD115" s="85"/>
      <c r="AG115" s="85"/>
      <c r="AH115" s="85"/>
      <c r="AI115" s="85"/>
    </row>
    <row r="116" spans="18:35" x14ac:dyDescent="0.2">
      <c r="R116" s="85"/>
      <c r="S116" s="85"/>
      <c r="T116" s="85"/>
      <c r="W116" s="85"/>
      <c r="X116" s="85"/>
      <c r="Y116" s="85"/>
      <c r="AB116" s="85"/>
      <c r="AC116" s="85"/>
      <c r="AD116" s="85"/>
      <c r="AG116" s="85"/>
      <c r="AH116" s="85"/>
      <c r="AI116" s="85"/>
    </row>
    <row r="117" spans="18:35" x14ac:dyDescent="0.2">
      <c r="R117" s="85"/>
      <c r="S117" s="85"/>
      <c r="T117" s="85"/>
      <c r="W117" s="85"/>
      <c r="X117" s="85"/>
      <c r="Y117" s="85"/>
      <c r="AB117" s="85"/>
      <c r="AC117" s="85"/>
      <c r="AD117" s="85"/>
      <c r="AG117" s="85"/>
      <c r="AH117" s="85"/>
      <c r="AI117" s="85"/>
    </row>
    <row r="118" spans="18:35" x14ac:dyDescent="0.2">
      <c r="R118" s="85"/>
      <c r="S118" s="85"/>
      <c r="T118" s="85"/>
      <c r="W118" s="85"/>
      <c r="X118" s="85"/>
      <c r="Y118" s="85"/>
      <c r="AB118" s="85"/>
      <c r="AC118" s="85"/>
      <c r="AD118" s="85"/>
      <c r="AG118" s="85"/>
      <c r="AH118" s="85"/>
      <c r="AI118" s="85"/>
    </row>
    <row r="119" spans="18:35" x14ac:dyDescent="0.2">
      <c r="R119" s="85"/>
      <c r="S119" s="85"/>
      <c r="T119" s="85"/>
      <c r="W119" s="85"/>
      <c r="X119" s="85"/>
      <c r="Y119" s="85"/>
      <c r="AB119" s="85"/>
      <c r="AC119" s="85"/>
      <c r="AD119" s="85"/>
      <c r="AG119" s="85"/>
      <c r="AH119" s="85"/>
      <c r="AI119" s="85"/>
    </row>
    <row r="120" spans="18:35" x14ac:dyDescent="0.2">
      <c r="R120" s="85"/>
      <c r="S120" s="85"/>
      <c r="T120" s="85"/>
      <c r="W120" s="85"/>
      <c r="X120" s="85"/>
      <c r="Y120" s="85"/>
      <c r="AB120" s="85"/>
      <c r="AC120" s="85"/>
      <c r="AD120" s="85"/>
      <c r="AG120" s="85"/>
      <c r="AH120" s="85"/>
      <c r="AI120" s="85"/>
    </row>
    <row r="121" spans="18:35" x14ac:dyDescent="0.2">
      <c r="R121" s="85"/>
      <c r="S121" s="85"/>
      <c r="T121" s="85"/>
      <c r="W121" s="85"/>
      <c r="X121" s="85"/>
      <c r="Y121" s="85"/>
      <c r="AB121" s="85"/>
      <c r="AC121" s="85"/>
      <c r="AD121" s="85"/>
      <c r="AG121" s="85"/>
      <c r="AH121" s="85"/>
      <c r="AI121" s="85"/>
    </row>
    <row r="122" spans="18:35" x14ac:dyDescent="0.2">
      <c r="R122" s="85"/>
      <c r="S122" s="85"/>
      <c r="T122" s="85"/>
      <c r="W122" s="85"/>
      <c r="X122" s="85"/>
      <c r="Y122" s="85"/>
      <c r="AB122" s="85"/>
      <c r="AC122" s="85"/>
      <c r="AD122" s="85"/>
      <c r="AG122" s="85"/>
      <c r="AH122" s="85"/>
      <c r="AI122" s="85"/>
    </row>
    <row r="123" spans="18:35" x14ac:dyDescent="0.2">
      <c r="R123" s="85"/>
      <c r="S123" s="85"/>
      <c r="T123" s="85"/>
      <c r="W123" s="85"/>
      <c r="X123" s="85"/>
      <c r="Y123" s="85"/>
      <c r="AB123" s="85"/>
      <c r="AC123" s="85"/>
      <c r="AD123" s="85"/>
      <c r="AG123" s="85"/>
      <c r="AH123" s="85"/>
      <c r="AI123" s="85"/>
    </row>
    <row r="124" spans="18:35" x14ac:dyDescent="0.2">
      <c r="R124" s="85"/>
      <c r="S124" s="85"/>
      <c r="T124" s="85"/>
      <c r="W124" s="85"/>
      <c r="X124" s="85"/>
      <c r="Y124" s="85"/>
      <c r="AB124" s="85"/>
      <c r="AC124" s="85"/>
      <c r="AD124" s="85"/>
      <c r="AG124" s="85"/>
      <c r="AH124" s="85"/>
      <c r="AI124" s="85"/>
    </row>
    <row r="125" spans="18:35" x14ac:dyDescent="0.2">
      <c r="R125" s="85"/>
      <c r="S125" s="85"/>
      <c r="T125" s="85"/>
      <c r="W125" s="85"/>
      <c r="X125" s="85"/>
      <c r="Y125" s="85"/>
      <c r="AB125" s="85"/>
      <c r="AC125" s="85"/>
      <c r="AD125" s="85"/>
      <c r="AG125" s="85"/>
      <c r="AH125" s="85"/>
      <c r="AI125" s="85"/>
    </row>
    <row r="126" spans="18:35" x14ac:dyDescent="0.2">
      <c r="R126" s="85"/>
      <c r="S126" s="85"/>
      <c r="T126" s="85"/>
      <c r="W126" s="85"/>
      <c r="X126" s="85"/>
      <c r="Y126" s="85"/>
      <c r="AB126" s="85"/>
      <c r="AC126" s="85"/>
      <c r="AD126" s="85"/>
      <c r="AG126" s="85"/>
      <c r="AH126" s="85"/>
      <c r="AI126" s="85"/>
    </row>
    <row r="127" spans="18:35" x14ac:dyDescent="0.2">
      <c r="R127" s="85"/>
      <c r="S127" s="85"/>
      <c r="T127" s="85"/>
      <c r="W127" s="85"/>
      <c r="X127" s="85"/>
      <c r="Y127" s="85"/>
      <c r="AB127" s="85"/>
      <c r="AC127" s="85"/>
      <c r="AD127" s="85"/>
      <c r="AG127" s="85"/>
      <c r="AH127" s="85"/>
      <c r="AI127" s="85"/>
    </row>
    <row r="128" spans="18:35" x14ac:dyDescent="0.2">
      <c r="R128" s="85"/>
      <c r="S128" s="85"/>
      <c r="T128" s="85"/>
      <c r="W128" s="85"/>
      <c r="X128" s="85"/>
      <c r="Y128" s="85"/>
      <c r="AB128" s="85"/>
      <c r="AC128" s="85"/>
      <c r="AD128" s="85"/>
      <c r="AG128" s="85"/>
      <c r="AH128" s="85"/>
      <c r="AI128" s="85"/>
    </row>
    <row r="129" spans="18:35" x14ac:dyDescent="0.2">
      <c r="R129" s="85"/>
      <c r="S129" s="85"/>
      <c r="T129" s="85"/>
      <c r="W129" s="85"/>
      <c r="X129" s="85"/>
      <c r="Y129" s="85"/>
      <c r="AB129" s="85"/>
      <c r="AC129" s="85"/>
      <c r="AD129" s="85"/>
      <c r="AG129" s="85"/>
      <c r="AH129" s="85"/>
      <c r="AI129" s="85"/>
    </row>
    <row r="130" spans="18:35" x14ac:dyDescent="0.2">
      <c r="R130" s="85"/>
      <c r="S130" s="85"/>
      <c r="T130" s="85"/>
      <c r="W130" s="85"/>
      <c r="X130" s="85"/>
      <c r="Y130" s="85"/>
      <c r="AB130" s="85"/>
      <c r="AC130" s="85"/>
      <c r="AD130" s="85"/>
      <c r="AG130" s="85"/>
      <c r="AH130" s="85"/>
      <c r="AI130" s="85"/>
    </row>
    <row r="131" spans="18:35" x14ac:dyDescent="0.2">
      <c r="R131" s="85"/>
      <c r="S131" s="85"/>
      <c r="T131" s="85"/>
      <c r="W131" s="85"/>
      <c r="X131" s="85"/>
      <c r="Y131" s="85"/>
      <c r="AB131" s="85"/>
      <c r="AC131" s="85"/>
      <c r="AD131" s="85"/>
      <c r="AG131" s="85"/>
      <c r="AH131" s="85"/>
      <c r="AI131" s="85"/>
    </row>
    <row r="132" spans="18:35" x14ac:dyDescent="0.2">
      <c r="R132" s="85"/>
      <c r="S132" s="85"/>
      <c r="T132" s="85"/>
      <c r="W132" s="85"/>
      <c r="X132" s="85"/>
      <c r="Y132" s="85"/>
      <c r="AB132" s="85"/>
      <c r="AC132" s="85"/>
      <c r="AD132" s="85"/>
      <c r="AG132" s="85"/>
      <c r="AH132" s="85"/>
      <c r="AI132" s="85"/>
    </row>
    <row r="133" spans="18:35" x14ac:dyDescent="0.2">
      <c r="R133" s="85"/>
      <c r="S133" s="85"/>
      <c r="T133" s="85"/>
      <c r="W133" s="85"/>
      <c r="X133" s="85"/>
      <c r="Y133" s="85"/>
      <c r="AB133" s="85"/>
      <c r="AC133" s="85"/>
      <c r="AD133" s="85"/>
      <c r="AG133" s="85"/>
      <c r="AH133" s="85"/>
      <c r="AI133" s="85"/>
    </row>
    <row r="134" spans="18:35" x14ac:dyDescent="0.2">
      <c r="R134" s="85"/>
      <c r="S134" s="85"/>
      <c r="T134" s="85"/>
      <c r="W134" s="85"/>
      <c r="X134" s="85"/>
      <c r="Y134" s="85"/>
      <c r="AB134" s="85"/>
      <c r="AC134" s="85"/>
      <c r="AD134" s="85"/>
      <c r="AG134" s="85"/>
      <c r="AH134" s="85"/>
      <c r="AI134" s="85"/>
    </row>
    <row r="135" spans="18:35" x14ac:dyDescent="0.2">
      <c r="R135" s="85"/>
      <c r="S135" s="85"/>
      <c r="T135" s="85"/>
      <c r="W135" s="85"/>
      <c r="X135" s="85"/>
      <c r="Y135" s="85"/>
      <c r="AB135" s="85"/>
      <c r="AC135" s="85"/>
      <c r="AD135" s="85"/>
      <c r="AG135" s="85"/>
      <c r="AH135" s="85"/>
      <c r="AI135" s="85"/>
    </row>
    <row r="136" spans="18:35" x14ac:dyDescent="0.2">
      <c r="R136" s="85"/>
      <c r="S136" s="85"/>
      <c r="T136" s="85"/>
      <c r="W136" s="85"/>
      <c r="X136" s="85"/>
      <c r="Y136" s="85"/>
      <c r="AB136" s="85"/>
      <c r="AC136" s="85"/>
      <c r="AD136" s="85"/>
      <c r="AG136" s="85"/>
      <c r="AH136" s="85"/>
      <c r="AI136" s="85"/>
    </row>
    <row r="137" spans="18:35" x14ac:dyDescent="0.2">
      <c r="R137" s="85"/>
      <c r="S137" s="85"/>
      <c r="T137" s="85"/>
      <c r="W137" s="85"/>
      <c r="X137" s="85"/>
      <c r="Y137" s="85"/>
      <c r="AB137" s="85"/>
      <c r="AC137" s="85"/>
      <c r="AD137" s="85"/>
      <c r="AG137" s="85"/>
      <c r="AH137" s="85"/>
      <c r="AI137" s="85"/>
    </row>
    <row r="138" spans="18:35" x14ac:dyDescent="0.2">
      <c r="R138" s="85"/>
      <c r="S138" s="85"/>
      <c r="T138" s="85"/>
      <c r="W138" s="85"/>
      <c r="X138" s="85"/>
      <c r="Y138" s="85"/>
      <c r="AB138" s="85"/>
      <c r="AC138" s="85"/>
      <c r="AD138" s="85"/>
      <c r="AG138" s="85"/>
      <c r="AH138" s="85"/>
      <c r="AI138" s="85"/>
    </row>
    <row r="139" spans="18:35" x14ac:dyDescent="0.2">
      <c r="R139" s="85"/>
      <c r="S139" s="85"/>
      <c r="T139" s="85"/>
      <c r="W139" s="85"/>
      <c r="X139" s="85"/>
      <c r="Y139" s="85"/>
      <c r="AB139" s="85"/>
      <c r="AC139" s="85"/>
      <c r="AD139" s="85"/>
      <c r="AG139" s="85"/>
      <c r="AH139" s="85"/>
      <c r="AI139" s="85"/>
    </row>
    <row r="140" spans="18:35" x14ac:dyDescent="0.2">
      <c r="R140" s="85"/>
      <c r="S140" s="85"/>
      <c r="T140" s="85"/>
      <c r="W140" s="85"/>
      <c r="X140" s="85"/>
      <c r="Y140" s="85"/>
      <c r="AB140" s="85"/>
      <c r="AC140" s="85"/>
      <c r="AD140" s="85"/>
      <c r="AG140" s="85"/>
      <c r="AH140" s="85"/>
      <c r="AI140" s="85"/>
    </row>
    <row r="141" spans="18:35" x14ac:dyDescent="0.2">
      <c r="R141" s="85"/>
      <c r="S141" s="85"/>
      <c r="T141" s="85"/>
      <c r="W141" s="85"/>
      <c r="X141" s="85"/>
      <c r="Y141" s="85"/>
      <c r="AB141" s="85"/>
      <c r="AC141" s="85"/>
      <c r="AD141" s="85"/>
      <c r="AG141" s="85"/>
      <c r="AH141" s="85"/>
      <c r="AI141" s="85"/>
    </row>
    <row r="142" spans="18:35" x14ac:dyDescent="0.2">
      <c r="R142" s="85"/>
      <c r="S142" s="85"/>
      <c r="T142" s="85"/>
      <c r="W142" s="85"/>
      <c r="X142" s="85"/>
      <c r="Y142" s="85"/>
      <c r="AB142" s="85"/>
      <c r="AC142" s="85"/>
      <c r="AD142" s="85"/>
      <c r="AG142" s="85"/>
      <c r="AH142" s="85"/>
      <c r="AI142" s="85"/>
    </row>
    <row r="143" spans="18:35" x14ac:dyDescent="0.2">
      <c r="R143" s="85"/>
      <c r="S143" s="85"/>
      <c r="T143" s="85"/>
      <c r="W143" s="85"/>
      <c r="X143" s="85"/>
      <c r="Y143" s="85"/>
      <c r="AB143" s="85"/>
      <c r="AC143" s="85"/>
      <c r="AD143" s="85"/>
      <c r="AG143" s="85"/>
      <c r="AH143" s="85"/>
      <c r="AI143" s="85"/>
    </row>
    <row r="144" spans="18:35" x14ac:dyDescent="0.2">
      <c r="R144" s="85"/>
      <c r="S144" s="85"/>
      <c r="T144" s="85"/>
      <c r="W144" s="85"/>
      <c r="X144" s="85"/>
      <c r="Y144" s="85"/>
      <c r="AB144" s="85"/>
      <c r="AC144" s="85"/>
      <c r="AD144" s="85"/>
      <c r="AG144" s="85"/>
      <c r="AH144" s="85"/>
      <c r="AI144" s="85"/>
    </row>
    <row r="145" spans="18:35" x14ac:dyDescent="0.2">
      <c r="R145" s="85"/>
      <c r="S145" s="85"/>
      <c r="T145" s="85"/>
      <c r="W145" s="85"/>
      <c r="X145" s="85"/>
      <c r="Y145" s="85"/>
      <c r="AB145" s="85"/>
      <c r="AC145" s="85"/>
      <c r="AD145" s="85"/>
      <c r="AG145" s="85"/>
      <c r="AH145" s="85"/>
      <c r="AI145" s="85"/>
    </row>
    <row r="146" spans="18:35" x14ac:dyDescent="0.2">
      <c r="R146" s="85"/>
      <c r="S146" s="85"/>
      <c r="T146" s="85"/>
      <c r="W146" s="85"/>
      <c r="X146" s="85"/>
      <c r="Y146" s="85"/>
      <c r="AB146" s="85"/>
      <c r="AC146" s="85"/>
      <c r="AD146" s="85"/>
      <c r="AG146" s="85"/>
      <c r="AH146" s="85"/>
      <c r="AI146" s="85"/>
    </row>
    <row r="147" spans="18:35" x14ac:dyDescent="0.2">
      <c r="R147" s="85"/>
      <c r="S147" s="85"/>
      <c r="T147" s="85"/>
      <c r="W147" s="85"/>
      <c r="X147" s="85"/>
      <c r="Y147" s="85"/>
      <c r="AB147" s="85"/>
      <c r="AC147" s="85"/>
      <c r="AD147" s="85"/>
      <c r="AG147" s="85"/>
      <c r="AH147" s="85"/>
      <c r="AI147" s="85"/>
    </row>
    <row r="148" spans="18:35" x14ac:dyDescent="0.2">
      <c r="R148" s="85"/>
      <c r="S148" s="85"/>
      <c r="T148" s="85"/>
      <c r="W148" s="85"/>
      <c r="X148" s="85"/>
      <c r="Y148" s="85"/>
      <c r="AB148" s="85"/>
      <c r="AC148" s="85"/>
      <c r="AD148" s="85"/>
      <c r="AG148" s="85"/>
      <c r="AH148" s="85"/>
      <c r="AI148" s="85"/>
    </row>
    <row r="149" spans="18:35" x14ac:dyDescent="0.2">
      <c r="R149" s="85"/>
      <c r="S149" s="85"/>
      <c r="T149" s="85"/>
      <c r="W149" s="85"/>
      <c r="X149" s="85"/>
      <c r="Y149" s="85"/>
      <c r="AB149" s="85"/>
      <c r="AC149" s="85"/>
      <c r="AD149" s="85"/>
      <c r="AG149" s="85"/>
      <c r="AH149" s="85"/>
      <c r="AI149" s="85"/>
    </row>
    <row r="150" spans="18:35" x14ac:dyDescent="0.2">
      <c r="R150" s="85"/>
      <c r="S150" s="85"/>
      <c r="T150" s="85"/>
      <c r="W150" s="85"/>
      <c r="X150" s="85"/>
      <c r="Y150" s="85"/>
      <c r="AB150" s="85"/>
      <c r="AC150" s="85"/>
      <c r="AD150" s="85"/>
      <c r="AG150" s="85"/>
      <c r="AH150" s="85"/>
      <c r="AI150" s="85"/>
    </row>
    <row r="151" spans="18:35" x14ac:dyDescent="0.2">
      <c r="R151" s="85"/>
      <c r="S151" s="85"/>
      <c r="T151" s="85"/>
      <c r="W151" s="85"/>
      <c r="X151" s="85"/>
      <c r="Y151" s="85"/>
      <c r="AB151" s="85"/>
      <c r="AC151" s="85"/>
      <c r="AD151" s="85"/>
      <c r="AG151" s="85"/>
      <c r="AH151" s="85"/>
      <c r="AI151" s="85"/>
    </row>
    <row r="152" spans="18:35" x14ac:dyDescent="0.2">
      <c r="R152" s="85"/>
      <c r="S152" s="85"/>
      <c r="T152" s="85"/>
      <c r="W152" s="85"/>
      <c r="X152" s="85"/>
      <c r="Y152" s="85"/>
      <c r="AB152" s="85"/>
      <c r="AC152" s="85"/>
      <c r="AD152" s="85"/>
      <c r="AG152" s="85"/>
      <c r="AH152" s="85"/>
      <c r="AI152" s="85"/>
    </row>
    <row r="153" spans="18:35" x14ac:dyDescent="0.2">
      <c r="R153" s="85"/>
      <c r="S153" s="85"/>
      <c r="T153" s="85"/>
      <c r="W153" s="85"/>
      <c r="X153" s="85"/>
      <c r="Y153" s="85"/>
      <c r="AB153" s="85"/>
      <c r="AC153" s="85"/>
      <c r="AD153" s="85"/>
      <c r="AG153" s="85"/>
      <c r="AH153" s="85"/>
      <c r="AI153" s="85"/>
    </row>
    <row r="154" spans="18:35" x14ac:dyDescent="0.2">
      <c r="R154" s="85"/>
      <c r="S154" s="85"/>
      <c r="T154" s="85"/>
      <c r="W154" s="85"/>
      <c r="X154" s="85"/>
      <c r="Y154" s="85"/>
      <c r="AB154" s="85"/>
      <c r="AC154" s="85"/>
      <c r="AD154" s="85"/>
      <c r="AG154" s="85"/>
      <c r="AH154" s="85"/>
      <c r="AI154" s="85"/>
    </row>
    <row r="155" spans="18:35" x14ac:dyDescent="0.2">
      <c r="R155" s="85"/>
      <c r="S155" s="85"/>
      <c r="T155" s="85"/>
      <c r="W155" s="85"/>
      <c r="X155" s="85"/>
      <c r="Y155" s="85"/>
      <c r="AB155" s="85"/>
      <c r="AC155" s="85"/>
      <c r="AD155" s="85"/>
      <c r="AG155" s="85"/>
      <c r="AH155" s="85"/>
      <c r="AI155" s="85"/>
    </row>
    <row r="156" spans="18:35" x14ac:dyDescent="0.2">
      <c r="R156" s="85"/>
      <c r="S156" s="85"/>
      <c r="T156" s="85"/>
      <c r="W156" s="85"/>
      <c r="X156" s="85"/>
      <c r="Y156" s="85"/>
      <c r="AB156" s="85"/>
      <c r="AC156" s="85"/>
      <c r="AD156" s="85"/>
      <c r="AG156" s="85"/>
      <c r="AH156" s="85"/>
      <c r="AI156" s="85"/>
    </row>
    <row r="157" spans="18:35" x14ac:dyDescent="0.2">
      <c r="R157" s="85"/>
      <c r="S157" s="85"/>
      <c r="T157" s="85"/>
      <c r="W157" s="85"/>
      <c r="X157" s="85"/>
      <c r="Y157" s="85"/>
      <c r="AB157" s="85"/>
      <c r="AC157" s="85"/>
      <c r="AD157" s="85"/>
      <c r="AG157" s="85"/>
      <c r="AH157" s="85"/>
      <c r="AI157" s="85"/>
    </row>
    <row r="158" spans="18:35" x14ac:dyDescent="0.2">
      <c r="R158" s="85"/>
      <c r="S158" s="85"/>
      <c r="T158" s="85"/>
      <c r="W158" s="85"/>
      <c r="X158" s="85"/>
      <c r="Y158" s="85"/>
      <c r="AB158" s="85"/>
      <c r="AC158" s="85"/>
      <c r="AD158" s="85"/>
      <c r="AG158" s="85"/>
      <c r="AH158" s="85"/>
      <c r="AI158" s="85"/>
    </row>
    <row r="159" spans="18:35" x14ac:dyDescent="0.2">
      <c r="R159" s="85"/>
      <c r="S159" s="85"/>
      <c r="T159" s="85"/>
      <c r="W159" s="85"/>
      <c r="X159" s="85"/>
      <c r="Y159" s="85"/>
      <c r="AB159" s="85"/>
      <c r="AC159" s="85"/>
      <c r="AD159" s="85"/>
      <c r="AG159" s="85"/>
      <c r="AH159" s="85"/>
      <c r="AI159" s="85"/>
    </row>
    <row r="160" spans="18:35" x14ac:dyDescent="0.2">
      <c r="R160" s="85"/>
      <c r="S160" s="85"/>
      <c r="T160" s="85"/>
      <c r="W160" s="85"/>
      <c r="X160" s="85"/>
      <c r="Y160" s="85"/>
      <c r="AB160" s="85"/>
      <c r="AC160" s="85"/>
      <c r="AD160" s="85"/>
      <c r="AG160" s="85"/>
      <c r="AH160" s="85"/>
      <c r="AI160" s="85"/>
    </row>
    <row r="161" spans="18:35" x14ac:dyDescent="0.2">
      <c r="R161" s="85"/>
      <c r="S161" s="85"/>
      <c r="T161" s="85"/>
      <c r="W161" s="85"/>
      <c r="X161" s="85"/>
      <c r="Y161" s="85"/>
      <c r="AB161" s="85"/>
      <c r="AC161" s="85"/>
      <c r="AD161" s="85"/>
      <c r="AG161" s="85"/>
      <c r="AH161" s="85"/>
      <c r="AI161" s="85"/>
    </row>
    <row r="162" spans="18:35" x14ac:dyDescent="0.2">
      <c r="R162" s="85"/>
      <c r="S162" s="85"/>
      <c r="T162" s="85"/>
      <c r="W162" s="85"/>
      <c r="X162" s="85"/>
      <c r="Y162" s="85"/>
      <c r="AB162" s="85"/>
      <c r="AC162" s="85"/>
      <c r="AD162" s="85"/>
      <c r="AG162" s="85"/>
      <c r="AH162" s="85"/>
      <c r="AI162" s="85"/>
    </row>
    <row r="163" spans="18:35" x14ac:dyDescent="0.2">
      <c r="R163" s="85"/>
      <c r="S163" s="85"/>
      <c r="T163" s="85"/>
      <c r="W163" s="85"/>
      <c r="X163" s="85"/>
      <c r="Y163" s="85"/>
      <c r="AB163" s="85"/>
      <c r="AC163" s="85"/>
      <c r="AD163" s="85"/>
      <c r="AG163" s="85"/>
      <c r="AH163" s="85"/>
      <c r="AI163" s="85"/>
    </row>
    <row r="164" spans="18:35" x14ac:dyDescent="0.2">
      <c r="R164" s="85"/>
      <c r="S164" s="85"/>
      <c r="T164" s="85"/>
      <c r="W164" s="85"/>
      <c r="X164" s="85"/>
      <c r="Y164" s="85"/>
      <c r="AB164" s="85"/>
      <c r="AC164" s="85"/>
      <c r="AD164" s="85"/>
      <c r="AG164" s="85"/>
      <c r="AH164" s="85"/>
      <c r="AI164" s="85"/>
    </row>
    <row r="165" spans="18:35" x14ac:dyDescent="0.2">
      <c r="R165" s="85"/>
      <c r="S165" s="85"/>
      <c r="T165" s="85"/>
      <c r="W165" s="85"/>
      <c r="X165" s="85"/>
      <c r="Y165" s="85"/>
      <c r="AB165" s="85"/>
      <c r="AC165" s="85"/>
      <c r="AD165" s="85"/>
      <c r="AG165" s="85"/>
      <c r="AH165" s="85"/>
      <c r="AI165" s="85"/>
    </row>
    <row r="166" spans="18:35" x14ac:dyDescent="0.2">
      <c r="R166" s="85"/>
      <c r="S166" s="85"/>
      <c r="T166" s="85"/>
      <c r="W166" s="85"/>
      <c r="X166" s="85"/>
      <c r="Y166" s="85"/>
      <c r="AB166" s="85"/>
      <c r="AC166" s="85"/>
      <c r="AD166" s="85"/>
      <c r="AG166" s="85"/>
      <c r="AH166" s="85"/>
      <c r="AI166" s="85"/>
    </row>
    <row r="167" spans="18:35" x14ac:dyDescent="0.2">
      <c r="R167" s="85"/>
      <c r="S167" s="85"/>
      <c r="T167" s="85"/>
      <c r="W167" s="85"/>
      <c r="X167" s="85"/>
      <c r="Y167" s="85"/>
      <c r="AB167" s="85"/>
      <c r="AC167" s="85"/>
      <c r="AD167" s="85"/>
      <c r="AG167" s="85"/>
      <c r="AH167" s="85"/>
      <c r="AI167" s="85"/>
    </row>
    <row r="168" spans="18:35" x14ac:dyDescent="0.2">
      <c r="R168" s="85"/>
      <c r="S168" s="85"/>
      <c r="T168" s="85"/>
      <c r="W168" s="85"/>
      <c r="X168" s="85"/>
      <c r="Y168" s="85"/>
      <c r="AB168" s="85"/>
      <c r="AC168" s="85"/>
      <c r="AD168" s="85"/>
      <c r="AG168" s="85"/>
      <c r="AH168" s="85"/>
      <c r="AI168" s="85"/>
    </row>
    <row r="169" spans="18:35" x14ac:dyDescent="0.2">
      <c r="R169" s="85"/>
      <c r="S169" s="85"/>
      <c r="T169" s="85"/>
      <c r="W169" s="85"/>
      <c r="X169" s="85"/>
      <c r="Y169" s="85"/>
      <c r="AB169" s="85"/>
      <c r="AC169" s="85"/>
      <c r="AD169" s="85"/>
      <c r="AG169" s="85"/>
      <c r="AH169" s="85"/>
      <c r="AI169" s="85"/>
    </row>
    <row r="170" spans="18:35" x14ac:dyDescent="0.2">
      <c r="R170" s="85"/>
      <c r="S170" s="85"/>
      <c r="T170" s="85"/>
      <c r="W170" s="85"/>
      <c r="X170" s="85"/>
      <c r="Y170" s="85"/>
      <c r="AB170" s="85"/>
      <c r="AC170" s="85"/>
      <c r="AD170" s="85"/>
      <c r="AG170" s="85"/>
      <c r="AH170" s="85"/>
      <c r="AI170" s="85"/>
    </row>
    <row r="171" spans="18:35" x14ac:dyDescent="0.2">
      <c r="R171" s="85"/>
      <c r="S171" s="85"/>
      <c r="T171" s="85"/>
      <c r="W171" s="85"/>
      <c r="X171" s="85"/>
      <c r="Y171" s="85"/>
      <c r="AB171" s="85"/>
      <c r="AC171" s="85"/>
      <c r="AD171" s="85"/>
      <c r="AG171" s="85"/>
      <c r="AH171" s="85"/>
      <c r="AI171" s="85"/>
    </row>
    <row r="172" spans="18:35" x14ac:dyDescent="0.2">
      <c r="R172" s="85"/>
      <c r="S172" s="85"/>
      <c r="T172" s="85"/>
      <c r="W172" s="85"/>
      <c r="X172" s="85"/>
      <c r="Y172" s="85"/>
      <c r="AB172" s="85"/>
      <c r="AC172" s="85"/>
      <c r="AD172" s="85"/>
      <c r="AG172" s="85"/>
      <c r="AH172" s="85"/>
      <c r="AI172" s="85"/>
    </row>
    <row r="173" spans="18:35" x14ac:dyDescent="0.2">
      <c r="R173" s="85"/>
      <c r="S173" s="85"/>
      <c r="T173" s="85"/>
      <c r="W173" s="85"/>
      <c r="X173" s="85"/>
      <c r="Y173" s="85"/>
      <c r="AB173" s="85"/>
      <c r="AC173" s="85"/>
      <c r="AD173" s="85"/>
      <c r="AG173" s="85"/>
      <c r="AH173" s="85"/>
      <c r="AI173" s="85"/>
    </row>
    <row r="174" spans="18:35" x14ac:dyDescent="0.2">
      <c r="R174" s="85"/>
      <c r="S174" s="85"/>
      <c r="T174" s="85"/>
      <c r="W174" s="85"/>
      <c r="X174" s="85"/>
      <c r="Y174" s="85"/>
      <c r="AB174" s="85"/>
      <c r="AC174" s="85"/>
      <c r="AD174" s="85"/>
      <c r="AG174" s="85"/>
      <c r="AH174" s="85"/>
      <c r="AI174" s="85"/>
    </row>
    <row r="175" spans="18:35" x14ac:dyDescent="0.2">
      <c r="R175" s="85"/>
      <c r="S175" s="85"/>
      <c r="T175" s="85"/>
      <c r="W175" s="85"/>
      <c r="X175" s="85"/>
      <c r="Y175" s="85"/>
      <c r="AB175" s="85"/>
      <c r="AC175" s="85"/>
      <c r="AD175" s="85"/>
      <c r="AG175" s="85"/>
      <c r="AH175" s="85"/>
      <c r="AI175" s="85"/>
    </row>
    <row r="176" spans="18:35" x14ac:dyDescent="0.2">
      <c r="R176" s="85"/>
      <c r="S176" s="85"/>
      <c r="T176" s="85"/>
      <c r="W176" s="85"/>
      <c r="X176" s="85"/>
      <c r="Y176" s="85"/>
      <c r="AB176" s="85"/>
      <c r="AC176" s="85"/>
      <c r="AD176" s="85"/>
      <c r="AG176" s="85"/>
      <c r="AH176" s="85"/>
      <c r="AI176" s="85"/>
    </row>
    <row r="177" spans="18:35" x14ac:dyDescent="0.2">
      <c r="R177" s="85"/>
      <c r="S177" s="85"/>
      <c r="T177" s="85"/>
      <c r="W177" s="85"/>
      <c r="X177" s="85"/>
      <c r="Y177" s="85"/>
      <c r="AB177" s="85"/>
      <c r="AC177" s="85"/>
      <c r="AD177" s="85"/>
      <c r="AG177" s="85"/>
      <c r="AH177" s="85"/>
      <c r="AI177" s="85"/>
    </row>
    <row r="178" spans="18:35" x14ac:dyDescent="0.2">
      <c r="R178" s="85"/>
      <c r="S178" s="85"/>
      <c r="T178" s="85"/>
      <c r="W178" s="85"/>
      <c r="X178" s="85"/>
      <c r="Y178" s="85"/>
      <c r="AB178" s="85"/>
      <c r="AC178" s="85"/>
      <c r="AD178" s="85"/>
      <c r="AG178" s="85"/>
      <c r="AH178" s="85"/>
      <c r="AI178" s="85"/>
    </row>
    <row r="179" spans="18:35" x14ac:dyDescent="0.2">
      <c r="R179" s="85"/>
      <c r="S179" s="85"/>
      <c r="T179" s="85"/>
      <c r="W179" s="85"/>
      <c r="X179" s="85"/>
      <c r="Y179" s="85"/>
      <c r="AB179" s="85"/>
      <c r="AC179" s="85"/>
      <c r="AD179" s="85"/>
      <c r="AG179" s="85"/>
      <c r="AH179" s="85"/>
      <c r="AI179" s="85"/>
    </row>
    <row r="180" spans="18:35" x14ac:dyDescent="0.2">
      <c r="R180" s="85"/>
      <c r="S180" s="85"/>
      <c r="T180" s="85"/>
      <c r="W180" s="85"/>
      <c r="X180" s="85"/>
      <c r="Y180" s="85"/>
      <c r="AB180" s="85"/>
      <c r="AC180" s="85"/>
      <c r="AD180" s="85"/>
      <c r="AG180" s="85"/>
      <c r="AH180" s="85"/>
      <c r="AI180" s="85"/>
    </row>
    <row r="181" spans="18:35" x14ac:dyDescent="0.2">
      <c r="R181" s="85"/>
      <c r="S181" s="85"/>
      <c r="T181" s="85"/>
      <c r="W181" s="85"/>
      <c r="X181" s="85"/>
      <c r="Y181" s="85"/>
      <c r="AB181" s="85"/>
      <c r="AC181" s="85"/>
      <c r="AD181" s="85"/>
      <c r="AG181" s="85"/>
      <c r="AH181" s="85"/>
      <c r="AI181" s="85"/>
    </row>
    <row r="182" spans="18:35" x14ac:dyDescent="0.2">
      <c r="R182" s="85"/>
      <c r="S182" s="85"/>
      <c r="T182" s="85"/>
      <c r="W182" s="85"/>
      <c r="X182" s="85"/>
      <c r="Y182" s="85"/>
      <c r="AB182" s="85"/>
      <c r="AC182" s="85"/>
      <c r="AD182" s="85"/>
      <c r="AG182" s="85"/>
      <c r="AH182" s="85"/>
      <c r="AI182" s="85"/>
    </row>
    <row r="183" spans="18:35" x14ac:dyDescent="0.2">
      <c r="R183" s="85"/>
      <c r="S183" s="85"/>
      <c r="T183" s="85"/>
      <c r="W183" s="85"/>
      <c r="X183" s="85"/>
      <c r="Y183" s="85"/>
      <c r="AB183" s="85"/>
      <c r="AC183" s="85"/>
      <c r="AD183" s="85"/>
      <c r="AG183" s="85"/>
      <c r="AH183" s="85"/>
      <c r="AI183" s="85"/>
    </row>
    <row r="184" spans="18:35" x14ac:dyDescent="0.2">
      <c r="R184" s="85"/>
      <c r="S184" s="85"/>
      <c r="T184" s="85"/>
      <c r="W184" s="85"/>
      <c r="X184" s="85"/>
      <c r="Y184" s="85"/>
      <c r="AB184" s="85"/>
      <c r="AC184" s="85"/>
      <c r="AD184" s="85"/>
      <c r="AG184" s="85"/>
      <c r="AH184" s="85"/>
      <c r="AI184" s="85"/>
    </row>
    <row r="185" spans="18:35" x14ac:dyDescent="0.2">
      <c r="R185" s="85"/>
      <c r="S185" s="85"/>
      <c r="T185" s="85"/>
      <c r="W185" s="85"/>
      <c r="X185" s="85"/>
      <c r="Y185" s="85"/>
      <c r="AB185" s="85"/>
      <c r="AC185" s="85"/>
      <c r="AD185" s="85"/>
      <c r="AG185" s="85"/>
      <c r="AH185" s="85"/>
      <c r="AI185" s="85"/>
    </row>
    <row r="186" spans="18:35" x14ac:dyDescent="0.2">
      <c r="R186" s="85"/>
      <c r="S186" s="85"/>
      <c r="T186" s="85"/>
      <c r="W186" s="85"/>
      <c r="X186" s="85"/>
      <c r="Y186" s="85"/>
      <c r="AB186" s="85"/>
      <c r="AC186" s="85"/>
      <c r="AD186" s="85"/>
      <c r="AG186" s="85"/>
      <c r="AH186" s="85"/>
      <c r="AI186" s="85"/>
    </row>
    <row r="187" spans="18:35" x14ac:dyDescent="0.2">
      <c r="R187" s="85"/>
      <c r="S187" s="85"/>
      <c r="T187" s="85"/>
      <c r="W187" s="85"/>
      <c r="X187" s="85"/>
      <c r="Y187" s="85"/>
      <c r="AB187" s="85"/>
      <c r="AC187" s="85"/>
      <c r="AD187" s="85"/>
      <c r="AG187" s="85"/>
      <c r="AH187" s="85"/>
      <c r="AI187" s="85"/>
    </row>
    <row r="188" spans="18:35" x14ac:dyDescent="0.2">
      <c r="R188" s="85"/>
      <c r="S188" s="85"/>
      <c r="T188" s="85"/>
      <c r="W188" s="85"/>
      <c r="X188" s="85"/>
      <c r="Y188" s="85"/>
      <c r="AB188" s="85"/>
      <c r="AC188" s="85"/>
      <c r="AD188" s="85"/>
      <c r="AG188" s="85"/>
      <c r="AH188" s="85"/>
      <c r="AI188" s="85"/>
    </row>
    <row r="189" spans="18:35" x14ac:dyDescent="0.2">
      <c r="R189" s="85"/>
      <c r="S189" s="85"/>
      <c r="T189" s="85"/>
      <c r="W189" s="85"/>
      <c r="X189" s="85"/>
      <c r="Y189" s="85"/>
      <c r="AB189" s="85"/>
      <c r="AC189" s="85"/>
      <c r="AD189" s="85"/>
      <c r="AG189" s="85"/>
      <c r="AH189" s="85"/>
      <c r="AI189" s="85"/>
    </row>
    <row r="190" spans="18:35" x14ac:dyDescent="0.2">
      <c r="R190" s="85"/>
      <c r="S190" s="85"/>
      <c r="T190" s="85"/>
      <c r="W190" s="85"/>
      <c r="X190" s="85"/>
      <c r="Y190" s="85"/>
      <c r="AB190" s="85"/>
      <c r="AC190" s="85"/>
      <c r="AD190" s="85"/>
      <c r="AG190" s="85"/>
      <c r="AH190" s="85"/>
      <c r="AI190" s="85"/>
    </row>
    <row r="191" spans="18:35" x14ac:dyDescent="0.2">
      <c r="R191" s="85"/>
      <c r="S191" s="85"/>
      <c r="T191" s="85"/>
      <c r="W191" s="85"/>
      <c r="X191" s="85"/>
      <c r="Y191" s="85"/>
      <c r="AB191" s="85"/>
      <c r="AC191" s="85"/>
      <c r="AD191" s="85"/>
      <c r="AG191" s="85"/>
      <c r="AH191" s="85"/>
      <c r="AI191" s="85"/>
    </row>
    <row r="192" spans="18:35" x14ac:dyDescent="0.2">
      <c r="R192" s="85"/>
      <c r="S192" s="85"/>
      <c r="T192" s="85"/>
      <c r="W192" s="85"/>
      <c r="X192" s="85"/>
      <c r="Y192" s="85"/>
      <c r="AB192" s="85"/>
      <c r="AC192" s="85"/>
      <c r="AD192" s="85"/>
      <c r="AG192" s="85"/>
      <c r="AH192" s="85"/>
      <c r="AI192" s="85"/>
    </row>
    <row r="193" spans="18:35" x14ac:dyDescent="0.2">
      <c r="R193" s="85"/>
      <c r="S193" s="85"/>
      <c r="T193" s="85"/>
      <c r="W193" s="85"/>
      <c r="X193" s="85"/>
      <c r="Y193" s="85"/>
      <c r="AB193" s="85"/>
      <c r="AC193" s="85"/>
      <c r="AD193" s="85"/>
      <c r="AG193" s="85"/>
      <c r="AH193" s="85"/>
      <c r="AI193" s="85"/>
    </row>
    <row r="194" spans="18:35" x14ac:dyDescent="0.2">
      <c r="R194" s="85"/>
      <c r="S194" s="85"/>
      <c r="T194" s="85"/>
      <c r="W194" s="85"/>
      <c r="X194" s="85"/>
      <c r="Y194" s="85"/>
      <c r="AB194" s="85"/>
      <c r="AC194" s="85"/>
      <c r="AD194" s="85"/>
      <c r="AG194" s="85"/>
      <c r="AH194" s="85"/>
      <c r="AI194" s="85"/>
    </row>
    <row r="195" spans="18:35" x14ac:dyDescent="0.2">
      <c r="R195" s="85"/>
      <c r="S195" s="85"/>
      <c r="T195" s="85"/>
      <c r="W195" s="85"/>
      <c r="X195" s="85"/>
      <c r="Y195" s="85"/>
      <c r="AB195" s="85"/>
      <c r="AC195" s="85"/>
      <c r="AD195" s="85"/>
      <c r="AG195" s="85"/>
      <c r="AH195" s="85"/>
      <c r="AI195" s="85"/>
    </row>
    <row r="196" spans="18:35" x14ac:dyDescent="0.2">
      <c r="R196" s="85"/>
      <c r="S196" s="85"/>
      <c r="T196" s="85"/>
      <c r="W196" s="85"/>
      <c r="X196" s="85"/>
      <c r="Y196" s="85"/>
      <c r="AB196" s="85"/>
      <c r="AC196" s="85"/>
      <c r="AD196" s="85"/>
      <c r="AG196" s="85"/>
      <c r="AH196" s="85"/>
      <c r="AI196" s="85"/>
    </row>
    <row r="197" spans="18:35" x14ac:dyDescent="0.2">
      <c r="R197" s="85"/>
      <c r="S197" s="85"/>
      <c r="T197" s="85"/>
      <c r="W197" s="85"/>
      <c r="X197" s="85"/>
      <c r="Y197" s="85"/>
      <c r="AB197" s="85"/>
      <c r="AC197" s="85"/>
      <c r="AD197" s="85"/>
      <c r="AG197" s="85"/>
      <c r="AH197" s="85"/>
      <c r="AI197" s="85"/>
    </row>
    <row r="198" spans="18:35" x14ac:dyDescent="0.2">
      <c r="R198" s="85"/>
      <c r="S198" s="85"/>
      <c r="T198" s="85"/>
      <c r="W198" s="85"/>
      <c r="X198" s="85"/>
      <c r="Y198" s="85"/>
      <c r="AB198" s="85"/>
      <c r="AC198" s="85"/>
      <c r="AD198" s="85"/>
      <c r="AG198" s="85"/>
      <c r="AH198" s="85"/>
      <c r="AI198" s="85"/>
    </row>
    <row r="199" spans="18:35" x14ac:dyDescent="0.2">
      <c r="R199" s="85"/>
      <c r="S199" s="85"/>
      <c r="T199" s="85"/>
      <c r="W199" s="85"/>
      <c r="X199" s="85"/>
      <c r="Y199" s="85"/>
      <c r="AB199" s="85"/>
      <c r="AC199" s="85"/>
      <c r="AD199" s="85"/>
      <c r="AG199" s="85"/>
      <c r="AH199" s="85"/>
      <c r="AI199" s="85"/>
    </row>
    <row r="200" spans="18:35" x14ac:dyDescent="0.2">
      <c r="R200" s="85"/>
      <c r="S200" s="85"/>
      <c r="T200" s="85"/>
      <c r="W200" s="85"/>
      <c r="X200" s="85"/>
      <c r="Y200" s="85"/>
      <c r="AB200" s="85"/>
      <c r="AC200" s="85"/>
      <c r="AD200" s="85"/>
      <c r="AG200" s="85"/>
      <c r="AH200" s="85"/>
      <c r="AI200" s="85"/>
    </row>
    <row r="201" spans="18:35" x14ac:dyDescent="0.2">
      <c r="R201" s="85"/>
      <c r="S201" s="85"/>
      <c r="T201" s="85"/>
      <c r="W201" s="85"/>
      <c r="X201" s="85"/>
      <c r="Y201" s="85"/>
      <c r="AB201" s="85"/>
      <c r="AC201" s="85"/>
      <c r="AD201" s="85"/>
      <c r="AG201" s="85"/>
      <c r="AH201" s="85"/>
      <c r="AI201" s="85"/>
    </row>
    <row r="202" spans="18:35" x14ac:dyDescent="0.2">
      <c r="R202" s="85"/>
      <c r="S202" s="85"/>
      <c r="T202" s="85"/>
      <c r="W202" s="85"/>
      <c r="X202" s="85"/>
      <c r="Y202" s="85"/>
      <c r="AB202" s="85"/>
      <c r="AC202" s="85"/>
      <c r="AD202" s="85"/>
      <c r="AG202" s="85"/>
      <c r="AH202" s="85"/>
      <c r="AI202" s="85"/>
    </row>
    <row r="203" spans="18:35" x14ac:dyDescent="0.2">
      <c r="R203" s="85"/>
      <c r="S203" s="85"/>
      <c r="T203" s="85"/>
      <c r="W203" s="85"/>
      <c r="X203" s="85"/>
      <c r="Y203" s="85"/>
      <c r="AB203" s="85"/>
      <c r="AC203" s="85"/>
      <c r="AD203" s="85"/>
      <c r="AG203" s="85"/>
      <c r="AH203" s="85"/>
      <c r="AI203" s="85"/>
    </row>
    <row r="204" spans="18:35" x14ac:dyDescent="0.2">
      <c r="R204" s="85"/>
      <c r="S204" s="85"/>
      <c r="T204" s="85"/>
      <c r="W204" s="85"/>
      <c r="X204" s="85"/>
      <c r="Y204" s="85"/>
      <c r="AB204" s="85"/>
      <c r="AC204" s="85"/>
      <c r="AD204" s="85"/>
      <c r="AG204" s="85"/>
      <c r="AH204" s="85"/>
      <c r="AI204" s="85"/>
    </row>
    <row r="205" spans="18:35" x14ac:dyDescent="0.2">
      <c r="R205" s="85"/>
      <c r="S205" s="85"/>
      <c r="T205" s="85"/>
      <c r="W205" s="85"/>
      <c r="X205" s="85"/>
      <c r="Y205" s="85"/>
      <c r="AB205" s="85"/>
      <c r="AC205" s="85"/>
      <c r="AD205" s="85"/>
      <c r="AG205" s="85"/>
      <c r="AH205" s="85"/>
      <c r="AI205" s="85"/>
    </row>
    <row r="206" spans="18:35" x14ac:dyDescent="0.2">
      <c r="R206" s="85"/>
      <c r="S206" s="85"/>
      <c r="T206" s="85"/>
      <c r="W206" s="85"/>
      <c r="X206" s="85"/>
      <c r="Y206" s="85"/>
      <c r="AB206" s="85"/>
      <c r="AC206" s="85"/>
      <c r="AD206" s="85"/>
      <c r="AG206" s="85"/>
      <c r="AH206" s="85"/>
      <c r="AI206" s="85"/>
    </row>
    <row r="207" spans="18:35" x14ac:dyDescent="0.2">
      <c r="R207" s="85"/>
      <c r="S207" s="85"/>
      <c r="T207" s="85"/>
      <c r="W207" s="85"/>
      <c r="X207" s="85"/>
      <c r="Y207" s="85"/>
      <c r="AB207" s="85"/>
      <c r="AC207" s="85"/>
      <c r="AD207" s="85"/>
      <c r="AG207" s="85"/>
      <c r="AH207" s="85"/>
      <c r="AI207" s="85"/>
    </row>
    <row r="208" spans="18:35" x14ac:dyDescent="0.2">
      <c r="R208" s="85"/>
      <c r="S208" s="85"/>
      <c r="T208" s="85"/>
      <c r="W208" s="85"/>
      <c r="X208" s="85"/>
      <c r="Y208" s="85"/>
      <c r="AB208" s="85"/>
      <c r="AC208" s="85"/>
      <c r="AD208" s="85"/>
      <c r="AG208" s="85"/>
      <c r="AH208" s="85"/>
      <c r="AI208" s="85"/>
    </row>
    <row r="209" spans="18:35" x14ac:dyDescent="0.2">
      <c r="R209" s="85"/>
      <c r="S209" s="85"/>
      <c r="T209" s="85"/>
      <c r="W209" s="85"/>
      <c r="X209" s="85"/>
      <c r="Y209" s="85"/>
      <c r="AB209" s="85"/>
      <c r="AC209" s="85"/>
      <c r="AD209" s="85"/>
      <c r="AG209" s="85"/>
      <c r="AH209" s="85"/>
      <c r="AI209" s="85"/>
    </row>
    <row r="210" spans="18:35" x14ac:dyDescent="0.2">
      <c r="R210" s="85"/>
      <c r="S210" s="85"/>
      <c r="T210" s="85"/>
      <c r="W210" s="85"/>
      <c r="X210" s="85"/>
      <c r="Y210" s="85"/>
      <c r="AB210" s="85"/>
      <c r="AC210" s="85"/>
      <c r="AD210" s="85"/>
      <c r="AG210" s="85"/>
      <c r="AH210" s="85"/>
      <c r="AI210" s="85"/>
    </row>
    <row r="211" spans="18:35" x14ac:dyDescent="0.2">
      <c r="R211" s="85"/>
      <c r="S211" s="85"/>
      <c r="T211" s="85"/>
      <c r="W211" s="85"/>
      <c r="X211" s="85"/>
      <c r="Y211" s="85"/>
      <c r="AB211" s="85"/>
      <c r="AC211" s="85"/>
      <c r="AD211" s="85"/>
      <c r="AG211" s="85"/>
      <c r="AH211" s="85"/>
      <c r="AI211" s="85"/>
    </row>
    <row r="212" spans="18:35" x14ac:dyDescent="0.2">
      <c r="R212" s="85"/>
      <c r="S212" s="85"/>
      <c r="T212" s="85"/>
      <c r="W212" s="85"/>
      <c r="X212" s="85"/>
      <c r="Y212" s="85"/>
      <c r="AB212" s="85"/>
      <c r="AC212" s="85"/>
      <c r="AD212" s="85"/>
      <c r="AG212" s="85"/>
      <c r="AH212" s="85"/>
      <c r="AI212" s="85"/>
    </row>
    <row r="213" spans="18:35" x14ac:dyDescent="0.2">
      <c r="R213" s="85"/>
      <c r="S213" s="85"/>
      <c r="T213" s="85"/>
      <c r="W213" s="85"/>
      <c r="X213" s="85"/>
      <c r="Y213" s="85"/>
      <c r="AB213" s="85"/>
      <c r="AC213" s="85"/>
      <c r="AD213" s="85"/>
      <c r="AG213" s="85"/>
      <c r="AH213" s="85"/>
      <c r="AI213" s="85"/>
    </row>
    <row r="214" spans="18:35" x14ac:dyDescent="0.2">
      <c r="R214" s="85"/>
      <c r="S214" s="85"/>
      <c r="T214" s="85"/>
      <c r="W214" s="85"/>
      <c r="X214" s="85"/>
      <c r="Y214" s="85"/>
      <c r="AB214" s="85"/>
      <c r="AC214" s="85"/>
      <c r="AD214" s="85"/>
      <c r="AG214" s="85"/>
      <c r="AH214" s="85"/>
      <c r="AI214" s="85"/>
    </row>
    <row r="215" spans="18:35" x14ac:dyDescent="0.2">
      <c r="R215" s="85"/>
      <c r="S215" s="85"/>
      <c r="T215" s="85"/>
      <c r="W215" s="85"/>
      <c r="X215" s="85"/>
      <c r="Y215" s="85"/>
      <c r="AB215" s="85"/>
      <c r="AC215" s="85"/>
      <c r="AD215" s="85"/>
      <c r="AG215" s="85"/>
      <c r="AH215" s="85"/>
      <c r="AI215" s="85"/>
    </row>
    <row r="216" spans="18:35" x14ac:dyDescent="0.2">
      <c r="R216" s="85"/>
      <c r="S216" s="85"/>
      <c r="T216" s="85"/>
      <c r="W216" s="85"/>
      <c r="X216" s="85"/>
      <c r="Y216" s="85"/>
      <c r="AB216" s="85"/>
      <c r="AC216" s="85"/>
      <c r="AD216" s="85"/>
      <c r="AG216" s="85"/>
      <c r="AH216" s="85"/>
      <c r="AI216" s="85"/>
    </row>
    <row r="217" spans="18:35" x14ac:dyDescent="0.2">
      <c r="R217" s="85"/>
      <c r="S217" s="85"/>
      <c r="T217" s="85"/>
      <c r="W217" s="85"/>
      <c r="X217" s="85"/>
      <c r="Y217" s="85"/>
      <c r="AB217" s="85"/>
      <c r="AC217" s="85"/>
      <c r="AD217" s="85"/>
      <c r="AG217" s="85"/>
      <c r="AH217" s="85"/>
      <c r="AI217" s="85"/>
    </row>
    <row r="218" spans="18:35" x14ac:dyDescent="0.2">
      <c r="R218" s="85"/>
      <c r="S218" s="85"/>
      <c r="T218" s="85"/>
      <c r="W218" s="85"/>
      <c r="X218" s="85"/>
      <c r="Y218" s="85"/>
      <c r="AB218" s="85"/>
      <c r="AC218" s="85"/>
      <c r="AD218" s="85"/>
      <c r="AG218" s="85"/>
      <c r="AH218" s="85"/>
      <c r="AI218" s="85"/>
    </row>
    <row r="219" spans="18:35" x14ac:dyDescent="0.2">
      <c r="R219" s="85"/>
      <c r="S219" s="85"/>
      <c r="T219" s="85"/>
      <c r="W219" s="85"/>
      <c r="X219" s="85"/>
      <c r="Y219" s="85"/>
      <c r="AB219" s="85"/>
      <c r="AC219" s="85"/>
      <c r="AD219" s="85"/>
      <c r="AG219" s="85"/>
      <c r="AH219" s="85"/>
      <c r="AI219" s="85"/>
    </row>
    <row r="220" spans="18:35" x14ac:dyDescent="0.2">
      <c r="R220" s="85"/>
      <c r="S220" s="85"/>
      <c r="T220" s="85"/>
      <c r="W220" s="85"/>
      <c r="X220" s="85"/>
      <c r="Y220" s="85"/>
      <c r="AB220" s="85"/>
      <c r="AC220" s="85"/>
      <c r="AD220" s="85"/>
      <c r="AG220" s="85"/>
      <c r="AH220" s="85"/>
      <c r="AI220" s="85"/>
    </row>
    <row r="221" spans="18:35" x14ac:dyDescent="0.2">
      <c r="R221" s="85"/>
      <c r="S221" s="85"/>
      <c r="T221" s="85"/>
      <c r="W221" s="85"/>
      <c r="X221" s="85"/>
      <c r="Y221" s="85"/>
      <c r="AB221" s="85"/>
      <c r="AC221" s="85"/>
      <c r="AD221" s="85"/>
      <c r="AG221" s="85"/>
      <c r="AH221" s="85"/>
      <c r="AI221" s="85"/>
    </row>
    <row r="222" spans="18:35" x14ac:dyDescent="0.2">
      <c r="R222" s="85"/>
      <c r="S222" s="85"/>
      <c r="T222" s="85"/>
      <c r="W222" s="85"/>
      <c r="X222" s="85"/>
      <c r="Y222" s="85"/>
      <c r="AB222" s="85"/>
      <c r="AC222" s="85"/>
      <c r="AD222" s="85"/>
      <c r="AG222" s="85"/>
      <c r="AH222" s="85"/>
      <c r="AI222" s="85"/>
    </row>
    <row r="223" spans="18:35" x14ac:dyDescent="0.2">
      <c r="R223" s="85"/>
      <c r="S223" s="85"/>
      <c r="T223" s="85"/>
      <c r="W223" s="85"/>
      <c r="X223" s="85"/>
      <c r="Y223" s="85"/>
      <c r="AB223" s="85"/>
      <c r="AC223" s="85"/>
      <c r="AD223" s="85"/>
      <c r="AG223" s="85"/>
      <c r="AH223" s="85"/>
      <c r="AI223" s="85"/>
    </row>
    <row r="224" spans="18:35" x14ac:dyDescent="0.2">
      <c r="R224" s="85"/>
      <c r="S224" s="85"/>
      <c r="T224" s="85"/>
      <c r="W224" s="85"/>
      <c r="X224" s="85"/>
      <c r="Y224" s="85"/>
      <c r="AB224" s="85"/>
      <c r="AC224" s="85"/>
      <c r="AD224" s="85"/>
      <c r="AG224" s="85"/>
      <c r="AH224" s="85"/>
      <c r="AI224" s="85"/>
    </row>
    <row r="225" spans="18:35" x14ac:dyDescent="0.2">
      <c r="R225" s="85"/>
      <c r="S225" s="85"/>
      <c r="T225" s="85"/>
      <c r="W225" s="85"/>
      <c r="X225" s="85"/>
      <c r="Y225" s="85"/>
      <c r="AB225" s="85"/>
      <c r="AC225" s="85"/>
      <c r="AD225" s="85"/>
      <c r="AG225" s="85"/>
      <c r="AH225" s="85"/>
      <c r="AI225" s="85"/>
    </row>
    <row r="226" spans="18:35" x14ac:dyDescent="0.2">
      <c r="R226" s="85"/>
      <c r="S226" s="85"/>
      <c r="T226" s="85"/>
      <c r="W226" s="85"/>
      <c r="X226" s="85"/>
      <c r="Y226" s="85"/>
      <c r="AB226" s="85"/>
      <c r="AC226" s="85"/>
      <c r="AD226" s="85"/>
      <c r="AG226" s="85"/>
      <c r="AH226" s="85"/>
      <c r="AI226" s="85"/>
    </row>
    <row r="227" spans="18:35" x14ac:dyDescent="0.2">
      <c r="R227" s="85"/>
      <c r="S227" s="85"/>
      <c r="T227" s="85"/>
      <c r="W227" s="85"/>
      <c r="X227" s="85"/>
      <c r="Y227" s="85"/>
      <c r="AB227" s="85"/>
      <c r="AC227" s="85"/>
      <c r="AD227" s="85"/>
      <c r="AG227" s="85"/>
      <c r="AH227" s="85"/>
      <c r="AI227" s="85"/>
    </row>
    <row r="228" spans="18:35" x14ac:dyDescent="0.2">
      <c r="R228" s="85"/>
      <c r="S228" s="85"/>
      <c r="T228" s="85"/>
      <c r="W228" s="85"/>
      <c r="X228" s="85"/>
      <c r="Y228" s="85"/>
      <c r="AB228" s="85"/>
      <c r="AC228" s="85"/>
      <c r="AD228" s="85"/>
      <c r="AG228" s="85"/>
      <c r="AH228" s="85"/>
      <c r="AI228" s="85"/>
    </row>
    <row r="229" spans="18:35" x14ac:dyDescent="0.2">
      <c r="R229" s="85"/>
      <c r="S229" s="85"/>
      <c r="T229" s="85"/>
      <c r="W229" s="85"/>
      <c r="X229" s="85"/>
      <c r="Y229" s="85"/>
      <c r="AB229" s="85"/>
      <c r="AC229" s="85"/>
      <c r="AD229" s="85"/>
      <c r="AG229" s="85"/>
      <c r="AH229" s="85"/>
      <c r="AI229" s="85"/>
    </row>
    <row r="230" spans="18:35" x14ac:dyDescent="0.2">
      <c r="R230" s="85"/>
      <c r="S230" s="85"/>
      <c r="T230" s="85"/>
      <c r="W230" s="85"/>
      <c r="X230" s="85"/>
      <c r="Y230" s="85"/>
      <c r="AB230" s="85"/>
      <c r="AC230" s="85"/>
      <c r="AD230" s="85"/>
      <c r="AG230" s="85"/>
      <c r="AH230" s="85"/>
      <c r="AI230" s="85"/>
    </row>
    <row r="231" spans="18:35" x14ac:dyDescent="0.2">
      <c r="R231" s="85"/>
      <c r="S231" s="85"/>
      <c r="T231" s="85"/>
      <c r="W231" s="85"/>
      <c r="X231" s="85"/>
      <c r="Y231" s="85"/>
      <c r="AB231" s="85"/>
      <c r="AC231" s="85"/>
      <c r="AD231" s="85"/>
      <c r="AG231" s="85"/>
      <c r="AH231" s="85"/>
      <c r="AI231" s="85"/>
    </row>
    <row r="232" spans="18:35" x14ac:dyDescent="0.2">
      <c r="R232" s="85"/>
      <c r="S232" s="85"/>
      <c r="T232" s="85"/>
      <c r="W232" s="85"/>
      <c r="X232" s="85"/>
      <c r="Y232" s="85"/>
      <c r="AB232" s="85"/>
      <c r="AC232" s="85"/>
      <c r="AD232" s="85"/>
      <c r="AG232" s="85"/>
      <c r="AH232" s="85"/>
      <c r="AI232" s="85"/>
    </row>
    <row r="233" spans="18:35" x14ac:dyDescent="0.2">
      <c r="R233" s="85"/>
      <c r="S233" s="85"/>
      <c r="T233" s="85"/>
      <c r="W233" s="85"/>
      <c r="X233" s="85"/>
      <c r="Y233" s="85"/>
      <c r="AB233" s="85"/>
      <c r="AC233" s="85"/>
      <c r="AD233" s="85"/>
      <c r="AG233" s="85"/>
      <c r="AH233" s="85"/>
      <c r="AI233" s="85"/>
    </row>
    <row r="234" spans="18:35" x14ac:dyDescent="0.2">
      <c r="R234" s="85"/>
      <c r="S234" s="85"/>
      <c r="T234" s="85"/>
      <c r="W234" s="85"/>
      <c r="X234" s="85"/>
      <c r="Y234" s="85"/>
      <c r="AB234" s="85"/>
      <c r="AC234" s="85"/>
      <c r="AD234" s="85"/>
      <c r="AG234" s="85"/>
      <c r="AH234" s="85"/>
      <c r="AI234" s="85"/>
    </row>
    <row r="235" spans="18:35" x14ac:dyDescent="0.2">
      <c r="R235" s="85"/>
      <c r="S235" s="85"/>
      <c r="T235" s="85"/>
      <c r="W235" s="85"/>
      <c r="X235" s="85"/>
      <c r="Y235" s="85"/>
      <c r="AB235" s="85"/>
      <c r="AC235" s="85"/>
      <c r="AD235" s="85"/>
      <c r="AG235" s="85"/>
      <c r="AH235" s="85"/>
      <c r="AI235" s="85"/>
    </row>
    <row r="236" spans="18:35" x14ac:dyDescent="0.2">
      <c r="R236" s="85"/>
      <c r="S236" s="85"/>
      <c r="T236" s="85"/>
      <c r="W236" s="85"/>
      <c r="X236" s="85"/>
      <c r="Y236" s="85"/>
      <c r="AB236" s="85"/>
      <c r="AC236" s="85"/>
      <c r="AD236" s="85"/>
      <c r="AG236" s="85"/>
      <c r="AH236" s="85"/>
      <c r="AI236" s="85"/>
    </row>
    <row r="237" spans="18:35" x14ac:dyDescent="0.2">
      <c r="R237" s="85"/>
      <c r="S237" s="85"/>
      <c r="T237" s="85"/>
      <c r="W237" s="85"/>
      <c r="X237" s="85"/>
      <c r="Y237" s="85"/>
      <c r="AB237" s="85"/>
      <c r="AC237" s="85"/>
      <c r="AD237" s="85"/>
      <c r="AG237" s="85"/>
      <c r="AH237" s="85"/>
      <c r="AI237" s="85"/>
    </row>
    <row r="238" spans="18:35" x14ac:dyDescent="0.2">
      <c r="R238" s="85"/>
      <c r="S238" s="85"/>
      <c r="T238" s="85"/>
      <c r="W238" s="85"/>
      <c r="X238" s="85"/>
      <c r="Y238" s="85"/>
      <c r="AB238" s="85"/>
      <c r="AC238" s="85"/>
      <c r="AD238" s="85"/>
      <c r="AG238" s="85"/>
      <c r="AH238" s="85"/>
      <c r="AI238" s="85"/>
    </row>
    <row r="239" spans="18:35" x14ac:dyDescent="0.2">
      <c r="R239" s="85"/>
      <c r="S239" s="85"/>
      <c r="T239" s="85"/>
      <c r="W239" s="85"/>
      <c r="X239" s="85"/>
      <c r="Y239" s="85"/>
      <c r="AB239" s="85"/>
      <c r="AC239" s="85"/>
      <c r="AD239" s="85"/>
      <c r="AG239" s="85"/>
      <c r="AH239" s="85"/>
      <c r="AI239" s="85"/>
    </row>
    <row r="240" spans="18:35" x14ac:dyDescent="0.2">
      <c r="R240" s="85"/>
      <c r="S240" s="85"/>
      <c r="T240" s="85"/>
      <c r="W240" s="85"/>
      <c r="X240" s="85"/>
      <c r="Y240" s="85"/>
      <c r="AB240" s="85"/>
      <c r="AC240" s="85"/>
      <c r="AD240" s="85"/>
      <c r="AG240" s="85"/>
      <c r="AH240" s="85"/>
      <c r="AI240" s="85"/>
    </row>
    <row r="241" spans="18:35" x14ac:dyDescent="0.2">
      <c r="R241" s="85"/>
      <c r="S241" s="85"/>
      <c r="T241" s="85"/>
      <c r="W241" s="85"/>
      <c r="X241" s="85"/>
      <c r="Y241" s="85"/>
      <c r="AB241" s="85"/>
      <c r="AC241" s="85"/>
      <c r="AD241" s="85"/>
      <c r="AG241" s="85"/>
      <c r="AH241" s="85"/>
      <c r="AI241" s="85"/>
    </row>
    <row r="242" spans="18:35" x14ac:dyDescent="0.2">
      <c r="R242" s="85"/>
      <c r="S242" s="85"/>
      <c r="T242" s="85"/>
      <c r="W242" s="85"/>
      <c r="X242" s="85"/>
      <c r="Y242" s="85"/>
      <c r="AB242" s="85"/>
      <c r="AC242" s="85"/>
      <c r="AD242" s="85"/>
      <c r="AG242" s="85"/>
      <c r="AH242" s="85"/>
      <c r="AI242" s="85"/>
    </row>
    <row r="243" spans="18:35" x14ac:dyDescent="0.2">
      <c r="R243" s="85"/>
      <c r="S243" s="85"/>
      <c r="T243" s="85"/>
      <c r="W243" s="85"/>
      <c r="X243" s="85"/>
      <c r="Y243" s="85"/>
      <c r="AB243" s="85"/>
      <c r="AC243" s="85"/>
      <c r="AD243" s="85"/>
      <c r="AG243" s="85"/>
      <c r="AH243" s="85"/>
      <c r="AI243" s="85"/>
    </row>
    <row r="244" spans="18:35" x14ac:dyDescent="0.2">
      <c r="R244" s="85"/>
      <c r="S244" s="85"/>
      <c r="T244" s="85"/>
      <c r="W244" s="85"/>
      <c r="X244" s="85"/>
      <c r="Y244" s="85"/>
      <c r="AB244" s="85"/>
      <c r="AC244" s="85"/>
      <c r="AD244" s="85"/>
      <c r="AG244" s="85"/>
      <c r="AH244" s="85"/>
      <c r="AI244" s="85"/>
    </row>
    <row r="245" spans="18:35" x14ac:dyDescent="0.2">
      <c r="R245" s="85"/>
      <c r="S245" s="85"/>
      <c r="T245" s="85"/>
      <c r="W245" s="85"/>
      <c r="X245" s="85"/>
      <c r="Y245" s="85"/>
      <c r="AB245" s="85"/>
      <c r="AC245" s="85"/>
      <c r="AD245" s="85"/>
      <c r="AG245" s="85"/>
      <c r="AH245" s="85"/>
      <c r="AI245" s="85"/>
    </row>
    <row r="246" spans="18:35" x14ac:dyDescent="0.2">
      <c r="R246" s="85"/>
      <c r="S246" s="85"/>
      <c r="T246" s="85"/>
      <c r="W246" s="85"/>
      <c r="X246" s="85"/>
      <c r="Y246" s="85"/>
      <c r="AB246" s="85"/>
      <c r="AC246" s="85"/>
      <c r="AD246" s="85"/>
      <c r="AG246" s="85"/>
      <c r="AH246" s="85"/>
      <c r="AI246" s="85"/>
    </row>
    <row r="247" spans="18:35" x14ac:dyDescent="0.2">
      <c r="R247" s="85"/>
      <c r="S247" s="85"/>
      <c r="T247" s="85"/>
      <c r="W247" s="85"/>
      <c r="X247" s="85"/>
      <c r="Y247" s="85"/>
      <c r="AB247" s="85"/>
      <c r="AC247" s="85"/>
      <c r="AD247" s="85"/>
      <c r="AG247" s="85"/>
      <c r="AH247" s="85"/>
      <c r="AI247" s="85"/>
    </row>
    <row r="248" spans="18:35" x14ac:dyDescent="0.2">
      <c r="R248" s="85"/>
      <c r="S248" s="85"/>
      <c r="T248" s="85"/>
      <c r="W248" s="85"/>
      <c r="X248" s="85"/>
      <c r="Y248" s="85"/>
      <c r="AB248" s="85"/>
      <c r="AC248" s="85"/>
      <c r="AD248" s="85"/>
      <c r="AG248" s="85"/>
      <c r="AH248" s="85"/>
      <c r="AI248" s="85"/>
    </row>
    <row r="249" spans="18:35" x14ac:dyDescent="0.2">
      <c r="R249" s="85"/>
      <c r="S249" s="85"/>
      <c r="T249" s="85"/>
      <c r="W249" s="85"/>
      <c r="X249" s="85"/>
      <c r="Y249" s="85"/>
      <c r="AB249" s="85"/>
      <c r="AC249" s="85"/>
      <c r="AD249" s="85"/>
      <c r="AG249" s="85"/>
      <c r="AH249" s="85"/>
      <c r="AI249" s="85"/>
    </row>
    <row r="250" spans="18:35" x14ac:dyDescent="0.2">
      <c r="R250" s="85"/>
      <c r="S250" s="85"/>
      <c r="T250" s="85"/>
      <c r="W250" s="85"/>
      <c r="X250" s="85"/>
      <c r="Y250" s="85"/>
      <c r="AB250" s="85"/>
      <c r="AC250" s="85"/>
      <c r="AD250" s="85"/>
      <c r="AG250" s="85"/>
      <c r="AH250" s="85"/>
      <c r="AI250" s="85"/>
    </row>
    <row r="251" spans="18:35" x14ac:dyDescent="0.2">
      <c r="R251" s="85"/>
      <c r="S251" s="85"/>
      <c r="T251" s="85"/>
      <c r="W251" s="85"/>
      <c r="X251" s="85"/>
      <c r="Y251" s="85"/>
      <c r="AB251" s="85"/>
      <c r="AC251" s="85"/>
      <c r="AD251" s="85"/>
      <c r="AG251" s="85"/>
      <c r="AH251" s="85"/>
      <c r="AI251" s="85"/>
    </row>
    <row r="252" spans="18:35" x14ac:dyDescent="0.2">
      <c r="R252" s="85"/>
      <c r="S252" s="85"/>
      <c r="T252" s="85"/>
      <c r="W252" s="85"/>
      <c r="X252" s="85"/>
      <c r="Y252" s="85"/>
      <c r="AB252" s="85"/>
      <c r="AC252" s="85"/>
      <c r="AD252" s="85"/>
      <c r="AG252" s="85"/>
      <c r="AH252" s="85"/>
      <c r="AI252" s="85"/>
    </row>
    <row r="253" spans="18:35" x14ac:dyDescent="0.2">
      <c r="R253" s="85"/>
      <c r="S253" s="85"/>
      <c r="T253" s="85"/>
      <c r="W253" s="85"/>
      <c r="X253" s="85"/>
      <c r="Y253" s="85"/>
      <c r="AB253" s="85"/>
      <c r="AC253" s="85"/>
      <c r="AD253" s="85"/>
      <c r="AG253" s="85"/>
      <c r="AH253" s="85"/>
      <c r="AI253" s="85"/>
    </row>
    <row r="254" spans="18:35" x14ac:dyDescent="0.2">
      <c r="R254" s="85"/>
      <c r="S254" s="85"/>
      <c r="T254" s="85"/>
      <c r="W254" s="85"/>
      <c r="X254" s="85"/>
      <c r="Y254" s="85"/>
      <c r="AB254" s="85"/>
      <c r="AC254" s="85"/>
      <c r="AD254" s="85"/>
      <c r="AG254" s="85"/>
      <c r="AH254" s="85"/>
      <c r="AI254" s="85"/>
    </row>
    <row r="255" spans="18:35" x14ac:dyDescent="0.2">
      <c r="R255" s="85"/>
      <c r="S255" s="85"/>
      <c r="T255" s="85"/>
      <c r="W255" s="85"/>
      <c r="X255" s="85"/>
      <c r="Y255" s="85"/>
      <c r="AB255" s="85"/>
      <c r="AC255" s="85"/>
      <c r="AD255" s="85"/>
      <c r="AG255" s="85"/>
      <c r="AH255" s="85"/>
      <c r="AI255" s="85"/>
    </row>
    <row r="256" spans="18:35" x14ac:dyDescent="0.2">
      <c r="R256" s="85"/>
      <c r="S256" s="85"/>
      <c r="T256" s="85"/>
      <c r="W256" s="85"/>
      <c r="X256" s="85"/>
      <c r="Y256" s="85"/>
      <c r="AB256" s="85"/>
      <c r="AC256" s="85"/>
      <c r="AD256" s="85"/>
      <c r="AG256" s="85"/>
      <c r="AH256" s="85"/>
      <c r="AI256" s="85"/>
    </row>
    <row r="257" spans="18:35" x14ac:dyDescent="0.2">
      <c r="R257" s="85"/>
      <c r="S257" s="85"/>
      <c r="T257" s="85"/>
      <c r="W257" s="85"/>
      <c r="X257" s="85"/>
      <c r="Y257" s="85"/>
      <c r="AB257" s="85"/>
      <c r="AC257" s="85"/>
      <c r="AD257" s="85"/>
      <c r="AG257" s="85"/>
      <c r="AH257" s="85"/>
      <c r="AI257" s="85"/>
    </row>
    <row r="258" spans="18:35" x14ac:dyDescent="0.2">
      <c r="R258" s="85"/>
      <c r="S258" s="85"/>
      <c r="T258" s="85"/>
      <c r="W258" s="85"/>
      <c r="X258" s="85"/>
      <c r="Y258" s="85"/>
      <c r="AB258" s="85"/>
      <c r="AC258" s="85"/>
      <c r="AD258" s="85"/>
      <c r="AG258" s="85"/>
      <c r="AH258" s="85"/>
      <c r="AI258" s="85"/>
    </row>
    <row r="259" spans="18:35" x14ac:dyDescent="0.2">
      <c r="R259" s="85"/>
      <c r="S259" s="85"/>
      <c r="T259" s="85"/>
      <c r="W259" s="85"/>
      <c r="X259" s="85"/>
      <c r="Y259" s="85"/>
      <c r="AB259" s="85"/>
      <c r="AC259" s="85"/>
      <c r="AD259" s="85"/>
      <c r="AG259" s="85"/>
      <c r="AH259" s="85"/>
      <c r="AI259" s="85"/>
    </row>
    <row r="260" spans="18:35" x14ac:dyDescent="0.2">
      <c r="R260" s="85"/>
      <c r="S260" s="85"/>
      <c r="T260" s="85"/>
      <c r="W260" s="85"/>
      <c r="X260" s="85"/>
      <c r="Y260" s="85"/>
      <c r="AB260" s="85"/>
      <c r="AC260" s="85"/>
      <c r="AD260" s="85"/>
      <c r="AG260" s="85"/>
      <c r="AH260" s="85"/>
      <c r="AI260" s="85"/>
    </row>
    <row r="261" spans="18:35" x14ac:dyDescent="0.2">
      <c r="R261" s="85"/>
      <c r="S261" s="85"/>
      <c r="T261" s="85"/>
      <c r="W261" s="85"/>
      <c r="X261" s="85"/>
      <c r="Y261" s="85"/>
      <c r="AB261" s="85"/>
      <c r="AC261" s="85"/>
      <c r="AD261" s="85"/>
      <c r="AG261" s="85"/>
      <c r="AH261" s="85"/>
      <c r="AI261" s="85"/>
    </row>
    <row r="262" spans="18:35" x14ac:dyDescent="0.2">
      <c r="R262" s="85"/>
      <c r="S262" s="85"/>
      <c r="T262" s="85"/>
      <c r="W262" s="85"/>
      <c r="X262" s="85"/>
      <c r="Y262" s="85"/>
      <c r="AB262" s="85"/>
      <c r="AC262" s="85"/>
      <c r="AD262" s="85"/>
      <c r="AG262" s="85"/>
      <c r="AH262" s="85"/>
      <c r="AI262" s="85"/>
    </row>
    <row r="263" spans="18:35" x14ac:dyDescent="0.2">
      <c r="R263" s="85"/>
      <c r="S263" s="85"/>
      <c r="T263" s="85"/>
      <c r="W263" s="85"/>
      <c r="X263" s="85"/>
      <c r="Y263" s="85"/>
      <c r="AB263" s="85"/>
      <c r="AC263" s="85"/>
      <c r="AD263" s="85"/>
      <c r="AG263" s="85"/>
      <c r="AH263" s="85"/>
      <c r="AI263" s="85"/>
    </row>
    <row r="264" spans="18:35" x14ac:dyDescent="0.2">
      <c r="R264" s="85"/>
      <c r="S264" s="85"/>
      <c r="T264" s="85"/>
      <c r="W264" s="85"/>
      <c r="X264" s="85"/>
      <c r="Y264" s="85"/>
      <c r="AB264" s="85"/>
      <c r="AC264" s="85"/>
      <c r="AD264" s="85"/>
      <c r="AG264" s="85"/>
      <c r="AH264" s="85"/>
      <c r="AI264" s="85"/>
    </row>
    <row r="265" spans="18:35" x14ac:dyDescent="0.2">
      <c r="R265" s="85"/>
      <c r="S265" s="85"/>
      <c r="T265" s="85"/>
      <c r="W265" s="85"/>
      <c r="X265" s="85"/>
      <c r="Y265" s="85"/>
      <c r="AB265" s="85"/>
      <c r="AC265" s="85"/>
      <c r="AD265" s="85"/>
      <c r="AG265" s="85"/>
      <c r="AH265" s="85"/>
      <c r="AI265" s="85"/>
    </row>
    <row r="266" spans="18:35" x14ac:dyDescent="0.2">
      <c r="R266" s="85"/>
      <c r="S266" s="85"/>
      <c r="T266" s="85"/>
      <c r="W266" s="85"/>
      <c r="X266" s="85"/>
      <c r="Y266" s="85"/>
      <c r="AB266" s="85"/>
      <c r="AC266" s="85"/>
      <c r="AD266" s="85"/>
      <c r="AG266" s="85"/>
      <c r="AH266" s="85"/>
      <c r="AI266" s="85"/>
    </row>
    <row r="267" spans="18:35" x14ac:dyDescent="0.2">
      <c r="R267" s="85"/>
      <c r="S267" s="85"/>
      <c r="T267" s="85"/>
      <c r="W267" s="85"/>
      <c r="X267" s="85"/>
      <c r="Y267" s="85"/>
      <c r="AB267" s="85"/>
      <c r="AC267" s="85"/>
      <c r="AD267" s="85"/>
      <c r="AG267" s="85"/>
      <c r="AH267" s="85"/>
      <c r="AI267" s="85"/>
    </row>
    <row r="268" spans="18:35" x14ac:dyDescent="0.2">
      <c r="R268" s="85"/>
      <c r="S268" s="85"/>
      <c r="T268" s="85"/>
      <c r="W268" s="85"/>
      <c r="X268" s="85"/>
      <c r="Y268" s="85"/>
      <c r="AB268" s="85"/>
      <c r="AC268" s="85"/>
      <c r="AD268" s="85"/>
      <c r="AG268" s="85"/>
      <c r="AH268" s="85"/>
      <c r="AI268" s="85"/>
    </row>
    <row r="269" spans="18:35" x14ac:dyDescent="0.2">
      <c r="R269" s="85"/>
      <c r="S269" s="85"/>
      <c r="T269" s="85"/>
      <c r="W269" s="85"/>
      <c r="X269" s="85"/>
      <c r="Y269" s="85"/>
      <c r="AB269" s="85"/>
      <c r="AC269" s="85"/>
      <c r="AD269" s="85"/>
      <c r="AG269" s="85"/>
      <c r="AH269" s="85"/>
      <c r="AI269" s="85"/>
    </row>
    <row r="270" spans="18:35" x14ac:dyDescent="0.2">
      <c r="R270" s="85"/>
      <c r="S270" s="85"/>
      <c r="T270" s="85"/>
      <c r="W270" s="85"/>
      <c r="X270" s="85"/>
      <c r="Y270" s="85"/>
      <c r="AB270" s="85"/>
      <c r="AC270" s="85"/>
      <c r="AD270" s="85"/>
      <c r="AG270" s="85"/>
      <c r="AH270" s="85"/>
      <c r="AI270" s="85"/>
    </row>
    <row r="271" spans="18:35" x14ac:dyDescent="0.2">
      <c r="R271" s="85"/>
      <c r="S271" s="85"/>
      <c r="T271" s="85"/>
      <c r="W271" s="85"/>
      <c r="X271" s="85"/>
      <c r="Y271" s="85"/>
      <c r="AB271" s="85"/>
      <c r="AC271" s="85"/>
      <c r="AD271" s="85"/>
      <c r="AG271" s="85"/>
      <c r="AH271" s="85"/>
      <c r="AI271" s="85"/>
    </row>
    <row r="272" spans="18:35" x14ac:dyDescent="0.2">
      <c r="R272" s="85"/>
      <c r="S272" s="85"/>
      <c r="T272" s="85"/>
      <c r="W272" s="85"/>
      <c r="X272" s="85"/>
      <c r="Y272" s="85"/>
      <c r="AB272" s="85"/>
      <c r="AC272" s="85"/>
      <c r="AD272" s="85"/>
      <c r="AG272" s="85"/>
      <c r="AH272" s="85"/>
      <c r="AI272" s="85"/>
    </row>
    <row r="273" spans="18:35" x14ac:dyDescent="0.2">
      <c r="R273" s="85"/>
      <c r="S273" s="85"/>
      <c r="T273" s="85"/>
      <c r="W273" s="85"/>
      <c r="X273" s="85"/>
      <c r="Y273" s="85"/>
      <c r="AB273" s="85"/>
      <c r="AC273" s="85"/>
      <c r="AD273" s="85"/>
      <c r="AG273" s="85"/>
      <c r="AH273" s="85"/>
      <c r="AI273" s="85"/>
    </row>
    <row r="274" spans="18:35" x14ac:dyDescent="0.2">
      <c r="R274" s="85"/>
      <c r="S274" s="85"/>
      <c r="T274" s="85"/>
      <c r="W274" s="85"/>
      <c r="X274" s="85"/>
      <c r="Y274" s="85"/>
      <c r="AB274" s="85"/>
      <c r="AC274" s="85"/>
      <c r="AD274" s="85"/>
      <c r="AG274" s="85"/>
      <c r="AH274" s="85"/>
      <c r="AI274" s="85"/>
    </row>
    <row r="275" spans="18:35" x14ac:dyDescent="0.2">
      <c r="R275" s="85"/>
      <c r="S275" s="85"/>
      <c r="T275" s="85"/>
      <c r="W275" s="85"/>
      <c r="X275" s="85"/>
      <c r="Y275" s="85"/>
      <c r="AB275" s="85"/>
      <c r="AC275" s="85"/>
      <c r="AD275" s="85"/>
      <c r="AG275" s="85"/>
      <c r="AH275" s="85"/>
      <c r="AI275" s="85"/>
    </row>
    <row r="276" spans="18:35" x14ac:dyDescent="0.2">
      <c r="R276" s="85"/>
      <c r="S276" s="85"/>
      <c r="T276" s="85"/>
      <c r="W276" s="85"/>
      <c r="X276" s="85"/>
      <c r="Y276" s="85"/>
      <c r="AB276" s="85"/>
      <c r="AC276" s="85"/>
      <c r="AD276" s="85"/>
      <c r="AG276" s="85"/>
      <c r="AH276" s="85"/>
      <c r="AI276" s="85"/>
    </row>
    <row r="277" spans="18:35" x14ac:dyDescent="0.2">
      <c r="R277" s="85"/>
      <c r="S277" s="85"/>
      <c r="T277" s="85"/>
      <c r="W277" s="85"/>
      <c r="X277" s="85"/>
      <c r="Y277" s="85"/>
      <c r="AB277" s="85"/>
      <c r="AC277" s="85"/>
      <c r="AD277" s="85"/>
      <c r="AG277" s="85"/>
      <c r="AH277" s="85"/>
      <c r="AI277" s="85"/>
    </row>
    <row r="278" spans="18:35" x14ac:dyDescent="0.2">
      <c r="R278" s="85"/>
      <c r="S278" s="85"/>
      <c r="T278" s="85"/>
      <c r="W278" s="85"/>
      <c r="X278" s="85"/>
      <c r="Y278" s="85"/>
      <c r="AB278" s="85"/>
      <c r="AC278" s="85"/>
      <c r="AD278" s="85"/>
      <c r="AG278" s="85"/>
      <c r="AH278" s="85"/>
      <c r="AI278" s="85"/>
    </row>
    <row r="279" spans="18:35" x14ac:dyDescent="0.2">
      <c r="R279" s="85"/>
      <c r="S279" s="85"/>
      <c r="T279" s="85"/>
      <c r="W279" s="85"/>
      <c r="X279" s="85"/>
      <c r="Y279" s="85"/>
      <c r="AB279" s="85"/>
      <c r="AC279" s="85"/>
      <c r="AD279" s="85"/>
      <c r="AG279" s="85"/>
      <c r="AH279" s="85"/>
      <c r="AI279" s="85"/>
    </row>
    <row r="280" spans="18:35" x14ac:dyDescent="0.2">
      <c r="R280" s="85"/>
      <c r="S280" s="85"/>
      <c r="T280" s="85"/>
      <c r="W280" s="85"/>
      <c r="X280" s="85"/>
      <c r="Y280" s="85"/>
      <c r="AB280" s="85"/>
      <c r="AC280" s="85"/>
      <c r="AD280" s="85"/>
      <c r="AG280" s="85"/>
      <c r="AH280" s="85"/>
      <c r="AI280" s="85"/>
    </row>
    <row r="281" spans="18:35" x14ac:dyDescent="0.2">
      <c r="R281" s="85"/>
      <c r="S281" s="85"/>
      <c r="T281" s="85"/>
      <c r="W281" s="85"/>
      <c r="X281" s="85"/>
      <c r="Y281" s="85"/>
      <c r="AB281" s="85"/>
      <c r="AC281" s="85"/>
      <c r="AD281" s="85"/>
      <c r="AG281" s="85"/>
      <c r="AH281" s="85"/>
      <c r="AI281" s="85"/>
    </row>
    <row r="282" spans="18:35" x14ac:dyDescent="0.2">
      <c r="R282" s="85"/>
      <c r="S282" s="85"/>
      <c r="T282" s="85"/>
      <c r="W282" s="85"/>
      <c r="X282" s="85"/>
      <c r="Y282" s="85"/>
      <c r="AB282" s="85"/>
      <c r="AC282" s="85"/>
      <c r="AD282" s="85"/>
      <c r="AG282" s="85"/>
      <c r="AH282" s="85"/>
      <c r="AI282" s="85"/>
    </row>
    <row r="283" spans="18:35" x14ac:dyDescent="0.2">
      <c r="R283" s="85"/>
      <c r="S283" s="85"/>
      <c r="T283" s="85"/>
      <c r="W283" s="85"/>
      <c r="X283" s="85"/>
      <c r="Y283" s="85"/>
      <c r="AB283" s="85"/>
      <c r="AC283" s="85"/>
      <c r="AD283" s="85"/>
      <c r="AG283" s="85"/>
      <c r="AH283" s="85"/>
      <c r="AI283" s="85"/>
    </row>
    <row r="284" spans="18:35" x14ac:dyDescent="0.2">
      <c r="R284" s="85"/>
      <c r="S284" s="85"/>
      <c r="T284" s="85"/>
      <c r="W284" s="85"/>
      <c r="X284" s="85"/>
      <c r="Y284" s="85"/>
      <c r="AB284" s="85"/>
      <c r="AC284" s="85"/>
      <c r="AD284" s="85"/>
      <c r="AG284" s="85"/>
      <c r="AH284" s="85"/>
      <c r="AI284" s="85"/>
    </row>
    <row r="285" spans="18:35" x14ac:dyDescent="0.2">
      <c r="R285" s="85"/>
      <c r="S285" s="85"/>
      <c r="T285" s="85"/>
      <c r="W285" s="85"/>
      <c r="X285" s="85"/>
      <c r="Y285" s="85"/>
      <c r="AB285" s="85"/>
      <c r="AC285" s="85"/>
      <c r="AD285" s="85"/>
      <c r="AG285" s="85"/>
      <c r="AH285" s="85"/>
      <c r="AI285" s="85"/>
    </row>
    <row r="286" spans="18:35" x14ac:dyDescent="0.2">
      <c r="R286" s="85"/>
      <c r="S286" s="85"/>
      <c r="T286" s="85"/>
      <c r="W286" s="85"/>
      <c r="X286" s="85"/>
      <c r="Y286" s="85"/>
      <c r="AB286" s="85"/>
      <c r="AC286" s="85"/>
      <c r="AD286" s="85"/>
      <c r="AG286" s="85"/>
      <c r="AH286" s="85"/>
      <c r="AI286" s="85"/>
    </row>
    <row r="287" spans="18:35" x14ac:dyDescent="0.2">
      <c r="R287" s="85"/>
      <c r="S287" s="85"/>
      <c r="T287" s="85"/>
      <c r="W287" s="85"/>
      <c r="X287" s="85"/>
      <c r="Y287" s="85"/>
      <c r="AB287" s="85"/>
      <c r="AC287" s="85"/>
      <c r="AD287" s="85"/>
      <c r="AG287" s="85"/>
      <c r="AH287" s="85"/>
      <c r="AI287" s="85"/>
    </row>
    <row r="288" spans="18:35" x14ac:dyDescent="0.2">
      <c r="R288" s="85"/>
      <c r="S288" s="85"/>
      <c r="T288" s="85"/>
      <c r="W288" s="85"/>
      <c r="X288" s="85"/>
      <c r="Y288" s="85"/>
      <c r="AB288" s="85"/>
      <c r="AC288" s="85"/>
      <c r="AD288" s="85"/>
      <c r="AG288" s="85"/>
      <c r="AH288" s="85"/>
      <c r="AI288" s="85"/>
    </row>
    <row r="289" spans="18:35" x14ac:dyDescent="0.2">
      <c r="R289" s="85"/>
      <c r="S289" s="85"/>
      <c r="T289" s="85"/>
      <c r="W289" s="85"/>
      <c r="X289" s="85"/>
      <c r="Y289" s="85"/>
      <c r="AB289" s="85"/>
      <c r="AC289" s="85"/>
      <c r="AD289" s="85"/>
      <c r="AG289" s="85"/>
      <c r="AH289" s="85"/>
      <c r="AI289" s="85"/>
    </row>
    <row r="290" spans="18:35" x14ac:dyDescent="0.2">
      <c r="R290" s="85"/>
      <c r="S290" s="85"/>
      <c r="T290" s="85"/>
      <c r="W290" s="85"/>
      <c r="X290" s="85"/>
      <c r="Y290" s="85"/>
      <c r="AB290" s="85"/>
      <c r="AC290" s="85"/>
      <c r="AD290" s="85"/>
      <c r="AG290" s="85"/>
      <c r="AH290" s="85"/>
      <c r="AI290" s="85"/>
    </row>
    <row r="291" spans="18:35" x14ac:dyDescent="0.2">
      <c r="R291" s="85"/>
      <c r="S291" s="85"/>
      <c r="T291" s="85"/>
      <c r="W291" s="85"/>
      <c r="X291" s="85"/>
      <c r="Y291" s="85"/>
      <c r="AB291" s="85"/>
      <c r="AC291" s="85"/>
      <c r="AD291" s="85"/>
      <c r="AG291" s="85"/>
      <c r="AH291" s="85"/>
      <c r="AI291" s="85"/>
    </row>
    <row r="292" spans="18:35" x14ac:dyDescent="0.2">
      <c r="R292" s="85"/>
      <c r="S292" s="85"/>
      <c r="T292" s="85"/>
      <c r="W292" s="85"/>
      <c r="X292" s="85"/>
      <c r="Y292" s="85"/>
      <c r="AB292" s="85"/>
      <c r="AC292" s="85"/>
      <c r="AD292" s="85"/>
      <c r="AG292" s="85"/>
      <c r="AH292" s="85"/>
      <c r="AI292" s="85"/>
    </row>
    <row r="293" spans="18:35" x14ac:dyDescent="0.2">
      <c r="R293" s="85"/>
      <c r="S293" s="85"/>
      <c r="T293" s="85"/>
      <c r="W293" s="85"/>
      <c r="X293" s="85"/>
      <c r="Y293" s="85"/>
      <c r="AB293" s="85"/>
      <c r="AC293" s="85"/>
      <c r="AD293" s="85"/>
      <c r="AG293" s="85"/>
      <c r="AH293" s="85"/>
      <c r="AI293" s="85"/>
    </row>
    <row r="294" spans="18:35" x14ac:dyDescent="0.2">
      <c r="R294" s="85"/>
      <c r="S294" s="85"/>
      <c r="T294" s="85"/>
      <c r="W294" s="85"/>
      <c r="X294" s="85"/>
      <c r="Y294" s="85"/>
      <c r="AB294" s="85"/>
      <c r="AC294" s="85"/>
      <c r="AD294" s="85"/>
      <c r="AG294" s="85"/>
      <c r="AH294" s="85"/>
      <c r="AI294" s="85"/>
    </row>
    <row r="295" spans="18:35" x14ac:dyDescent="0.2">
      <c r="R295" s="85"/>
      <c r="S295" s="85"/>
      <c r="T295" s="85"/>
      <c r="W295" s="85"/>
      <c r="X295" s="85"/>
      <c r="Y295" s="85"/>
      <c r="AB295" s="85"/>
      <c r="AC295" s="85"/>
      <c r="AD295" s="85"/>
      <c r="AG295" s="85"/>
      <c r="AH295" s="85"/>
      <c r="AI295" s="85"/>
    </row>
    <row r="296" spans="18:35" x14ac:dyDescent="0.2">
      <c r="R296" s="85"/>
      <c r="S296" s="85"/>
      <c r="T296" s="85"/>
      <c r="W296" s="85"/>
      <c r="X296" s="85"/>
      <c r="Y296" s="85"/>
      <c r="AB296" s="85"/>
      <c r="AC296" s="85"/>
      <c r="AD296" s="85"/>
      <c r="AG296" s="85"/>
      <c r="AH296" s="85"/>
      <c r="AI296" s="85"/>
    </row>
    <row r="297" spans="18:35" x14ac:dyDescent="0.2">
      <c r="R297" s="85"/>
      <c r="S297" s="85"/>
      <c r="T297" s="85"/>
      <c r="W297" s="85"/>
      <c r="X297" s="85"/>
      <c r="Y297" s="85"/>
      <c r="AB297" s="85"/>
      <c r="AC297" s="85"/>
      <c r="AD297" s="85"/>
      <c r="AG297" s="85"/>
      <c r="AH297" s="85"/>
      <c r="AI297" s="85"/>
    </row>
    <row r="298" spans="18:35" x14ac:dyDescent="0.2">
      <c r="R298" s="85"/>
      <c r="S298" s="85"/>
      <c r="T298" s="85"/>
      <c r="W298" s="85"/>
      <c r="X298" s="85"/>
      <c r="Y298" s="85"/>
      <c r="AB298" s="85"/>
      <c r="AC298" s="85"/>
      <c r="AD298" s="85"/>
      <c r="AG298" s="85"/>
      <c r="AH298" s="85"/>
      <c r="AI298" s="85"/>
    </row>
    <row r="299" spans="18:35" x14ac:dyDescent="0.2">
      <c r="R299" s="85"/>
      <c r="S299" s="85"/>
      <c r="T299" s="85"/>
      <c r="W299" s="85"/>
      <c r="X299" s="85"/>
      <c r="Y299" s="85"/>
      <c r="AB299" s="85"/>
      <c r="AC299" s="85"/>
      <c r="AD299" s="85"/>
      <c r="AG299" s="85"/>
      <c r="AH299" s="85"/>
      <c r="AI299" s="85"/>
    </row>
    <row r="300" spans="18:35" x14ac:dyDescent="0.2">
      <c r="R300" s="85"/>
      <c r="S300" s="85"/>
      <c r="T300" s="85"/>
      <c r="W300" s="85"/>
      <c r="X300" s="85"/>
      <c r="Y300" s="85"/>
      <c r="AB300" s="85"/>
      <c r="AC300" s="85"/>
      <c r="AD300" s="85"/>
      <c r="AG300" s="85"/>
      <c r="AH300" s="85"/>
      <c r="AI300" s="85"/>
    </row>
    <row r="301" spans="18:35" x14ac:dyDescent="0.2">
      <c r="R301" s="85"/>
      <c r="S301" s="85"/>
      <c r="T301" s="85"/>
      <c r="W301" s="85"/>
      <c r="X301" s="85"/>
      <c r="Y301" s="85"/>
      <c r="AB301" s="85"/>
      <c r="AC301" s="85"/>
      <c r="AD301" s="85"/>
      <c r="AG301" s="85"/>
      <c r="AH301" s="85"/>
      <c r="AI301" s="85"/>
    </row>
    <row r="302" spans="18:35" x14ac:dyDescent="0.2">
      <c r="R302" s="85"/>
      <c r="S302" s="85"/>
      <c r="T302" s="85"/>
      <c r="W302" s="85"/>
      <c r="X302" s="85"/>
      <c r="Y302" s="85"/>
      <c r="AB302" s="85"/>
      <c r="AC302" s="85"/>
      <c r="AD302" s="85"/>
      <c r="AG302" s="85"/>
      <c r="AH302" s="85"/>
      <c r="AI302" s="85"/>
    </row>
    <row r="303" spans="18:35" x14ac:dyDescent="0.2">
      <c r="R303" s="85"/>
      <c r="S303" s="85"/>
      <c r="T303" s="85"/>
      <c r="W303" s="85"/>
      <c r="X303" s="85"/>
      <c r="Y303" s="85"/>
      <c r="AB303" s="85"/>
      <c r="AC303" s="85"/>
      <c r="AD303" s="85"/>
      <c r="AG303" s="85"/>
      <c r="AH303" s="85"/>
      <c r="AI303" s="85"/>
    </row>
    <row r="304" spans="18:35" x14ac:dyDescent="0.2">
      <c r="R304" s="85"/>
      <c r="S304" s="85"/>
      <c r="T304" s="85"/>
      <c r="W304" s="85"/>
      <c r="X304" s="85"/>
      <c r="Y304" s="85"/>
      <c r="AB304" s="85"/>
      <c r="AC304" s="85"/>
      <c r="AD304" s="85"/>
      <c r="AG304" s="85"/>
      <c r="AH304" s="85"/>
      <c r="AI304" s="85"/>
    </row>
    <row r="305" spans="18:35" x14ac:dyDescent="0.2">
      <c r="R305" s="85"/>
      <c r="S305" s="85"/>
      <c r="T305" s="85"/>
      <c r="W305" s="85"/>
      <c r="X305" s="85"/>
      <c r="Y305" s="85"/>
      <c r="AB305" s="85"/>
      <c r="AC305" s="85"/>
      <c r="AD305" s="85"/>
      <c r="AG305" s="85"/>
      <c r="AH305" s="85"/>
      <c r="AI305" s="85"/>
    </row>
    <row r="306" spans="18:35" x14ac:dyDescent="0.2">
      <c r="R306" s="85"/>
      <c r="S306" s="85"/>
      <c r="T306" s="85"/>
      <c r="W306" s="85"/>
      <c r="X306" s="85"/>
      <c r="Y306" s="85"/>
      <c r="AB306" s="85"/>
      <c r="AC306" s="85"/>
      <c r="AD306" s="85"/>
      <c r="AG306" s="85"/>
      <c r="AH306" s="85"/>
      <c r="AI306" s="85"/>
    </row>
    <row r="307" spans="18:35" x14ac:dyDescent="0.2">
      <c r="R307" s="85"/>
      <c r="S307" s="85"/>
      <c r="T307" s="85"/>
      <c r="W307" s="85"/>
      <c r="X307" s="85"/>
      <c r="Y307" s="85"/>
      <c r="AB307" s="85"/>
      <c r="AC307" s="85"/>
      <c r="AD307" s="85"/>
      <c r="AG307" s="85"/>
      <c r="AH307" s="85"/>
      <c r="AI307" s="85"/>
    </row>
    <row r="308" spans="18:35" x14ac:dyDescent="0.2">
      <c r="R308" s="85"/>
      <c r="S308" s="85"/>
      <c r="T308" s="85"/>
      <c r="W308" s="85"/>
      <c r="X308" s="85"/>
      <c r="Y308" s="85"/>
      <c r="AB308" s="85"/>
      <c r="AC308" s="85"/>
      <c r="AD308" s="85"/>
      <c r="AG308" s="85"/>
      <c r="AH308" s="85"/>
      <c r="AI308" s="85"/>
    </row>
    <row r="309" spans="18:35" x14ac:dyDescent="0.2">
      <c r="R309" s="85"/>
      <c r="S309" s="85"/>
      <c r="T309" s="85"/>
      <c r="W309" s="85"/>
      <c r="X309" s="85"/>
      <c r="Y309" s="85"/>
      <c r="AB309" s="85"/>
      <c r="AC309" s="85"/>
      <c r="AD309" s="85"/>
      <c r="AG309" s="85"/>
      <c r="AH309" s="85"/>
      <c r="AI309" s="85"/>
    </row>
    <row r="310" spans="18:35" x14ac:dyDescent="0.2">
      <c r="R310" s="85"/>
      <c r="S310" s="85"/>
      <c r="T310" s="85"/>
      <c r="W310" s="85"/>
      <c r="X310" s="85"/>
      <c r="Y310" s="85"/>
      <c r="AB310" s="85"/>
      <c r="AC310" s="85"/>
      <c r="AD310" s="85"/>
      <c r="AG310" s="85"/>
      <c r="AH310" s="85"/>
      <c r="AI310" s="85"/>
    </row>
    <row r="311" spans="18:35" x14ac:dyDescent="0.2">
      <c r="R311" s="85"/>
      <c r="S311" s="85"/>
      <c r="T311" s="85"/>
      <c r="W311" s="85"/>
      <c r="X311" s="85"/>
      <c r="Y311" s="85"/>
      <c r="AB311" s="85"/>
      <c r="AC311" s="85"/>
      <c r="AD311" s="85"/>
      <c r="AG311" s="85"/>
      <c r="AH311" s="85"/>
      <c r="AI311" s="85"/>
    </row>
    <row r="312" spans="18:35" x14ac:dyDescent="0.2">
      <c r="R312" s="85"/>
      <c r="S312" s="85"/>
      <c r="T312" s="85"/>
      <c r="W312" s="85"/>
      <c r="X312" s="85"/>
      <c r="Y312" s="85"/>
      <c r="AB312" s="85"/>
      <c r="AC312" s="85"/>
      <c r="AD312" s="85"/>
      <c r="AG312" s="85"/>
      <c r="AH312" s="85"/>
      <c r="AI312" s="85"/>
    </row>
    <row r="313" spans="18:35" x14ac:dyDescent="0.2">
      <c r="R313" s="85"/>
      <c r="S313" s="85"/>
      <c r="T313" s="85"/>
      <c r="W313" s="85"/>
      <c r="X313" s="85"/>
      <c r="Y313" s="85"/>
      <c r="AB313" s="85"/>
      <c r="AC313" s="85"/>
      <c r="AD313" s="85"/>
      <c r="AG313" s="85"/>
      <c r="AH313" s="85"/>
      <c r="AI313" s="85"/>
    </row>
    <row r="314" spans="18:35" x14ac:dyDescent="0.2">
      <c r="R314" s="85"/>
      <c r="S314" s="85"/>
      <c r="T314" s="85"/>
      <c r="W314" s="85"/>
      <c r="X314" s="85"/>
      <c r="Y314" s="85"/>
      <c r="AB314" s="85"/>
      <c r="AC314" s="85"/>
      <c r="AD314" s="85"/>
      <c r="AG314" s="85"/>
      <c r="AH314" s="85"/>
      <c r="AI314" s="85"/>
    </row>
    <row r="315" spans="18:35" x14ac:dyDescent="0.2">
      <c r="R315" s="85"/>
      <c r="S315" s="85"/>
      <c r="T315" s="85"/>
      <c r="W315" s="85"/>
      <c r="X315" s="85"/>
      <c r="Y315" s="85"/>
      <c r="AB315" s="85"/>
      <c r="AC315" s="85"/>
      <c r="AD315" s="85"/>
      <c r="AG315" s="85"/>
      <c r="AH315" s="85"/>
      <c r="AI315" s="85"/>
    </row>
    <row r="316" spans="18:35" x14ac:dyDescent="0.2">
      <c r="R316" s="85"/>
      <c r="S316" s="85"/>
      <c r="T316" s="85"/>
      <c r="W316" s="85"/>
      <c r="X316" s="85"/>
      <c r="Y316" s="85"/>
      <c r="AB316" s="85"/>
      <c r="AC316" s="85"/>
      <c r="AD316" s="85"/>
      <c r="AG316" s="85"/>
      <c r="AH316" s="85"/>
      <c r="AI316" s="85"/>
    </row>
    <row r="317" spans="18:35" x14ac:dyDescent="0.2">
      <c r="R317" s="85"/>
      <c r="S317" s="85"/>
      <c r="T317" s="85"/>
      <c r="W317" s="85"/>
      <c r="X317" s="85"/>
      <c r="Y317" s="85"/>
      <c r="AB317" s="85"/>
      <c r="AC317" s="85"/>
      <c r="AD317" s="85"/>
      <c r="AG317" s="85"/>
      <c r="AH317" s="85"/>
      <c r="AI317" s="85"/>
    </row>
    <row r="318" spans="18:35" x14ac:dyDescent="0.2">
      <c r="R318" s="85"/>
      <c r="S318" s="85"/>
      <c r="T318" s="85"/>
      <c r="W318" s="85"/>
      <c r="X318" s="85"/>
      <c r="Y318" s="85"/>
      <c r="AB318" s="85"/>
      <c r="AC318" s="85"/>
      <c r="AD318" s="85"/>
      <c r="AG318" s="85"/>
      <c r="AH318" s="85"/>
      <c r="AI318" s="85"/>
    </row>
    <row r="319" spans="18:35" x14ac:dyDescent="0.2">
      <c r="R319" s="85"/>
      <c r="S319" s="85"/>
      <c r="T319" s="85"/>
      <c r="W319" s="85"/>
      <c r="X319" s="85"/>
      <c r="Y319" s="85"/>
      <c r="AB319" s="85"/>
      <c r="AC319" s="85"/>
      <c r="AD319" s="85"/>
      <c r="AG319" s="85"/>
      <c r="AH319" s="85"/>
      <c r="AI319" s="85"/>
    </row>
    <row r="320" spans="18:35" x14ac:dyDescent="0.2">
      <c r="R320" s="85"/>
      <c r="S320" s="85"/>
      <c r="T320" s="85"/>
      <c r="W320" s="85"/>
      <c r="X320" s="85"/>
      <c r="Y320" s="85"/>
      <c r="AB320" s="85"/>
      <c r="AC320" s="85"/>
      <c r="AD320" s="85"/>
      <c r="AG320" s="85"/>
      <c r="AH320" s="85"/>
      <c r="AI320" s="85"/>
    </row>
    <row r="321" spans="18:35" x14ac:dyDescent="0.2">
      <c r="R321" s="85"/>
      <c r="S321" s="85"/>
      <c r="T321" s="85"/>
      <c r="W321" s="85"/>
      <c r="X321" s="85"/>
      <c r="Y321" s="85"/>
      <c r="AB321" s="85"/>
      <c r="AC321" s="85"/>
      <c r="AD321" s="85"/>
      <c r="AG321" s="85"/>
      <c r="AH321" s="85"/>
      <c r="AI321" s="85"/>
    </row>
    <row r="322" spans="18:35" x14ac:dyDescent="0.2">
      <c r="R322" s="85"/>
      <c r="S322" s="85"/>
      <c r="T322" s="85"/>
      <c r="W322" s="85"/>
      <c r="X322" s="85"/>
      <c r="Y322" s="85"/>
      <c r="AB322" s="85"/>
      <c r="AC322" s="85"/>
      <c r="AD322" s="85"/>
      <c r="AG322" s="85"/>
      <c r="AH322" s="85"/>
      <c r="AI322" s="85"/>
    </row>
    <row r="323" spans="18:35" x14ac:dyDescent="0.2">
      <c r="R323" s="85"/>
      <c r="S323" s="85"/>
      <c r="T323" s="85"/>
      <c r="W323" s="85"/>
      <c r="X323" s="85"/>
      <c r="Y323" s="85"/>
      <c r="AB323" s="85"/>
      <c r="AC323" s="85"/>
      <c r="AD323" s="85"/>
      <c r="AG323" s="85"/>
      <c r="AH323" s="85"/>
      <c r="AI323" s="85"/>
    </row>
    <row r="324" spans="18:35" x14ac:dyDescent="0.2">
      <c r="R324" s="85"/>
      <c r="S324" s="85"/>
      <c r="T324" s="85"/>
      <c r="W324" s="85"/>
      <c r="X324" s="85"/>
      <c r="Y324" s="85"/>
      <c r="AB324" s="85"/>
      <c r="AC324" s="85"/>
      <c r="AD324" s="85"/>
      <c r="AG324" s="85"/>
      <c r="AH324" s="85"/>
      <c r="AI324" s="85"/>
    </row>
    <row r="325" spans="18:35" x14ac:dyDescent="0.2">
      <c r="R325" s="85"/>
      <c r="S325" s="85"/>
      <c r="T325" s="85"/>
      <c r="W325" s="85"/>
      <c r="X325" s="85"/>
      <c r="Y325" s="85"/>
      <c r="AB325" s="85"/>
      <c r="AC325" s="85"/>
      <c r="AD325" s="85"/>
      <c r="AG325" s="85"/>
      <c r="AH325" s="85"/>
      <c r="AI325" s="85"/>
    </row>
    <row r="326" spans="18:35" x14ac:dyDescent="0.2">
      <c r="R326" s="85"/>
      <c r="S326" s="85"/>
      <c r="T326" s="85"/>
      <c r="W326" s="85"/>
      <c r="X326" s="85"/>
      <c r="Y326" s="85"/>
      <c r="AB326" s="85"/>
      <c r="AC326" s="85"/>
      <c r="AD326" s="85"/>
      <c r="AG326" s="85"/>
      <c r="AH326" s="85"/>
      <c r="AI326" s="85"/>
    </row>
    <row r="327" spans="18:35" x14ac:dyDescent="0.2">
      <c r="R327" s="85"/>
      <c r="S327" s="85"/>
      <c r="T327" s="85"/>
      <c r="W327" s="85"/>
      <c r="X327" s="85"/>
      <c r="Y327" s="85"/>
      <c r="AB327" s="85"/>
      <c r="AC327" s="85"/>
      <c r="AD327" s="85"/>
      <c r="AG327" s="85"/>
      <c r="AH327" s="85"/>
      <c r="AI327" s="85"/>
    </row>
    <row r="328" spans="18:35" x14ac:dyDescent="0.2">
      <c r="R328" s="85"/>
      <c r="S328" s="85"/>
      <c r="T328" s="85"/>
      <c r="W328" s="85"/>
      <c r="X328" s="85"/>
      <c r="Y328" s="85"/>
      <c r="AB328" s="85"/>
      <c r="AC328" s="85"/>
      <c r="AD328" s="85"/>
      <c r="AG328" s="85"/>
      <c r="AH328" s="85"/>
      <c r="AI328" s="85"/>
    </row>
    <row r="329" spans="18:35" x14ac:dyDescent="0.2">
      <c r="R329" s="85"/>
      <c r="S329" s="85"/>
      <c r="T329" s="85"/>
      <c r="W329" s="85"/>
      <c r="X329" s="85"/>
      <c r="Y329" s="85"/>
      <c r="AB329" s="85"/>
      <c r="AC329" s="85"/>
      <c r="AD329" s="85"/>
      <c r="AG329" s="85"/>
      <c r="AH329" s="85"/>
      <c r="AI329" s="85"/>
    </row>
    <row r="330" spans="18:35" x14ac:dyDescent="0.2">
      <c r="R330" s="85"/>
      <c r="S330" s="85"/>
      <c r="T330" s="85"/>
      <c r="W330" s="85"/>
      <c r="X330" s="85"/>
      <c r="Y330" s="85"/>
      <c r="AB330" s="85"/>
      <c r="AC330" s="85"/>
      <c r="AD330" s="85"/>
      <c r="AG330" s="85"/>
      <c r="AH330" s="85"/>
      <c r="AI330" s="85"/>
    </row>
    <row r="331" spans="18:35" x14ac:dyDescent="0.2">
      <c r="R331" s="85"/>
      <c r="S331" s="85"/>
      <c r="T331" s="85"/>
      <c r="W331" s="85"/>
      <c r="X331" s="85"/>
      <c r="Y331" s="85"/>
      <c r="AB331" s="85"/>
      <c r="AC331" s="85"/>
      <c r="AD331" s="85"/>
      <c r="AG331" s="85"/>
      <c r="AH331" s="85"/>
      <c r="AI331" s="85"/>
    </row>
    <row r="332" spans="18:35" x14ac:dyDescent="0.2">
      <c r="R332" s="85"/>
      <c r="S332" s="85"/>
      <c r="T332" s="85"/>
      <c r="W332" s="85"/>
      <c r="X332" s="85"/>
      <c r="Y332" s="85"/>
      <c r="AB332" s="85"/>
      <c r="AC332" s="85"/>
      <c r="AD332" s="85"/>
      <c r="AG332" s="85"/>
      <c r="AH332" s="85"/>
      <c r="AI332" s="85"/>
    </row>
    <row r="333" spans="18:35" x14ac:dyDescent="0.2">
      <c r="R333" s="85"/>
      <c r="S333" s="85"/>
      <c r="T333" s="85"/>
      <c r="W333" s="85"/>
      <c r="X333" s="85"/>
      <c r="Y333" s="85"/>
      <c r="AB333" s="85"/>
      <c r="AC333" s="85"/>
      <c r="AD333" s="85"/>
      <c r="AG333" s="85"/>
      <c r="AH333" s="85"/>
      <c r="AI333" s="85"/>
    </row>
    <row r="334" spans="18:35" x14ac:dyDescent="0.2">
      <c r="R334" s="85"/>
      <c r="S334" s="85"/>
      <c r="T334" s="85"/>
      <c r="W334" s="85"/>
      <c r="X334" s="85"/>
      <c r="Y334" s="85"/>
      <c r="AB334" s="85"/>
      <c r="AC334" s="85"/>
      <c r="AD334" s="85"/>
      <c r="AG334" s="85"/>
      <c r="AH334" s="85"/>
      <c r="AI334" s="85"/>
    </row>
    <row r="335" spans="18:35" x14ac:dyDescent="0.2">
      <c r="R335" s="85"/>
      <c r="S335" s="85"/>
      <c r="T335" s="85"/>
      <c r="W335" s="85"/>
      <c r="X335" s="85"/>
      <c r="Y335" s="85"/>
      <c r="AB335" s="85"/>
      <c r="AC335" s="85"/>
      <c r="AD335" s="85"/>
      <c r="AG335" s="85"/>
      <c r="AH335" s="85"/>
      <c r="AI335" s="85"/>
    </row>
    <row r="336" spans="18:35" x14ac:dyDescent="0.2">
      <c r="R336" s="85"/>
      <c r="S336" s="85"/>
      <c r="T336" s="85"/>
      <c r="W336" s="85"/>
      <c r="X336" s="85"/>
      <c r="Y336" s="85"/>
      <c r="AB336" s="85"/>
      <c r="AC336" s="85"/>
      <c r="AD336" s="85"/>
      <c r="AG336" s="85"/>
      <c r="AH336" s="85"/>
      <c r="AI336" s="85"/>
    </row>
    <row r="337" spans="18:35" x14ac:dyDescent="0.2">
      <c r="R337" s="85"/>
      <c r="S337" s="85"/>
      <c r="T337" s="85"/>
      <c r="W337" s="85"/>
      <c r="X337" s="85"/>
      <c r="Y337" s="85"/>
      <c r="AB337" s="85"/>
      <c r="AC337" s="85"/>
      <c r="AD337" s="85"/>
      <c r="AG337" s="85"/>
      <c r="AH337" s="85"/>
      <c r="AI337" s="85"/>
    </row>
    <row r="338" spans="18:35" x14ac:dyDescent="0.2">
      <c r="R338" s="85"/>
      <c r="S338" s="85"/>
      <c r="T338" s="85"/>
      <c r="W338" s="85"/>
      <c r="X338" s="85"/>
      <c r="Y338" s="85"/>
      <c r="AB338" s="85"/>
      <c r="AC338" s="85"/>
      <c r="AD338" s="85"/>
      <c r="AG338" s="85"/>
      <c r="AH338" s="85"/>
      <c r="AI338" s="85"/>
    </row>
    <row r="339" spans="18:35" x14ac:dyDescent="0.2">
      <c r="R339" s="85"/>
      <c r="S339" s="85"/>
      <c r="T339" s="85"/>
      <c r="W339" s="85"/>
      <c r="X339" s="85"/>
      <c r="Y339" s="85"/>
      <c r="AB339" s="85"/>
      <c r="AC339" s="85"/>
      <c r="AD339" s="85"/>
      <c r="AG339" s="85"/>
      <c r="AH339" s="85"/>
      <c r="AI339" s="85"/>
    </row>
    <row r="340" spans="18:35" x14ac:dyDescent="0.2">
      <c r="R340" s="85"/>
      <c r="S340" s="85"/>
      <c r="T340" s="85"/>
      <c r="W340" s="85"/>
      <c r="X340" s="85"/>
      <c r="Y340" s="85"/>
      <c r="AB340" s="85"/>
      <c r="AC340" s="85"/>
      <c r="AD340" s="85"/>
      <c r="AG340" s="85"/>
      <c r="AH340" s="85"/>
      <c r="AI340" s="85"/>
    </row>
    <row r="341" spans="18:35" x14ac:dyDescent="0.2">
      <c r="R341" s="85"/>
      <c r="S341" s="85"/>
      <c r="T341" s="85"/>
      <c r="W341" s="85"/>
      <c r="X341" s="85"/>
      <c r="Y341" s="85"/>
      <c r="AB341" s="85"/>
      <c r="AC341" s="85"/>
      <c r="AD341" s="85"/>
      <c r="AG341" s="85"/>
      <c r="AH341" s="85"/>
      <c r="AI341" s="85"/>
    </row>
    <row r="342" spans="18:35" x14ac:dyDescent="0.2">
      <c r="R342" s="85"/>
      <c r="S342" s="85"/>
      <c r="T342" s="85"/>
      <c r="W342" s="85"/>
      <c r="X342" s="85"/>
      <c r="Y342" s="85"/>
      <c r="AB342" s="85"/>
      <c r="AC342" s="85"/>
      <c r="AD342" s="85"/>
      <c r="AG342" s="85"/>
      <c r="AH342" s="85"/>
      <c r="AI342" s="85"/>
    </row>
    <row r="343" spans="18:35" x14ac:dyDescent="0.2">
      <c r="R343" s="85"/>
      <c r="S343" s="85"/>
      <c r="T343" s="85"/>
      <c r="W343" s="85"/>
      <c r="X343" s="85"/>
      <c r="Y343" s="85"/>
      <c r="AB343" s="85"/>
      <c r="AC343" s="85"/>
      <c r="AD343" s="85"/>
      <c r="AG343" s="85"/>
      <c r="AH343" s="85"/>
      <c r="AI343" s="85"/>
    </row>
    <row r="344" spans="18:35" x14ac:dyDescent="0.2">
      <c r="R344" s="85"/>
      <c r="S344" s="85"/>
      <c r="T344" s="85"/>
      <c r="W344" s="85"/>
      <c r="X344" s="85"/>
      <c r="Y344" s="85"/>
      <c r="AB344" s="85"/>
      <c r="AC344" s="85"/>
      <c r="AD344" s="85"/>
      <c r="AG344" s="85"/>
      <c r="AH344" s="85"/>
      <c r="AI344" s="85"/>
    </row>
    <row r="345" spans="18:35" x14ac:dyDescent="0.2">
      <c r="R345" s="85"/>
      <c r="S345" s="85"/>
      <c r="T345" s="85"/>
      <c r="W345" s="85"/>
      <c r="X345" s="85"/>
      <c r="Y345" s="85"/>
      <c r="AB345" s="85"/>
      <c r="AC345" s="85"/>
      <c r="AD345" s="85"/>
      <c r="AG345" s="85"/>
      <c r="AH345" s="85"/>
      <c r="AI345" s="85"/>
    </row>
    <row r="346" spans="18:35" x14ac:dyDescent="0.2">
      <c r="R346" s="85"/>
      <c r="S346" s="85"/>
      <c r="T346" s="85"/>
      <c r="W346" s="85"/>
      <c r="X346" s="85"/>
      <c r="Y346" s="85"/>
      <c r="AB346" s="85"/>
      <c r="AC346" s="85"/>
      <c r="AD346" s="85"/>
      <c r="AG346" s="85"/>
      <c r="AH346" s="85"/>
      <c r="AI346" s="85"/>
    </row>
    <row r="347" spans="18:35" x14ac:dyDescent="0.2">
      <c r="R347" s="85"/>
      <c r="S347" s="85"/>
      <c r="T347" s="85"/>
      <c r="W347" s="85"/>
      <c r="X347" s="85"/>
      <c r="Y347" s="85"/>
      <c r="AB347" s="85"/>
      <c r="AC347" s="85"/>
      <c r="AD347" s="85"/>
      <c r="AG347" s="85"/>
      <c r="AH347" s="85"/>
      <c r="AI347" s="85"/>
    </row>
    <row r="348" spans="18:35" x14ac:dyDescent="0.2">
      <c r="R348" s="85"/>
      <c r="S348" s="85"/>
      <c r="T348" s="85"/>
      <c r="W348" s="85"/>
      <c r="X348" s="85"/>
      <c r="Y348" s="85"/>
      <c r="AB348" s="85"/>
      <c r="AC348" s="85"/>
      <c r="AD348" s="85"/>
      <c r="AG348" s="85"/>
      <c r="AH348" s="85"/>
      <c r="AI348" s="85"/>
    </row>
    <row r="349" spans="18:35" x14ac:dyDescent="0.2">
      <c r="R349" s="85"/>
      <c r="S349" s="85"/>
      <c r="T349" s="85"/>
      <c r="W349" s="85"/>
      <c r="X349" s="85"/>
      <c r="Y349" s="85"/>
      <c r="AB349" s="85"/>
      <c r="AC349" s="85"/>
      <c r="AD349" s="85"/>
      <c r="AG349" s="85"/>
      <c r="AH349" s="85"/>
      <c r="AI349" s="85"/>
    </row>
    <row r="350" spans="18:35" x14ac:dyDescent="0.2">
      <c r="R350" s="85"/>
      <c r="S350" s="85"/>
      <c r="T350" s="85"/>
      <c r="W350" s="85"/>
      <c r="X350" s="85"/>
      <c r="Y350" s="85"/>
      <c r="AB350" s="85"/>
      <c r="AC350" s="85"/>
      <c r="AD350" s="85"/>
      <c r="AG350" s="85"/>
      <c r="AH350" s="85"/>
      <c r="AI350" s="85"/>
    </row>
    <row r="351" spans="18:35" x14ac:dyDescent="0.2">
      <c r="R351" s="85"/>
      <c r="S351" s="85"/>
      <c r="T351" s="85"/>
      <c r="W351" s="85"/>
      <c r="X351" s="85"/>
      <c r="Y351" s="85"/>
      <c r="AB351" s="85"/>
      <c r="AC351" s="85"/>
      <c r="AD351" s="85"/>
      <c r="AG351" s="85"/>
      <c r="AH351" s="85"/>
      <c r="AI351" s="85"/>
    </row>
    <row r="352" spans="18:35" x14ac:dyDescent="0.2">
      <c r="R352" s="85"/>
      <c r="S352" s="85"/>
      <c r="T352" s="85"/>
      <c r="W352" s="85"/>
      <c r="X352" s="85"/>
      <c r="Y352" s="85"/>
      <c r="AB352" s="85"/>
      <c r="AC352" s="85"/>
      <c r="AD352" s="85"/>
      <c r="AG352" s="85"/>
      <c r="AH352" s="85"/>
      <c r="AI352" s="85"/>
    </row>
    <row r="353" spans="18:35" x14ac:dyDescent="0.2">
      <c r="R353" s="85"/>
      <c r="S353" s="85"/>
      <c r="T353" s="85"/>
      <c r="W353" s="85"/>
      <c r="X353" s="85"/>
      <c r="Y353" s="85"/>
      <c r="AB353" s="85"/>
      <c r="AC353" s="85"/>
      <c r="AD353" s="85"/>
      <c r="AG353" s="85"/>
      <c r="AH353" s="85"/>
      <c r="AI353" s="85"/>
    </row>
    <row r="354" spans="18:35" x14ac:dyDescent="0.2">
      <c r="R354" s="85"/>
      <c r="S354" s="85"/>
      <c r="T354" s="85"/>
      <c r="W354" s="85"/>
      <c r="X354" s="85"/>
      <c r="Y354" s="85"/>
      <c r="AB354" s="85"/>
      <c r="AC354" s="85"/>
      <c r="AD354" s="85"/>
      <c r="AG354" s="85"/>
      <c r="AH354" s="85"/>
      <c r="AI354" s="85"/>
    </row>
    <row r="355" spans="18:35" x14ac:dyDescent="0.2">
      <c r="R355" s="85"/>
      <c r="S355" s="85"/>
      <c r="T355" s="85"/>
      <c r="W355" s="85"/>
      <c r="X355" s="85"/>
      <c r="Y355" s="85"/>
      <c r="AB355" s="85"/>
      <c r="AC355" s="85"/>
      <c r="AD355" s="85"/>
      <c r="AG355" s="85"/>
      <c r="AH355" s="85"/>
      <c r="AI355" s="85"/>
    </row>
    <row r="356" spans="18:35" x14ac:dyDescent="0.2">
      <c r="R356" s="85"/>
      <c r="S356" s="85"/>
      <c r="T356" s="85"/>
      <c r="W356" s="85"/>
      <c r="X356" s="85"/>
      <c r="Y356" s="85"/>
      <c r="AB356" s="85"/>
      <c r="AC356" s="85"/>
      <c r="AD356" s="85"/>
      <c r="AG356" s="85"/>
      <c r="AH356" s="85"/>
      <c r="AI356" s="85"/>
    </row>
    <row r="357" spans="18:35" x14ac:dyDescent="0.2">
      <c r="R357" s="85"/>
      <c r="S357" s="85"/>
      <c r="T357" s="85"/>
      <c r="W357" s="85"/>
      <c r="X357" s="85"/>
      <c r="Y357" s="85"/>
      <c r="AB357" s="85"/>
      <c r="AC357" s="85"/>
      <c r="AD357" s="85"/>
      <c r="AG357" s="85"/>
      <c r="AH357" s="85"/>
      <c r="AI357" s="85"/>
    </row>
    <row r="358" spans="18:35" x14ac:dyDescent="0.2">
      <c r="R358" s="85"/>
      <c r="S358" s="85"/>
      <c r="T358" s="85"/>
      <c r="W358" s="85"/>
      <c r="X358" s="85"/>
      <c r="Y358" s="85"/>
      <c r="AB358" s="85"/>
      <c r="AC358" s="85"/>
      <c r="AD358" s="85"/>
      <c r="AG358" s="85"/>
      <c r="AH358" s="85"/>
      <c r="AI358" s="85"/>
    </row>
    <row r="359" spans="18:35" x14ac:dyDescent="0.2">
      <c r="R359" s="85"/>
      <c r="S359" s="85"/>
      <c r="T359" s="85"/>
      <c r="W359" s="85"/>
      <c r="X359" s="85"/>
      <c r="Y359" s="85"/>
      <c r="AB359" s="85"/>
      <c r="AC359" s="85"/>
      <c r="AD359" s="85"/>
      <c r="AG359" s="85"/>
      <c r="AH359" s="85"/>
      <c r="AI359" s="85"/>
    </row>
    <row r="360" spans="18:35" x14ac:dyDescent="0.2">
      <c r="R360" s="85"/>
      <c r="S360" s="85"/>
      <c r="T360" s="85"/>
      <c r="W360" s="85"/>
      <c r="X360" s="85"/>
      <c r="Y360" s="85"/>
      <c r="AB360" s="85"/>
      <c r="AC360" s="85"/>
      <c r="AD360" s="85"/>
      <c r="AG360" s="85"/>
      <c r="AH360" s="85"/>
      <c r="AI360" s="85"/>
    </row>
    <row r="361" spans="18:35" x14ac:dyDescent="0.2">
      <c r="R361" s="85"/>
      <c r="S361" s="85"/>
      <c r="T361" s="85"/>
      <c r="W361" s="85"/>
      <c r="X361" s="85"/>
      <c r="Y361" s="85"/>
      <c r="AB361" s="85"/>
      <c r="AC361" s="85"/>
      <c r="AD361" s="85"/>
      <c r="AG361" s="85"/>
      <c r="AH361" s="85"/>
      <c r="AI361" s="85"/>
    </row>
    <row r="362" spans="18:35" x14ac:dyDescent="0.2">
      <c r="R362" s="85"/>
      <c r="S362" s="85"/>
      <c r="T362" s="85"/>
      <c r="W362" s="85"/>
      <c r="X362" s="85"/>
      <c r="Y362" s="85"/>
      <c r="AB362" s="85"/>
      <c r="AC362" s="85"/>
      <c r="AD362" s="85"/>
      <c r="AG362" s="85"/>
      <c r="AH362" s="85"/>
      <c r="AI362" s="85"/>
    </row>
    <row r="363" spans="18:35" x14ac:dyDescent="0.2">
      <c r="R363" s="85"/>
      <c r="S363" s="85"/>
      <c r="T363" s="85"/>
      <c r="W363" s="85"/>
      <c r="X363" s="85"/>
      <c r="Y363" s="85"/>
      <c r="AB363" s="85"/>
      <c r="AC363" s="85"/>
      <c r="AD363" s="85"/>
      <c r="AG363" s="85"/>
      <c r="AH363" s="85"/>
      <c r="AI363" s="85"/>
    </row>
    <row r="364" spans="18:35" x14ac:dyDescent="0.2">
      <c r="R364" s="85"/>
      <c r="S364" s="85"/>
      <c r="T364" s="85"/>
      <c r="W364" s="85"/>
      <c r="X364" s="85"/>
      <c r="Y364" s="85"/>
      <c r="AB364" s="85"/>
      <c r="AC364" s="85"/>
      <c r="AD364" s="85"/>
      <c r="AG364" s="85"/>
      <c r="AH364" s="85"/>
      <c r="AI364" s="85"/>
    </row>
    <row r="365" spans="18:35" x14ac:dyDescent="0.2">
      <c r="R365" s="85"/>
      <c r="S365" s="85"/>
      <c r="T365" s="85"/>
      <c r="W365" s="85"/>
      <c r="X365" s="85"/>
      <c r="Y365" s="85"/>
      <c r="AB365" s="85"/>
      <c r="AC365" s="85"/>
      <c r="AD365" s="85"/>
      <c r="AG365" s="85"/>
      <c r="AH365" s="85"/>
      <c r="AI365" s="85"/>
    </row>
    <row r="366" spans="18:35" x14ac:dyDescent="0.2">
      <c r="R366" s="85"/>
      <c r="S366" s="85"/>
      <c r="T366" s="85"/>
      <c r="W366" s="85"/>
      <c r="X366" s="85"/>
      <c r="Y366" s="85"/>
      <c r="AB366" s="85"/>
      <c r="AC366" s="85"/>
      <c r="AD366" s="85"/>
      <c r="AG366" s="85"/>
      <c r="AH366" s="85"/>
      <c r="AI366" s="85"/>
    </row>
    <row r="367" spans="18:35" x14ac:dyDescent="0.2">
      <c r="R367" s="85"/>
      <c r="S367" s="85"/>
      <c r="T367" s="85"/>
      <c r="W367" s="85"/>
      <c r="X367" s="85"/>
      <c r="Y367" s="85"/>
      <c r="AB367" s="85"/>
      <c r="AC367" s="85"/>
      <c r="AD367" s="85"/>
      <c r="AG367" s="85"/>
      <c r="AH367" s="85"/>
      <c r="AI367" s="85"/>
    </row>
    <row r="368" spans="18:35" x14ac:dyDescent="0.2">
      <c r="R368" s="85"/>
      <c r="S368" s="85"/>
      <c r="T368" s="85"/>
      <c r="W368" s="85"/>
      <c r="X368" s="85"/>
      <c r="Y368" s="85"/>
      <c r="AB368" s="85"/>
      <c r="AC368" s="85"/>
      <c r="AD368" s="85"/>
      <c r="AG368" s="85"/>
      <c r="AH368" s="85"/>
      <c r="AI368" s="85"/>
    </row>
    <row r="369" spans="18:35" x14ac:dyDescent="0.2">
      <c r="R369" s="85"/>
      <c r="S369" s="85"/>
      <c r="T369" s="85"/>
      <c r="W369" s="85"/>
      <c r="X369" s="85"/>
      <c r="Y369" s="85"/>
      <c r="AB369" s="85"/>
      <c r="AC369" s="85"/>
      <c r="AD369" s="85"/>
      <c r="AG369" s="85"/>
      <c r="AH369" s="85"/>
      <c r="AI369" s="85"/>
    </row>
    <row r="370" spans="18:35" x14ac:dyDescent="0.2">
      <c r="R370" s="85"/>
      <c r="S370" s="85"/>
      <c r="T370" s="85"/>
      <c r="W370" s="85"/>
      <c r="X370" s="85"/>
      <c r="Y370" s="85"/>
      <c r="AB370" s="85"/>
      <c r="AC370" s="85"/>
      <c r="AD370" s="85"/>
      <c r="AG370" s="85"/>
      <c r="AH370" s="85"/>
      <c r="AI370" s="85"/>
    </row>
    <row r="371" spans="18:35" x14ac:dyDescent="0.2">
      <c r="R371" s="85"/>
      <c r="S371" s="85"/>
      <c r="T371" s="85"/>
      <c r="W371" s="85"/>
      <c r="X371" s="85"/>
      <c r="Y371" s="85"/>
      <c r="AB371" s="85"/>
      <c r="AC371" s="85"/>
      <c r="AD371" s="85"/>
      <c r="AG371" s="85"/>
      <c r="AH371" s="85"/>
      <c r="AI371" s="85"/>
    </row>
    <row r="372" spans="18:35" x14ac:dyDescent="0.2">
      <c r="R372" s="85"/>
      <c r="S372" s="85"/>
      <c r="T372" s="85"/>
      <c r="W372" s="85"/>
      <c r="X372" s="85"/>
      <c r="Y372" s="85"/>
      <c r="AB372" s="85"/>
      <c r="AC372" s="85"/>
      <c r="AD372" s="85"/>
      <c r="AG372" s="85"/>
      <c r="AH372" s="85"/>
      <c r="AI372" s="85"/>
    </row>
    <row r="373" spans="18:35" x14ac:dyDescent="0.2">
      <c r="R373" s="85"/>
      <c r="S373" s="85"/>
      <c r="T373" s="85"/>
      <c r="W373" s="85"/>
      <c r="X373" s="85"/>
      <c r="Y373" s="85"/>
      <c r="AB373" s="85"/>
      <c r="AC373" s="85"/>
      <c r="AD373" s="85"/>
      <c r="AG373" s="85"/>
      <c r="AH373" s="85"/>
      <c r="AI373" s="85"/>
    </row>
    <row r="374" spans="18:35" x14ac:dyDescent="0.2">
      <c r="R374" s="85"/>
      <c r="S374" s="85"/>
      <c r="T374" s="85"/>
      <c r="W374" s="85"/>
      <c r="X374" s="85"/>
      <c r="Y374" s="85"/>
      <c r="AB374" s="85"/>
      <c r="AC374" s="85"/>
      <c r="AD374" s="85"/>
      <c r="AG374" s="85"/>
      <c r="AH374" s="85"/>
      <c r="AI374" s="85"/>
    </row>
    <row r="375" spans="18:35" x14ac:dyDescent="0.2">
      <c r="R375" s="85"/>
      <c r="S375" s="85"/>
      <c r="T375" s="85"/>
      <c r="W375" s="85"/>
      <c r="X375" s="85"/>
      <c r="Y375" s="85"/>
      <c r="AB375" s="85"/>
      <c r="AC375" s="85"/>
      <c r="AD375" s="85"/>
      <c r="AG375" s="85"/>
      <c r="AH375" s="85"/>
      <c r="AI375" s="85"/>
    </row>
    <row r="376" spans="18:35" x14ac:dyDescent="0.2">
      <c r="R376" s="85"/>
      <c r="S376" s="85"/>
      <c r="T376" s="85"/>
      <c r="W376" s="85"/>
      <c r="X376" s="85"/>
      <c r="Y376" s="85"/>
      <c r="AB376" s="85"/>
      <c r="AC376" s="85"/>
      <c r="AD376" s="85"/>
      <c r="AG376" s="85"/>
      <c r="AH376" s="85"/>
      <c r="AI376" s="85"/>
    </row>
    <row r="377" spans="18:35" x14ac:dyDescent="0.2">
      <c r="R377" s="85"/>
      <c r="S377" s="85"/>
      <c r="T377" s="85"/>
      <c r="W377" s="85"/>
      <c r="X377" s="85"/>
      <c r="Y377" s="85"/>
      <c r="AB377" s="85"/>
      <c r="AC377" s="85"/>
      <c r="AD377" s="85"/>
      <c r="AG377" s="85"/>
      <c r="AH377" s="85"/>
      <c r="AI377" s="85"/>
    </row>
    <row r="378" spans="18:35" x14ac:dyDescent="0.2">
      <c r="R378" s="85"/>
      <c r="S378" s="85"/>
      <c r="T378" s="85"/>
      <c r="W378" s="85"/>
      <c r="X378" s="85"/>
      <c r="Y378" s="85"/>
      <c r="AB378" s="85"/>
      <c r="AC378" s="85"/>
      <c r="AD378" s="85"/>
      <c r="AG378" s="85"/>
      <c r="AH378" s="85"/>
      <c r="AI378" s="85"/>
    </row>
    <row r="379" spans="18:35" x14ac:dyDescent="0.2">
      <c r="R379" s="85"/>
      <c r="S379" s="85"/>
      <c r="T379" s="85"/>
      <c r="W379" s="85"/>
      <c r="X379" s="85"/>
      <c r="Y379" s="85"/>
      <c r="AB379" s="85"/>
      <c r="AC379" s="85"/>
      <c r="AD379" s="85"/>
      <c r="AG379" s="85"/>
      <c r="AH379" s="85"/>
      <c r="AI379" s="85"/>
    </row>
    <row r="380" spans="18:35" x14ac:dyDescent="0.2">
      <c r="R380" s="85"/>
      <c r="S380" s="85"/>
      <c r="T380" s="85"/>
      <c r="W380" s="85"/>
      <c r="X380" s="85"/>
      <c r="Y380" s="85"/>
      <c r="AB380" s="85"/>
      <c r="AC380" s="85"/>
      <c r="AD380" s="85"/>
      <c r="AG380" s="85"/>
      <c r="AH380" s="85"/>
      <c r="AI380" s="85"/>
    </row>
    <row r="381" spans="18:35" x14ac:dyDescent="0.2">
      <c r="R381" s="85"/>
      <c r="S381" s="85"/>
      <c r="T381" s="85"/>
      <c r="W381" s="85"/>
      <c r="X381" s="85"/>
      <c r="Y381" s="85"/>
      <c r="AB381" s="85"/>
      <c r="AC381" s="85"/>
      <c r="AD381" s="85"/>
      <c r="AG381" s="85"/>
      <c r="AH381" s="85"/>
      <c r="AI381" s="85"/>
    </row>
    <row r="382" spans="18:35" x14ac:dyDescent="0.2">
      <c r="R382" s="85"/>
      <c r="S382" s="85"/>
      <c r="T382" s="85"/>
      <c r="W382" s="85"/>
      <c r="X382" s="85"/>
      <c r="Y382" s="85"/>
      <c r="AB382" s="85"/>
      <c r="AC382" s="85"/>
      <c r="AD382" s="85"/>
      <c r="AG382" s="85"/>
      <c r="AH382" s="85"/>
      <c r="AI382" s="85"/>
    </row>
    <row r="383" spans="18:35" x14ac:dyDescent="0.2">
      <c r="R383" s="85"/>
      <c r="S383" s="85"/>
      <c r="T383" s="85"/>
      <c r="W383" s="85"/>
      <c r="X383" s="85"/>
      <c r="Y383" s="85"/>
      <c r="AB383" s="85"/>
      <c r="AC383" s="85"/>
      <c r="AD383" s="85"/>
      <c r="AG383" s="85"/>
      <c r="AH383" s="85"/>
      <c r="AI383" s="85"/>
    </row>
    <row r="384" spans="18:35" x14ac:dyDescent="0.2">
      <c r="R384" s="85"/>
      <c r="S384" s="85"/>
      <c r="T384" s="85"/>
      <c r="W384" s="85"/>
      <c r="X384" s="85"/>
      <c r="Y384" s="85"/>
      <c r="AB384" s="85"/>
      <c r="AC384" s="85"/>
      <c r="AD384" s="85"/>
      <c r="AG384" s="85"/>
      <c r="AH384" s="85"/>
      <c r="AI384" s="85"/>
    </row>
    <row r="385" spans="18:35" x14ac:dyDescent="0.2">
      <c r="R385" s="85"/>
      <c r="S385" s="85"/>
      <c r="T385" s="85"/>
      <c r="W385" s="85"/>
      <c r="X385" s="85"/>
      <c r="Y385" s="85"/>
      <c r="AB385" s="85"/>
      <c r="AC385" s="85"/>
      <c r="AD385" s="85"/>
      <c r="AG385" s="85"/>
      <c r="AH385" s="85"/>
      <c r="AI385" s="85"/>
    </row>
    <row r="386" spans="18:35" x14ac:dyDescent="0.2">
      <c r="R386" s="85"/>
      <c r="S386" s="85"/>
      <c r="T386" s="85"/>
      <c r="W386" s="85"/>
      <c r="X386" s="85"/>
      <c r="Y386" s="85"/>
      <c r="AB386" s="85"/>
      <c r="AC386" s="85"/>
      <c r="AD386" s="85"/>
      <c r="AG386" s="85"/>
      <c r="AH386" s="85"/>
      <c r="AI386" s="85"/>
    </row>
    <row r="387" spans="18:35" x14ac:dyDescent="0.2">
      <c r="R387" s="85"/>
      <c r="S387" s="85"/>
      <c r="T387" s="85"/>
      <c r="W387" s="85"/>
      <c r="X387" s="85"/>
      <c r="Y387" s="85"/>
      <c r="AB387" s="85"/>
      <c r="AC387" s="85"/>
      <c r="AD387" s="85"/>
      <c r="AG387" s="85"/>
      <c r="AH387" s="85"/>
      <c r="AI387" s="85"/>
    </row>
    <row r="388" spans="18:35" x14ac:dyDescent="0.2">
      <c r="R388" s="85"/>
      <c r="S388" s="85"/>
      <c r="T388" s="85"/>
      <c r="W388" s="85"/>
      <c r="X388" s="85"/>
      <c r="Y388" s="85"/>
      <c r="AB388" s="85"/>
      <c r="AC388" s="85"/>
      <c r="AD388" s="85"/>
      <c r="AG388" s="85"/>
      <c r="AH388" s="85"/>
      <c r="AI388" s="85"/>
    </row>
    <row r="389" spans="18:35" x14ac:dyDescent="0.2">
      <c r="R389" s="85"/>
      <c r="S389" s="85"/>
      <c r="T389" s="85"/>
      <c r="W389" s="85"/>
      <c r="X389" s="85"/>
      <c r="Y389" s="85"/>
      <c r="AB389" s="85"/>
      <c r="AC389" s="85"/>
      <c r="AD389" s="85"/>
      <c r="AG389" s="85"/>
      <c r="AH389" s="85"/>
      <c r="AI389" s="85"/>
    </row>
    <row r="390" spans="18:35" x14ac:dyDescent="0.2">
      <c r="R390" s="85"/>
      <c r="S390" s="85"/>
      <c r="T390" s="85"/>
      <c r="W390" s="85"/>
      <c r="X390" s="85"/>
      <c r="Y390" s="85"/>
      <c r="AB390" s="85"/>
      <c r="AC390" s="85"/>
      <c r="AD390" s="85"/>
      <c r="AG390" s="85"/>
      <c r="AH390" s="85"/>
      <c r="AI390" s="85"/>
    </row>
    <row r="391" spans="18:35" x14ac:dyDescent="0.2">
      <c r="R391" s="85"/>
      <c r="S391" s="85"/>
      <c r="T391" s="85"/>
      <c r="W391" s="85"/>
      <c r="X391" s="85"/>
      <c r="Y391" s="85"/>
      <c r="AB391" s="85"/>
      <c r="AC391" s="85"/>
      <c r="AD391" s="85"/>
      <c r="AG391" s="85"/>
      <c r="AH391" s="85"/>
      <c r="AI391" s="85"/>
    </row>
    <row r="392" spans="18:35" x14ac:dyDescent="0.2">
      <c r="R392" s="85"/>
      <c r="S392" s="85"/>
      <c r="T392" s="85"/>
      <c r="W392" s="85"/>
      <c r="X392" s="85"/>
      <c r="Y392" s="85"/>
      <c r="AB392" s="85"/>
      <c r="AC392" s="85"/>
      <c r="AD392" s="85"/>
      <c r="AG392" s="85"/>
      <c r="AH392" s="85"/>
      <c r="AI392" s="85"/>
    </row>
    <row r="393" spans="18:35" x14ac:dyDescent="0.2">
      <c r="R393" s="85"/>
      <c r="S393" s="85"/>
      <c r="T393" s="85"/>
      <c r="W393" s="85"/>
      <c r="X393" s="85"/>
      <c r="Y393" s="85"/>
      <c r="AB393" s="85"/>
      <c r="AC393" s="85"/>
      <c r="AD393" s="85"/>
      <c r="AG393" s="85"/>
      <c r="AH393" s="85"/>
      <c r="AI393" s="85"/>
    </row>
    <row r="394" spans="18:35" x14ac:dyDescent="0.2">
      <c r="R394" s="85"/>
      <c r="S394" s="85"/>
      <c r="T394" s="85"/>
      <c r="W394" s="85"/>
      <c r="X394" s="85"/>
      <c r="Y394" s="85"/>
      <c r="AB394" s="85"/>
      <c r="AC394" s="85"/>
      <c r="AD394" s="85"/>
      <c r="AG394" s="85"/>
      <c r="AH394" s="85"/>
      <c r="AI394" s="85"/>
    </row>
    <row r="395" spans="18:35" x14ac:dyDescent="0.2">
      <c r="R395" s="85"/>
      <c r="S395" s="85"/>
      <c r="T395" s="85"/>
      <c r="W395" s="85"/>
      <c r="X395" s="85"/>
      <c r="Y395" s="85"/>
      <c r="AB395" s="85"/>
      <c r="AC395" s="85"/>
      <c r="AD395" s="85"/>
      <c r="AG395" s="85"/>
      <c r="AH395" s="85"/>
      <c r="AI395" s="85"/>
    </row>
    <row r="396" spans="18:35" x14ac:dyDescent="0.2">
      <c r="R396" s="85"/>
      <c r="S396" s="85"/>
      <c r="T396" s="85"/>
      <c r="W396" s="85"/>
      <c r="X396" s="85"/>
      <c r="Y396" s="85"/>
      <c r="AB396" s="85"/>
      <c r="AC396" s="85"/>
      <c r="AD396" s="85"/>
      <c r="AG396" s="85"/>
      <c r="AH396" s="85"/>
      <c r="AI396" s="85"/>
    </row>
    <row r="397" spans="18:35" x14ac:dyDescent="0.2">
      <c r="R397" s="85"/>
      <c r="S397" s="85"/>
      <c r="T397" s="85"/>
      <c r="W397" s="85"/>
      <c r="X397" s="85"/>
      <c r="Y397" s="85"/>
      <c r="AB397" s="85"/>
      <c r="AC397" s="85"/>
      <c r="AD397" s="85"/>
      <c r="AG397" s="85"/>
      <c r="AH397" s="85"/>
      <c r="AI397" s="85"/>
    </row>
    <row r="398" spans="18:35" x14ac:dyDescent="0.2">
      <c r="R398" s="85"/>
      <c r="S398" s="85"/>
      <c r="T398" s="85"/>
      <c r="W398" s="85"/>
      <c r="X398" s="85"/>
      <c r="Y398" s="85"/>
      <c r="AB398" s="85"/>
      <c r="AC398" s="85"/>
      <c r="AD398" s="85"/>
      <c r="AG398" s="85"/>
      <c r="AH398" s="85"/>
      <c r="AI398" s="85"/>
    </row>
    <row r="399" spans="18:35" x14ac:dyDescent="0.2">
      <c r="R399" s="85"/>
      <c r="S399" s="85"/>
      <c r="T399" s="85"/>
      <c r="W399" s="85"/>
      <c r="X399" s="85"/>
      <c r="Y399" s="85"/>
      <c r="AB399" s="85"/>
      <c r="AC399" s="85"/>
      <c r="AD399" s="85"/>
      <c r="AG399" s="85"/>
      <c r="AH399" s="85"/>
      <c r="AI399" s="85"/>
    </row>
    <row r="400" spans="18:35" x14ac:dyDescent="0.2">
      <c r="R400" s="85"/>
      <c r="S400" s="85"/>
      <c r="T400" s="85"/>
      <c r="W400" s="85"/>
      <c r="X400" s="85"/>
      <c r="Y400" s="85"/>
      <c r="AB400" s="85"/>
      <c r="AC400" s="85"/>
      <c r="AD400" s="85"/>
      <c r="AG400" s="85"/>
      <c r="AH400" s="85"/>
      <c r="AI400" s="85"/>
    </row>
    <row r="401" spans="18:35" x14ac:dyDescent="0.2">
      <c r="R401" s="85"/>
      <c r="S401" s="85"/>
      <c r="T401" s="85"/>
      <c r="W401" s="85"/>
      <c r="X401" s="85"/>
      <c r="Y401" s="85"/>
      <c r="AB401" s="85"/>
      <c r="AC401" s="85"/>
      <c r="AD401" s="85"/>
      <c r="AG401" s="85"/>
      <c r="AH401" s="85"/>
      <c r="AI401" s="85"/>
    </row>
    <row r="402" spans="18:35" x14ac:dyDescent="0.2">
      <c r="R402" s="85"/>
      <c r="S402" s="85"/>
      <c r="T402" s="85"/>
      <c r="W402" s="85"/>
      <c r="X402" s="85"/>
      <c r="Y402" s="85"/>
      <c r="AB402" s="85"/>
      <c r="AC402" s="85"/>
      <c r="AD402" s="85"/>
      <c r="AG402" s="85"/>
      <c r="AH402" s="85"/>
      <c r="AI402" s="85"/>
    </row>
    <row r="403" spans="18:35" x14ac:dyDescent="0.2">
      <c r="R403" s="85"/>
      <c r="S403" s="85"/>
      <c r="T403" s="85"/>
      <c r="W403" s="85"/>
      <c r="X403" s="85"/>
      <c r="Y403" s="85"/>
      <c r="AB403" s="85"/>
      <c r="AC403" s="85"/>
      <c r="AD403" s="85"/>
      <c r="AG403" s="85"/>
      <c r="AH403" s="85"/>
      <c r="AI403" s="85"/>
    </row>
    <row r="404" spans="18:35" x14ac:dyDescent="0.2">
      <c r="R404" s="85"/>
      <c r="S404" s="85"/>
      <c r="T404" s="85"/>
      <c r="W404" s="85"/>
      <c r="X404" s="85"/>
      <c r="Y404" s="85"/>
      <c r="AB404" s="85"/>
      <c r="AC404" s="85"/>
      <c r="AD404" s="85"/>
      <c r="AG404" s="85"/>
      <c r="AH404" s="85"/>
      <c r="AI404" s="85"/>
    </row>
    <row r="405" spans="18:35" x14ac:dyDescent="0.2">
      <c r="R405" s="85"/>
      <c r="S405" s="85"/>
      <c r="T405" s="85"/>
      <c r="W405" s="85"/>
      <c r="X405" s="85"/>
      <c r="Y405" s="85"/>
      <c r="AB405" s="85"/>
      <c r="AC405" s="85"/>
      <c r="AD405" s="85"/>
      <c r="AG405" s="85"/>
      <c r="AH405" s="85"/>
      <c r="AI405" s="85"/>
    </row>
    <row r="406" spans="18:35" x14ac:dyDescent="0.2">
      <c r="R406" s="85"/>
      <c r="S406" s="85"/>
      <c r="T406" s="85"/>
      <c r="W406" s="85"/>
      <c r="X406" s="85"/>
      <c r="Y406" s="85"/>
      <c r="AB406" s="85"/>
      <c r="AC406" s="85"/>
      <c r="AD406" s="85"/>
      <c r="AG406" s="85"/>
      <c r="AH406" s="85"/>
      <c r="AI406" s="85"/>
    </row>
    <row r="407" spans="18:35" x14ac:dyDescent="0.2">
      <c r="R407" s="85"/>
      <c r="S407" s="85"/>
      <c r="T407" s="85"/>
      <c r="W407" s="85"/>
      <c r="X407" s="85"/>
      <c r="Y407" s="85"/>
      <c r="AB407" s="85"/>
      <c r="AC407" s="85"/>
      <c r="AD407" s="85"/>
      <c r="AG407" s="85"/>
      <c r="AH407" s="85"/>
      <c r="AI407" s="85"/>
    </row>
    <row r="408" spans="18:35" x14ac:dyDescent="0.2">
      <c r="R408" s="85"/>
      <c r="S408" s="85"/>
      <c r="T408" s="85"/>
      <c r="W408" s="85"/>
      <c r="X408" s="85"/>
      <c r="Y408" s="85"/>
      <c r="AB408" s="85"/>
      <c r="AC408" s="85"/>
      <c r="AD408" s="85"/>
      <c r="AG408" s="85"/>
      <c r="AH408" s="85"/>
      <c r="AI408" s="85"/>
    </row>
    <row r="409" spans="18:35" x14ac:dyDescent="0.2">
      <c r="R409" s="85"/>
      <c r="S409" s="85"/>
      <c r="T409" s="85"/>
      <c r="W409" s="85"/>
      <c r="X409" s="85"/>
      <c r="Y409" s="85"/>
      <c r="AB409" s="85"/>
      <c r="AC409" s="85"/>
      <c r="AD409" s="85"/>
      <c r="AG409" s="85"/>
      <c r="AH409" s="85"/>
      <c r="AI409" s="85"/>
    </row>
    <row r="410" spans="18:35" x14ac:dyDescent="0.2">
      <c r="R410" s="85"/>
      <c r="S410" s="85"/>
      <c r="T410" s="85"/>
      <c r="W410" s="85"/>
      <c r="X410" s="85"/>
      <c r="Y410" s="85"/>
      <c r="AB410" s="85"/>
      <c r="AC410" s="85"/>
      <c r="AD410" s="85"/>
      <c r="AG410" s="85"/>
      <c r="AH410" s="85"/>
      <c r="AI410" s="85"/>
    </row>
    <row r="411" spans="18:35" x14ac:dyDescent="0.2">
      <c r="R411" s="85"/>
      <c r="S411" s="85"/>
      <c r="T411" s="85"/>
      <c r="W411" s="85"/>
      <c r="X411" s="85"/>
      <c r="Y411" s="85"/>
      <c r="AB411" s="85"/>
      <c r="AC411" s="85"/>
      <c r="AD411" s="85"/>
      <c r="AG411" s="85"/>
      <c r="AH411" s="85"/>
      <c r="AI411" s="85"/>
    </row>
    <row r="412" spans="18:35" x14ac:dyDescent="0.2">
      <c r="R412" s="85"/>
      <c r="S412" s="85"/>
      <c r="T412" s="85"/>
      <c r="W412" s="85"/>
      <c r="X412" s="85"/>
      <c r="Y412" s="85"/>
      <c r="AB412" s="85"/>
      <c r="AC412" s="85"/>
      <c r="AD412" s="85"/>
      <c r="AG412" s="85"/>
      <c r="AH412" s="85"/>
      <c r="AI412" s="85"/>
    </row>
    <row r="413" spans="18:35" x14ac:dyDescent="0.2">
      <c r="R413" s="85"/>
      <c r="S413" s="85"/>
      <c r="T413" s="85"/>
      <c r="W413" s="85"/>
      <c r="X413" s="85"/>
      <c r="Y413" s="85"/>
      <c r="AB413" s="85"/>
      <c r="AC413" s="85"/>
      <c r="AD413" s="85"/>
      <c r="AG413" s="85"/>
      <c r="AH413" s="85"/>
      <c r="AI413" s="85"/>
    </row>
    <row r="414" spans="18:35" x14ac:dyDescent="0.2">
      <c r="R414" s="85"/>
      <c r="S414" s="85"/>
      <c r="T414" s="85"/>
      <c r="W414" s="85"/>
      <c r="X414" s="85"/>
      <c r="Y414" s="85"/>
      <c r="AB414" s="85"/>
      <c r="AC414" s="85"/>
      <c r="AD414" s="85"/>
      <c r="AG414" s="85"/>
      <c r="AH414" s="85"/>
      <c r="AI414" s="85"/>
    </row>
    <row r="415" spans="18:35" x14ac:dyDescent="0.2">
      <c r="R415" s="85"/>
      <c r="S415" s="85"/>
      <c r="T415" s="85"/>
      <c r="W415" s="85"/>
      <c r="X415" s="85"/>
      <c r="Y415" s="85"/>
      <c r="AB415" s="85"/>
      <c r="AC415" s="85"/>
      <c r="AD415" s="85"/>
      <c r="AG415" s="85"/>
      <c r="AH415" s="85"/>
      <c r="AI415" s="85"/>
    </row>
    <row r="416" spans="18:35" x14ac:dyDescent="0.2">
      <c r="R416" s="85"/>
      <c r="S416" s="85"/>
      <c r="T416" s="85"/>
      <c r="W416" s="85"/>
      <c r="X416" s="85"/>
      <c r="Y416" s="85"/>
      <c r="AB416" s="85"/>
      <c r="AC416" s="85"/>
      <c r="AD416" s="85"/>
      <c r="AG416" s="85"/>
      <c r="AH416" s="85"/>
      <c r="AI416" s="85"/>
    </row>
    <row r="417" spans="18:35" x14ac:dyDescent="0.2">
      <c r="R417" s="85"/>
      <c r="S417" s="85"/>
      <c r="T417" s="85"/>
      <c r="W417" s="85"/>
      <c r="X417" s="85"/>
      <c r="Y417" s="85"/>
      <c r="AB417" s="85"/>
      <c r="AC417" s="85"/>
      <c r="AD417" s="85"/>
      <c r="AG417" s="85"/>
      <c r="AH417" s="85"/>
      <c r="AI417" s="85"/>
    </row>
    <row r="418" spans="18:35" x14ac:dyDescent="0.2">
      <c r="R418" s="85"/>
      <c r="S418" s="85"/>
      <c r="T418" s="85"/>
      <c r="W418" s="85"/>
      <c r="X418" s="85"/>
      <c r="Y418" s="85"/>
      <c r="AB418" s="85"/>
      <c r="AC418" s="85"/>
      <c r="AD418" s="85"/>
      <c r="AG418" s="85"/>
      <c r="AH418" s="85"/>
      <c r="AI418" s="85"/>
    </row>
    <row r="419" spans="18:35" x14ac:dyDescent="0.2">
      <c r="R419" s="85"/>
      <c r="S419" s="85"/>
      <c r="T419" s="85"/>
      <c r="W419" s="85"/>
      <c r="X419" s="85"/>
      <c r="Y419" s="85"/>
      <c r="AB419" s="85"/>
      <c r="AC419" s="85"/>
      <c r="AD419" s="85"/>
      <c r="AG419" s="85"/>
      <c r="AH419" s="85"/>
      <c r="AI419" s="85"/>
    </row>
    <row r="420" spans="18:35" x14ac:dyDescent="0.2">
      <c r="R420" s="85"/>
      <c r="S420" s="85"/>
      <c r="T420" s="85"/>
      <c r="W420" s="85"/>
      <c r="X420" s="85"/>
      <c r="Y420" s="85"/>
      <c r="AB420" s="85"/>
      <c r="AC420" s="85"/>
      <c r="AD420" s="85"/>
      <c r="AG420" s="85"/>
      <c r="AH420" s="85"/>
      <c r="AI420" s="85"/>
    </row>
    <row r="421" spans="18:35" x14ac:dyDescent="0.2">
      <c r="R421" s="85"/>
      <c r="S421" s="85"/>
      <c r="T421" s="85"/>
      <c r="W421" s="85"/>
      <c r="X421" s="85"/>
      <c r="Y421" s="85"/>
      <c r="AB421" s="85"/>
      <c r="AC421" s="85"/>
      <c r="AD421" s="85"/>
      <c r="AG421" s="85"/>
      <c r="AH421" s="85"/>
      <c r="AI421" s="85"/>
    </row>
    <row r="422" spans="18:35" x14ac:dyDescent="0.2">
      <c r="R422" s="85"/>
      <c r="S422" s="85"/>
      <c r="T422" s="85"/>
      <c r="W422" s="85"/>
      <c r="X422" s="85"/>
      <c r="Y422" s="85"/>
      <c r="AB422" s="85"/>
      <c r="AC422" s="85"/>
      <c r="AD422" s="85"/>
      <c r="AG422" s="85"/>
      <c r="AH422" s="85"/>
      <c r="AI422" s="85"/>
    </row>
    <row r="423" spans="18:35" x14ac:dyDescent="0.2">
      <c r="R423" s="85"/>
      <c r="S423" s="85"/>
      <c r="T423" s="85"/>
      <c r="W423" s="85"/>
      <c r="X423" s="85"/>
      <c r="Y423" s="85"/>
      <c r="AB423" s="85"/>
      <c r="AC423" s="85"/>
      <c r="AD423" s="85"/>
      <c r="AG423" s="85"/>
      <c r="AH423" s="85"/>
      <c r="AI423" s="85"/>
    </row>
    <row r="424" spans="18:35" x14ac:dyDescent="0.2">
      <c r="R424" s="85"/>
      <c r="S424" s="85"/>
      <c r="T424" s="85"/>
      <c r="W424" s="85"/>
      <c r="X424" s="85"/>
      <c r="Y424" s="85"/>
      <c r="AB424" s="85"/>
      <c r="AC424" s="85"/>
      <c r="AD424" s="85"/>
      <c r="AG424" s="85"/>
      <c r="AH424" s="85"/>
      <c r="AI424" s="85"/>
    </row>
    <row r="425" spans="18:35" x14ac:dyDescent="0.2">
      <c r="R425" s="85"/>
      <c r="S425" s="85"/>
      <c r="T425" s="85"/>
      <c r="W425" s="85"/>
      <c r="X425" s="85"/>
      <c r="Y425" s="85"/>
      <c r="AB425" s="85"/>
      <c r="AC425" s="85"/>
      <c r="AD425" s="85"/>
      <c r="AG425" s="85"/>
      <c r="AH425" s="85"/>
      <c r="AI425" s="85"/>
    </row>
    <row r="426" spans="18:35" x14ac:dyDescent="0.2">
      <c r="R426" s="85"/>
      <c r="S426" s="85"/>
      <c r="T426" s="85"/>
      <c r="W426" s="85"/>
      <c r="X426" s="85"/>
      <c r="Y426" s="85"/>
      <c r="AB426" s="85"/>
      <c r="AC426" s="85"/>
      <c r="AD426" s="85"/>
      <c r="AG426" s="85"/>
      <c r="AH426" s="85"/>
      <c r="AI426" s="85"/>
    </row>
    <row r="427" spans="18:35" x14ac:dyDescent="0.2">
      <c r="R427" s="85"/>
      <c r="S427" s="85"/>
      <c r="T427" s="85"/>
      <c r="W427" s="85"/>
      <c r="X427" s="85"/>
      <c r="Y427" s="85"/>
      <c r="AB427" s="85"/>
      <c r="AC427" s="85"/>
      <c r="AD427" s="85"/>
      <c r="AG427" s="85"/>
      <c r="AH427" s="85"/>
      <c r="AI427" s="85"/>
    </row>
    <row r="428" spans="18:35" x14ac:dyDescent="0.2">
      <c r="R428" s="85"/>
      <c r="S428" s="85"/>
      <c r="T428" s="85"/>
      <c r="W428" s="85"/>
      <c r="X428" s="85"/>
      <c r="Y428" s="85"/>
      <c r="AB428" s="85"/>
      <c r="AC428" s="85"/>
      <c r="AD428" s="85"/>
      <c r="AG428" s="85"/>
      <c r="AH428" s="85"/>
      <c r="AI428" s="85"/>
    </row>
    <row r="429" spans="18:35" x14ac:dyDescent="0.2">
      <c r="R429" s="85"/>
      <c r="S429" s="85"/>
      <c r="T429" s="85"/>
      <c r="W429" s="85"/>
      <c r="X429" s="85"/>
      <c r="Y429" s="85"/>
      <c r="AB429" s="85"/>
      <c r="AC429" s="85"/>
      <c r="AD429" s="85"/>
      <c r="AG429" s="85"/>
      <c r="AH429" s="85"/>
      <c r="AI429" s="85"/>
    </row>
    <row r="430" spans="18:35" x14ac:dyDescent="0.2">
      <c r="R430" s="85"/>
      <c r="S430" s="85"/>
      <c r="T430" s="85"/>
      <c r="W430" s="85"/>
      <c r="X430" s="85"/>
      <c r="Y430" s="85"/>
      <c r="AB430" s="85"/>
      <c r="AC430" s="85"/>
      <c r="AD430" s="85"/>
      <c r="AG430" s="85"/>
      <c r="AH430" s="85"/>
      <c r="AI430" s="85"/>
    </row>
    <row r="431" spans="18:35" x14ac:dyDescent="0.2">
      <c r="R431" s="85"/>
      <c r="S431" s="85"/>
      <c r="T431" s="85"/>
      <c r="W431" s="85"/>
      <c r="X431" s="85"/>
      <c r="Y431" s="85"/>
      <c r="AB431" s="85"/>
      <c r="AC431" s="85"/>
      <c r="AD431" s="85"/>
      <c r="AG431" s="85"/>
      <c r="AH431" s="85"/>
      <c r="AI431" s="85"/>
    </row>
    <row r="432" spans="18:35" x14ac:dyDescent="0.2">
      <c r="R432" s="85"/>
      <c r="S432" s="85"/>
      <c r="T432" s="85"/>
      <c r="W432" s="85"/>
      <c r="X432" s="85"/>
      <c r="Y432" s="85"/>
      <c r="AB432" s="85"/>
      <c r="AC432" s="85"/>
      <c r="AD432" s="85"/>
      <c r="AG432" s="85"/>
      <c r="AH432" s="85"/>
      <c r="AI432" s="85"/>
    </row>
    <row r="433" spans="18:35" x14ac:dyDescent="0.2">
      <c r="R433" s="85"/>
      <c r="S433" s="85"/>
      <c r="T433" s="85"/>
      <c r="W433" s="85"/>
      <c r="X433" s="85"/>
      <c r="Y433" s="85"/>
      <c r="AB433" s="85"/>
      <c r="AC433" s="85"/>
      <c r="AD433" s="85"/>
      <c r="AG433" s="85"/>
      <c r="AH433" s="85"/>
      <c r="AI433" s="85"/>
    </row>
    <row r="434" spans="18:35" x14ac:dyDescent="0.2">
      <c r="R434" s="85"/>
      <c r="S434" s="85"/>
      <c r="T434" s="85"/>
      <c r="W434" s="85"/>
      <c r="X434" s="85"/>
      <c r="Y434" s="85"/>
      <c r="AB434" s="85"/>
      <c r="AC434" s="85"/>
      <c r="AD434" s="85"/>
      <c r="AG434" s="85"/>
      <c r="AH434" s="85"/>
      <c r="AI434" s="85"/>
    </row>
    <row r="435" spans="18:35" x14ac:dyDescent="0.2">
      <c r="R435" s="85"/>
      <c r="S435" s="85"/>
      <c r="T435" s="85"/>
      <c r="W435" s="85"/>
      <c r="X435" s="85"/>
      <c r="Y435" s="85"/>
      <c r="AB435" s="85"/>
      <c r="AC435" s="85"/>
      <c r="AD435" s="85"/>
      <c r="AG435" s="85"/>
      <c r="AH435" s="85"/>
      <c r="AI435" s="85"/>
    </row>
    <row r="436" spans="18:35" x14ac:dyDescent="0.2">
      <c r="R436" s="85"/>
      <c r="S436" s="85"/>
      <c r="T436" s="85"/>
      <c r="W436" s="85"/>
      <c r="X436" s="85"/>
      <c r="Y436" s="85"/>
      <c r="AB436" s="85"/>
      <c r="AC436" s="85"/>
      <c r="AD436" s="85"/>
      <c r="AG436" s="85"/>
      <c r="AH436" s="85"/>
      <c r="AI436" s="85"/>
    </row>
    <row r="437" spans="18:35" x14ac:dyDescent="0.2">
      <c r="R437" s="85"/>
      <c r="S437" s="85"/>
      <c r="T437" s="85"/>
      <c r="W437" s="85"/>
      <c r="X437" s="85"/>
      <c r="Y437" s="85"/>
      <c r="AB437" s="85"/>
      <c r="AC437" s="85"/>
      <c r="AD437" s="85"/>
      <c r="AG437" s="85"/>
      <c r="AH437" s="85"/>
      <c r="AI437" s="85"/>
    </row>
    <row r="438" spans="18:35" x14ac:dyDescent="0.2">
      <c r="R438" s="85"/>
      <c r="S438" s="85"/>
      <c r="T438" s="85"/>
      <c r="W438" s="85"/>
      <c r="X438" s="85"/>
      <c r="Y438" s="85"/>
      <c r="AB438" s="85"/>
      <c r="AC438" s="85"/>
      <c r="AD438" s="85"/>
      <c r="AG438" s="85"/>
      <c r="AH438" s="85"/>
      <c r="AI438" s="85"/>
    </row>
    <row r="439" spans="18:35" x14ac:dyDescent="0.2">
      <c r="R439" s="85"/>
      <c r="S439" s="85"/>
      <c r="T439" s="85"/>
      <c r="W439" s="85"/>
      <c r="X439" s="85"/>
      <c r="Y439" s="85"/>
      <c r="AB439" s="85"/>
      <c r="AC439" s="85"/>
      <c r="AD439" s="85"/>
      <c r="AG439" s="85"/>
      <c r="AH439" s="85"/>
      <c r="AI439" s="85"/>
    </row>
    <row r="440" spans="18:35" x14ac:dyDescent="0.2">
      <c r="R440" s="85"/>
      <c r="S440" s="85"/>
      <c r="T440" s="85"/>
      <c r="W440" s="85"/>
      <c r="X440" s="85"/>
      <c r="Y440" s="85"/>
      <c r="AB440" s="85"/>
      <c r="AC440" s="85"/>
      <c r="AD440" s="85"/>
      <c r="AG440" s="85"/>
      <c r="AH440" s="85"/>
      <c r="AI440" s="85"/>
    </row>
    <row r="441" spans="18:35" x14ac:dyDescent="0.2">
      <c r="R441" s="85"/>
      <c r="S441" s="85"/>
      <c r="T441" s="85"/>
      <c r="W441" s="85"/>
      <c r="X441" s="85"/>
      <c r="Y441" s="85"/>
      <c r="AB441" s="85"/>
      <c r="AC441" s="85"/>
      <c r="AD441" s="85"/>
      <c r="AG441" s="85"/>
      <c r="AH441" s="85"/>
      <c r="AI441" s="85"/>
    </row>
    <row r="442" spans="18:35" x14ac:dyDescent="0.2">
      <c r="R442" s="85"/>
      <c r="S442" s="85"/>
      <c r="T442" s="85"/>
      <c r="W442" s="85"/>
      <c r="X442" s="85"/>
      <c r="Y442" s="85"/>
      <c r="AB442" s="85"/>
      <c r="AC442" s="85"/>
      <c r="AD442" s="85"/>
      <c r="AG442" s="85"/>
      <c r="AH442" s="85"/>
      <c r="AI442" s="85"/>
    </row>
    <row r="443" spans="18:35" x14ac:dyDescent="0.2">
      <c r="R443" s="85"/>
      <c r="S443" s="85"/>
      <c r="T443" s="85"/>
      <c r="W443" s="85"/>
      <c r="X443" s="85"/>
      <c r="Y443" s="85"/>
      <c r="AB443" s="85"/>
      <c r="AC443" s="85"/>
      <c r="AD443" s="85"/>
      <c r="AG443" s="85"/>
      <c r="AH443" s="85"/>
      <c r="AI443" s="85"/>
    </row>
    <row r="444" spans="18:35" x14ac:dyDescent="0.2">
      <c r="R444" s="85"/>
      <c r="S444" s="85"/>
      <c r="T444" s="85"/>
      <c r="W444" s="85"/>
      <c r="X444" s="85"/>
      <c r="Y444" s="85"/>
      <c r="AB444" s="85"/>
      <c r="AC444" s="85"/>
      <c r="AD444" s="85"/>
      <c r="AG444" s="85"/>
      <c r="AH444" s="85"/>
      <c r="AI444" s="85"/>
    </row>
    <row r="445" spans="18:35" x14ac:dyDescent="0.2">
      <c r="R445" s="85"/>
      <c r="S445" s="85"/>
      <c r="T445" s="85"/>
      <c r="W445" s="85"/>
      <c r="X445" s="85"/>
      <c r="Y445" s="85"/>
      <c r="AB445" s="85"/>
      <c r="AC445" s="85"/>
      <c r="AD445" s="85"/>
      <c r="AG445" s="85"/>
      <c r="AH445" s="85"/>
      <c r="AI445" s="85"/>
    </row>
    <row r="446" spans="18:35" x14ac:dyDescent="0.2">
      <c r="R446" s="85"/>
      <c r="S446" s="85"/>
      <c r="T446" s="85"/>
      <c r="W446" s="85"/>
      <c r="X446" s="85"/>
      <c r="Y446" s="85"/>
      <c r="AB446" s="85"/>
      <c r="AC446" s="85"/>
      <c r="AD446" s="85"/>
      <c r="AG446" s="85"/>
      <c r="AH446" s="85"/>
      <c r="AI446" s="85"/>
    </row>
    <row r="447" spans="18:35" x14ac:dyDescent="0.2">
      <c r="R447" s="85"/>
      <c r="S447" s="85"/>
      <c r="T447" s="85"/>
      <c r="W447" s="85"/>
      <c r="X447" s="85"/>
      <c r="Y447" s="85"/>
      <c r="AB447" s="85"/>
      <c r="AC447" s="85"/>
      <c r="AD447" s="85"/>
      <c r="AG447" s="85"/>
      <c r="AH447" s="85"/>
      <c r="AI447" s="85"/>
    </row>
    <row r="448" spans="18:35" x14ac:dyDescent="0.2">
      <c r="R448" s="85"/>
      <c r="S448" s="85"/>
      <c r="T448" s="85"/>
      <c r="W448" s="85"/>
      <c r="X448" s="85"/>
      <c r="Y448" s="85"/>
      <c r="AB448" s="85"/>
      <c r="AC448" s="85"/>
      <c r="AD448" s="85"/>
      <c r="AG448" s="85"/>
      <c r="AH448" s="85"/>
      <c r="AI448" s="85"/>
    </row>
    <row r="449" spans="18:35" x14ac:dyDescent="0.2">
      <c r="R449" s="85"/>
      <c r="S449" s="85"/>
      <c r="T449" s="85"/>
      <c r="W449" s="85"/>
      <c r="X449" s="85"/>
      <c r="Y449" s="85"/>
      <c r="AB449" s="85"/>
      <c r="AC449" s="85"/>
      <c r="AD449" s="85"/>
      <c r="AG449" s="85"/>
      <c r="AH449" s="85"/>
      <c r="AI449" s="85"/>
    </row>
    <row r="450" spans="18:35" x14ac:dyDescent="0.2">
      <c r="R450" s="85"/>
      <c r="S450" s="85"/>
      <c r="T450" s="85"/>
      <c r="W450" s="85"/>
      <c r="X450" s="85"/>
      <c r="Y450" s="85"/>
      <c r="AB450" s="85"/>
      <c r="AC450" s="85"/>
      <c r="AD450" s="85"/>
      <c r="AG450" s="85"/>
      <c r="AH450" s="85"/>
      <c r="AI450" s="85"/>
    </row>
    <row r="451" spans="18:35" x14ac:dyDescent="0.2">
      <c r="R451" s="85"/>
      <c r="S451" s="85"/>
      <c r="T451" s="85"/>
      <c r="W451" s="85"/>
      <c r="X451" s="85"/>
      <c r="Y451" s="85"/>
      <c r="AB451" s="85"/>
      <c r="AC451" s="85"/>
      <c r="AD451" s="85"/>
      <c r="AG451" s="85"/>
      <c r="AH451" s="85"/>
      <c r="AI451" s="85"/>
    </row>
    <row r="452" spans="18:35" x14ac:dyDescent="0.2">
      <c r="R452" s="85"/>
      <c r="S452" s="85"/>
      <c r="T452" s="85"/>
      <c r="W452" s="85"/>
      <c r="X452" s="85"/>
      <c r="Y452" s="85"/>
      <c r="AB452" s="85"/>
      <c r="AC452" s="85"/>
      <c r="AD452" s="85"/>
      <c r="AG452" s="85"/>
      <c r="AH452" s="85"/>
      <c r="AI452" s="85"/>
    </row>
    <row r="453" spans="18:35" x14ac:dyDescent="0.2">
      <c r="R453" s="85"/>
      <c r="S453" s="85"/>
      <c r="T453" s="85"/>
      <c r="W453" s="85"/>
      <c r="X453" s="85"/>
      <c r="Y453" s="85"/>
      <c r="AB453" s="85"/>
      <c r="AC453" s="85"/>
      <c r="AD453" s="85"/>
      <c r="AG453" s="85"/>
      <c r="AH453" s="85"/>
      <c r="AI453" s="85"/>
    </row>
    <row r="454" spans="18:35" x14ac:dyDescent="0.2">
      <c r="R454" s="85"/>
      <c r="S454" s="85"/>
      <c r="T454" s="85"/>
      <c r="W454" s="85"/>
      <c r="X454" s="85"/>
      <c r="Y454" s="85"/>
      <c r="AB454" s="85"/>
      <c r="AC454" s="85"/>
      <c r="AD454" s="85"/>
      <c r="AG454" s="85"/>
      <c r="AH454" s="85"/>
      <c r="AI454" s="85"/>
    </row>
    <row r="455" spans="18:35" x14ac:dyDescent="0.2">
      <c r="R455" s="85"/>
      <c r="S455" s="85"/>
      <c r="T455" s="85"/>
      <c r="W455" s="85"/>
      <c r="X455" s="85"/>
      <c r="Y455" s="85"/>
      <c r="AB455" s="85"/>
      <c r="AC455" s="85"/>
      <c r="AD455" s="85"/>
      <c r="AG455" s="85"/>
      <c r="AH455" s="85"/>
      <c r="AI455" s="85"/>
    </row>
    <row r="456" spans="18:35" x14ac:dyDescent="0.2">
      <c r="R456" s="85"/>
      <c r="S456" s="85"/>
      <c r="T456" s="85"/>
      <c r="W456" s="85"/>
      <c r="X456" s="85"/>
      <c r="Y456" s="85"/>
      <c r="AB456" s="85"/>
      <c r="AC456" s="85"/>
      <c r="AD456" s="85"/>
      <c r="AG456" s="85"/>
      <c r="AH456" s="85"/>
      <c r="AI456" s="85"/>
    </row>
    <row r="457" spans="18:35" x14ac:dyDescent="0.2">
      <c r="R457" s="85"/>
      <c r="S457" s="85"/>
      <c r="T457" s="85"/>
      <c r="W457" s="85"/>
      <c r="X457" s="85"/>
      <c r="Y457" s="85"/>
      <c r="AB457" s="85"/>
      <c r="AC457" s="85"/>
      <c r="AD457" s="85"/>
      <c r="AG457" s="85"/>
      <c r="AH457" s="85"/>
      <c r="AI457" s="85"/>
    </row>
    <row r="458" spans="18:35" x14ac:dyDescent="0.2">
      <c r="R458" s="85"/>
      <c r="S458" s="85"/>
      <c r="T458" s="85"/>
      <c r="W458" s="85"/>
      <c r="X458" s="85"/>
      <c r="Y458" s="85"/>
      <c r="AB458" s="85"/>
      <c r="AC458" s="85"/>
      <c r="AD458" s="85"/>
      <c r="AG458" s="85"/>
      <c r="AH458" s="85"/>
      <c r="AI458" s="85"/>
    </row>
    <row r="459" spans="18:35" x14ac:dyDescent="0.2">
      <c r="AG459" s="85"/>
      <c r="AH459" s="85"/>
      <c r="AI459" s="85"/>
    </row>
  </sheetData>
  <sheetProtection algorithmName="SHA-512" hashValue="dBywY4BO1U/klAmHKvw0V3Fmu4EQkT1PdqJSxtx6GtIek2jVRIsIWrcI5o/cjYxILAol14sq7PTfna6KbO2EHw==" saltValue="HAXvKz3tzxG7XY6Co8jV7w==" spinCount="100000" sheet="1" objects="1" scenarios="1" selectLockedCells="1"/>
  <mergeCells count="3">
    <mergeCell ref="F73:H73"/>
    <mergeCell ref="O3:P3"/>
    <mergeCell ref="A1:Q1"/>
  </mergeCells>
  <phoneticPr fontId="5" type="noConversion"/>
  <conditionalFormatting sqref="E12">
    <cfRule type="cellIs" dxfId="24" priority="23" stopIfTrue="1" operator="notBetween">
      <formula>1000</formula>
      <formula>100</formula>
    </cfRule>
    <cfRule type="cellIs" dxfId="23" priority="24" stopIfTrue="1" operator="notBetween">
      <formula>$E$11*0.8</formula>
      <formula>$E$11*1.5</formula>
    </cfRule>
  </conditionalFormatting>
  <conditionalFormatting sqref="E11">
    <cfRule type="cellIs" dxfId="22" priority="26" stopIfTrue="1" operator="notBetween">
      <formula>1000</formula>
      <formula>100</formula>
    </cfRule>
    <cfRule type="cellIs" dxfId="21" priority="27" stopIfTrue="1" operator="notBetween">
      <formula>$E$12/1.5</formula>
      <formula>$E$12/0.8</formula>
    </cfRule>
  </conditionalFormatting>
  <conditionalFormatting sqref="E31">
    <cfRule type="cellIs" dxfId="20" priority="20" stopIfTrue="1" operator="lessThanOrEqual">
      <formula>0</formula>
    </cfRule>
  </conditionalFormatting>
  <conditionalFormatting sqref="E33">
    <cfRule type="cellIs" dxfId="19" priority="19" stopIfTrue="1" operator="lessThan">
      <formula>$E$32</formula>
    </cfRule>
  </conditionalFormatting>
  <conditionalFormatting sqref="E35">
    <cfRule type="cellIs" dxfId="18" priority="18" stopIfTrue="1" operator="greaterThan">
      <formula>$E$34</formula>
    </cfRule>
  </conditionalFormatting>
  <conditionalFormatting sqref="E40">
    <cfRule type="cellIs" dxfId="17" priority="16" stopIfTrue="1" operator="equal">
      <formula>0</formula>
    </cfRule>
  </conditionalFormatting>
  <conditionalFormatting sqref="E42">
    <cfRule type="cellIs" dxfId="16" priority="15" stopIfTrue="1" operator="lessThan">
      <formula>$E$41</formula>
    </cfRule>
  </conditionalFormatting>
  <conditionalFormatting sqref="E44">
    <cfRule type="cellIs" dxfId="15" priority="13" stopIfTrue="1" operator="greaterThan">
      <formula>$E$43</formula>
    </cfRule>
    <cfRule type="cellIs" dxfId="14" priority="14" stopIfTrue="1" operator="equal">
      <formula>0</formula>
    </cfRule>
  </conditionalFormatting>
  <conditionalFormatting sqref="E51">
    <cfRule type="cellIs" dxfId="13" priority="11" operator="notBetween">
      <formula>VIN_MIN_RATING</formula>
      <formula>VIN_MAX_RATING</formula>
    </cfRule>
  </conditionalFormatting>
  <conditionalFormatting sqref="E52">
    <cfRule type="cellIs" dxfId="12" priority="10" operator="notBetween">
      <formula>VIN_MIN_RATING</formula>
      <formula>VIN_MAX_RATING</formula>
    </cfRule>
  </conditionalFormatting>
  <conditionalFormatting sqref="E9">
    <cfRule type="cellIs" dxfId="11" priority="28" operator="greaterThan">
      <formula>$E$7</formula>
    </cfRule>
    <cfRule type="cellIs" dxfId="10" priority="29" stopIfTrue="1" operator="notBetween">
      <formula>0.8</formula>
      <formula>VOUT_MAX_RATING</formula>
    </cfRule>
  </conditionalFormatting>
  <conditionalFormatting sqref="E6:E8">
    <cfRule type="cellIs" dxfId="9" priority="7" operator="notBetween">
      <formula>VIN_MIN_RATING</formula>
      <formula>VIN_MAX_RATING</formula>
    </cfRule>
  </conditionalFormatting>
  <conditionalFormatting sqref="D24:F24">
    <cfRule type="expression" dxfId="8" priority="3">
      <formula>RDSON_sense=1</formula>
    </cfRule>
  </conditionalFormatting>
  <hyperlinks>
    <hyperlink ref="C3" r:id="rId1" xr:uid="{00000000-0004-0000-0000-000000000000}"/>
  </hyperlinks>
  <printOptions horizontalCentered="1" verticalCentered="1"/>
  <pageMargins left="0.1" right="0.17" top="0.25" bottom="0.25" header="0.25" footer="0.25"/>
  <pageSetup scale="47" orientation="portrait" r:id="rId2"/>
  <headerFooter alignWithMargins="0"/>
  <rowBreaks count="1" manualBreakCount="1">
    <brk id="111" max="16" man="1"/>
  </rowBreaks>
  <ignoredErrors>
    <ignoredError sqref="E72" unlockedFormula="1"/>
  </ignoredErrors>
  <drawing r:id="rId3"/>
  <legacyDrawing r:id="rId4"/>
  <legacyDrawingHF r:id="rId5"/>
  <mc:AlternateContent xmlns:mc="http://schemas.openxmlformats.org/markup-compatibility/2006">
    <mc:Choice Requires="x14">
      <controls>
        <mc:AlternateContent xmlns:mc="http://schemas.openxmlformats.org/markup-compatibility/2006">
          <mc:Choice Requires="x14">
            <control shapeId="673565" r:id="rId6" name="Button 797">
              <controlPr locked="0" defaultSize="0" print="0" autoFill="0" autoPict="0" macro="[0]!FIXValues">
                <anchor moveWithCells="1" sizeWithCells="1">
                  <from>
                    <xdr:col>2</xdr:col>
                    <xdr:colOff>390525</xdr:colOff>
                    <xdr:row>74</xdr:row>
                    <xdr:rowOff>9525</xdr:rowOff>
                  </from>
                  <to>
                    <xdr:col>3</xdr:col>
                    <xdr:colOff>9525</xdr:colOff>
                    <xdr:row>77</xdr:row>
                    <xdr:rowOff>19050</xdr:rowOff>
                  </to>
                </anchor>
              </controlPr>
            </control>
          </mc:Choice>
        </mc:AlternateContent>
        <mc:AlternateContent xmlns:mc="http://schemas.openxmlformats.org/markup-compatibility/2006">
          <mc:Choice Requires="x14">
            <control shapeId="683100" r:id="rId7" name="Drop Down 1116">
              <controlPr defaultSize="0" autoLine="0" autoPict="0">
                <anchor moveWithCells="1">
                  <from>
                    <xdr:col>16</xdr:col>
                    <xdr:colOff>1695450</xdr:colOff>
                    <xdr:row>0</xdr:row>
                    <xdr:rowOff>447675</xdr:rowOff>
                  </from>
                  <to>
                    <xdr:col>16</xdr:col>
                    <xdr:colOff>2076450</xdr:colOff>
                    <xdr:row>1</xdr:row>
                    <xdr:rowOff>28575</xdr:rowOff>
                  </to>
                </anchor>
              </controlPr>
            </control>
          </mc:Choice>
        </mc:AlternateContent>
        <mc:AlternateContent xmlns:mc="http://schemas.openxmlformats.org/markup-compatibility/2006">
          <mc:Choice Requires="x14">
            <control shapeId="673566" r:id="rId8" name="Button 798">
              <controlPr locked="0" defaultSize="0" print="0" autoFill="0" autoPict="0" macro="[0]!RESETValues">
                <anchor moveWithCells="1" sizeWithCells="1">
                  <from>
                    <xdr:col>2</xdr:col>
                    <xdr:colOff>390525</xdr:colOff>
                    <xdr:row>74</xdr:row>
                    <xdr:rowOff>9525</xdr:rowOff>
                  </from>
                  <to>
                    <xdr:col>3</xdr:col>
                    <xdr:colOff>9525</xdr:colOff>
                    <xdr:row>77</xdr:row>
                    <xdr:rowOff>19050</xdr:rowOff>
                  </to>
                </anchor>
              </controlPr>
            </control>
          </mc:Choice>
        </mc:AlternateContent>
        <mc:AlternateContent xmlns:mc="http://schemas.openxmlformats.org/markup-compatibility/2006">
          <mc:Choice Requires="x14">
            <control shapeId="672829" r:id="rId9" name="Spinner 61">
              <controlPr defaultSize="0" autoPict="0">
                <anchor moveWithCells="1" sizeWithCells="1">
                  <from>
                    <xdr:col>5</xdr:col>
                    <xdr:colOff>0</xdr:colOff>
                    <xdr:row>59</xdr:row>
                    <xdr:rowOff>161925</xdr:rowOff>
                  </from>
                  <to>
                    <xdr:col>5</xdr:col>
                    <xdr:colOff>180975</xdr:colOff>
                    <xdr:row>61</xdr:row>
                    <xdr:rowOff>9525</xdr:rowOff>
                  </to>
                </anchor>
              </controlPr>
            </control>
          </mc:Choice>
        </mc:AlternateContent>
        <mc:AlternateContent xmlns:mc="http://schemas.openxmlformats.org/markup-compatibility/2006">
          <mc:Choice Requires="x14">
            <control shapeId="672830" r:id="rId10" name="Spinner 62">
              <controlPr defaultSize="0" autoPict="0">
                <anchor moveWithCells="1" sizeWithCells="1">
                  <from>
                    <xdr:col>5</xdr:col>
                    <xdr:colOff>0</xdr:colOff>
                    <xdr:row>66</xdr:row>
                    <xdr:rowOff>0</xdr:rowOff>
                  </from>
                  <to>
                    <xdr:col>5</xdr:col>
                    <xdr:colOff>180975</xdr:colOff>
                    <xdr:row>67</xdr:row>
                    <xdr:rowOff>0</xdr:rowOff>
                  </to>
                </anchor>
              </controlPr>
            </control>
          </mc:Choice>
        </mc:AlternateContent>
        <mc:AlternateContent xmlns:mc="http://schemas.openxmlformats.org/markup-compatibility/2006">
          <mc:Choice Requires="x14">
            <control shapeId="672831" r:id="rId11" name="Spinner 63">
              <controlPr defaultSize="0" autoPict="0">
                <anchor moveWithCells="1" sizeWithCells="1">
                  <from>
                    <xdr:col>5</xdr:col>
                    <xdr:colOff>0</xdr:colOff>
                    <xdr:row>67</xdr:row>
                    <xdr:rowOff>0</xdr:rowOff>
                  </from>
                  <to>
                    <xdr:col>5</xdr:col>
                    <xdr:colOff>180975</xdr:colOff>
                    <xdr:row>67</xdr:row>
                    <xdr:rowOff>190500</xdr:rowOff>
                  </to>
                </anchor>
              </controlPr>
            </control>
          </mc:Choice>
        </mc:AlternateContent>
        <mc:AlternateContent xmlns:mc="http://schemas.openxmlformats.org/markup-compatibility/2006">
          <mc:Choice Requires="x14">
            <control shapeId="672832" r:id="rId12" name="Spinner 64">
              <controlPr defaultSize="0" autoPict="0">
                <anchor moveWithCells="1" sizeWithCells="1">
                  <from>
                    <xdr:col>5</xdr:col>
                    <xdr:colOff>0</xdr:colOff>
                    <xdr:row>68</xdr:row>
                    <xdr:rowOff>0</xdr:rowOff>
                  </from>
                  <to>
                    <xdr:col>5</xdr:col>
                    <xdr:colOff>180975</xdr:colOff>
                    <xdr:row>68</xdr:row>
                    <xdr:rowOff>190500</xdr:rowOff>
                  </to>
                </anchor>
              </controlPr>
            </control>
          </mc:Choice>
        </mc:AlternateContent>
        <mc:AlternateContent xmlns:mc="http://schemas.openxmlformats.org/markup-compatibility/2006">
          <mc:Choice Requires="x14">
            <control shapeId="672833" r:id="rId13" name="Spinner 65">
              <controlPr defaultSize="0" autoPict="0">
                <anchor moveWithCells="1" sizeWithCells="1">
                  <from>
                    <xdr:col>5</xdr:col>
                    <xdr:colOff>0</xdr:colOff>
                    <xdr:row>69</xdr:row>
                    <xdr:rowOff>0</xdr:rowOff>
                  </from>
                  <to>
                    <xdr:col>5</xdr:col>
                    <xdr:colOff>180975</xdr:colOff>
                    <xdr:row>69</xdr:row>
                    <xdr:rowOff>190500</xdr:rowOff>
                  </to>
                </anchor>
              </controlPr>
            </control>
          </mc:Choice>
        </mc:AlternateContent>
        <mc:AlternateContent xmlns:mc="http://schemas.openxmlformats.org/markup-compatibility/2006">
          <mc:Choice Requires="x14">
            <control shapeId="672871" r:id="rId14" name="Drop Down 103">
              <controlPr defaultSize="0" autoLine="0" autoPict="0">
                <anchor moveWithCells="1">
                  <from>
                    <xdr:col>0</xdr:col>
                    <xdr:colOff>9525</xdr:colOff>
                    <xdr:row>23</xdr:row>
                    <xdr:rowOff>0</xdr:rowOff>
                  </from>
                  <to>
                    <xdr:col>1</xdr:col>
                    <xdr:colOff>523875</xdr:colOff>
                    <xdr:row>24</xdr:row>
                    <xdr:rowOff>0</xdr:rowOff>
                  </to>
                </anchor>
              </controlPr>
            </control>
          </mc:Choice>
        </mc:AlternateContent>
        <mc:AlternateContent xmlns:mc="http://schemas.openxmlformats.org/markup-compatibility/2006">
          <mc:Choice Requires="x14">
            <control shapeId="683041" r:id="rId15" name="Drop Down 1057">
              <controlPr locked="0" defaultSize="0" autoLine="0" autoPict="0">
                <anchor moveWithCells="1">
                  <from>
                    <xdr:col>4</xdr:col>
                    <xdr:colOff>38100</xdr:colOff>
                    <xdr:row>3</xdr:row>
                    <xdr:rowOff>171450</xdr:rowOff>
                  </from>
                  <to>
                    <xdr:col>6</xdr:col>
                    <xdr:colOff>0</xdr:colOff>
                    <xdr:row>4</xdr:row>
                    <xdr:rowOff>238125</xdr:rowOff>
                  </to>
                </anchor>
              </controlPr>
            </control>
          </mc:Choice>
        </mc:AlternateContent>
        <mc:AlternateContent xmlns:mc="http://schemas.openxmlformats.org/markup-compatibility/2006">
          <mc:Choice Requires="x14">
            <control shapeId="683134" r:id="rId16" name="Drop Down 1150">
              <controlPr defaultSize="0" autoLine="0" autoPict="0">
                <anchor moveWithCells="1">
                  <from>
                    <xdr:col>0</xdr:col>
                    <xdr:colOff>19050</xdr:colOff>
                    <xdr:row>106</xdr:row>
                    <xdr:rowOff>0</xdr:rowOff>
                  </from>
                  <to>
                    <xdr:col>2</xdr:col>
                    <xdr:colOff>200025</xdr:colOff>
                    <xdr:row>107</xdr:row>
                    <xdr:rowOff>38100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2" id="{7A020C5F-9345-43EA-822E-8A1B038AD51E}">
            <xm:f>'Variable Management'!$B$18&lt;140</xm:f>
            <x14:dxf>
              <font>
                <color rgb="FFFF0000"/>
              </font>
            </x14:dxf>
          </x14:cfRule>
          <xm:sqref>E6</xm:sqref>
        </x14:conditionalFormatting>
        <x14:conditionalFormatting xmlns:xm="http://schemas.microsoft.com/office/excel/2006/main">
          <x14:cfRule type="expression" priority="1" id="{A84700B2-9D6A-4FAA-BAEF-6285CF5F700C}">
            <xm:f>'Variable Management'!$B$17&lt;40</xm:f>
            <x14:dxf>
              <font>
                <color rgb="FFFF0000"/>
              </font>
            </x14:dxf>
          </x14:cfRule>
          <xm:sqref>E8</xm:sqref>
        </x14:conditionalFormatting>
        <x14:conditionalFormatting xmlns:xm="http://schemas.microsoft.com/office/excel/2006/main">
          <x14:cfRule type="expression" priority="30" id="{07A203AC-6DB1-4954-A98A-B7A4EB5F4CBB}">
            <xm:f>'Variable Management'!$M$56=1</xm:f>
            <x14:dxf>
              <font>
                <color theme="0"/>
              </font>
            </x14:dxf>
          </x14:cfRule>
          <xm:sqref>D28:F28</xm:sqref>
        </x14:conditionalFormatting>
      </x14:conditionalFormatting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tabColor rgb="FF0000FF"/>
  </sheetPr>
  <dimension ref="A1:S455"/>
  <sheetViews>
    <sheetView zoomScaleNormal="100" workbookViewId="0">
      <selection activeCell="A36" sqref="A36"/>
    </sheetView>
  </sheetViews>
  <sheetFormatPr defaultRowHeight="12.75" x14ac:dyDescent="0.2"/>
  <cols>
    <col min="1" max="1" width="8.7109375" style="310" bestFit="1" customWidth="1"/>
    <col min="2" max="2" width="14.85546875" style="310" customWidth="1"/>
    <col min="3" max="3" width="16.140625" style="310" bestFit="1" customWidth="1"/>
    <col min="4" max="4" width="20.140625" style="310" customWidth="1"/>
    <col min="5" max="5" width="17.28515625" style="310" customWidth="1"/>
    <col min="6" max="6" width="20.5703125" style="310" bestFit="1" customWidth="1"/>
    <col min="7" max="7" width="9.7109375" style="310" customWidth="1"/>
    <col min="8" max="8" width="16.140625" style="310" customWidth="1"/>
    <col min="9" max="9" width="18.7109375" style="310" customWidth="1"/>
    <col min="10" max="10" width="12.7109375" style="310" customWidth="1"/>
    <col min="11" max="11" width="17.140625" style="310" customWidth="1"/>
    <col min="12" max="12" width="13.85546875" style="310" customWidth="1"/>
    <col min="13" max="13" width="9.140625" style="311"/>
    <col min="14" max="16" width="9.140625" style="310"/>
    <col min="17" max="17" width="4.85546875" style="310" customWidth="1"/>
    <col min="18" max="256" width="9.140625" style="310"/>
    <col min="257" max="257" width="8.7109375" style="310" bestFit="1" customWidth="1"/>
    <col min="258" max="258" width="13.28515625" style="310" customWidth="1"/>
    <col min="259" max="259" width="16.140625" style="310" bestFit="1" customWidth="1"/>
    <col min="260" max="260" width="23.5703125" style="310" customWidth="1"/>
    <col min="261" max="261" width="17.28515625" style="310" customWidth="1"/>
    <col min="262" max="262" width="20.5703125" style="310" bestFit="1" customWidth="1"/>
    <col min="263" max="263" width="17.140625" style="310" customWidth="1"/>
    <col min="264" max="264" width="21.85546875" style="310" bestFit="1" customWidth="1"/>
    <col min="265" max="265" width="17.140625" style="310" bestFit="1" customWidth="1"/>
    <col min="266" max="266" width="18.140625" style="310" bestFit="1" customWidth="1"/>
    <col min="267" max="267" width="26.42578125" style="310" customWidth="1"/>
    <col min="268" max="512" width="9.140625" style="310"/>
    <col min="513" max="513" width="8.7109375" style="310" bestFit="1" customWidth="1"/>
    <col min="514" max="514" width="13.28515625" style="310" customWidth="1"/>
    <col min="515" max="515" width="16.140625" style="310" bestFit="1" customWidth="1"/>
    <col min="516" max="516" width="23.5703125" style="310" customWidth="1"/>
    <col min="517" max="517" width="17.28515625" style="310" customWidth="1"/>
    <col min="518" max="518" width="20.5703125" style="310" bestFit="1" customWidth="1"/>
    <col min="519" max="519" width="17.140625" style="310" customWidth="1"/>
    <col min="520" max="520" width="21.85546875" style="310" bestFit="1" customWidth="1"/>
    <col min="521" max="521" width="17.140625" style="310" bestFit="1" customWidth="1"/>
    <col min="522" max="522" width="18.140625" style="310" bestFit="1" customWidth="1"/>
    <col min="523" max="523" width="26.42578125" style="310" customWidth="1"/>
    <col min="524" max="768" width="9.140625" style="310"/>
    <col min="769" max="769" width="8.7109375" style="310" bestFit="1" customWidth="1"/>
    <col min="770" max="770" width="13.28515625" style="310" customWidth="1"/>
    <col min="771" max="771" width="16.140625" style="310" bestFit="1" customWidth="1"/>
    <col min="772" max="772" width="23.5703125" style="310" customWidth="1"/>
    <col min="773" max="773" width="17.28515625" style="310" customWidth="1"/>
    <col min="774" max="774" width="20.5703125" style="310" bestFit="1" customWidth="1"/>
    <col min="775" max="775" width="17.140625" style="310" customWidth="1"/>
    <col min="776" max="776" width="21.85546875" style="310" bestFit="1" customWidth="1"/>
    <col min="777" max="777" width="17.140625" style="310" bestFit="1" customWidth="1"/>
    <col min="778" max="778" width="18.140625" style="310" bestFit="1" customWidth="1"/>
    <col min="779" max="779" width="26.42578125" style="310" customWidth="1"/>
    <col min="780" max="1024" width="9.140625" style="310"/>
    <col min="1025" max="1025" width="8.7109375" style="310" bestFit="1" customWidth="1"/>
    <col min="1026" max="1026" width="13.28515625" style="310" customWidth="1"/>
    <col min="1027" max="1027" width="16.140625" style="310" bestFit="1" customWidth="1"/>
    <col min="1028" max="1028" width="23.5703125" style="310" customWidth="1"/>
    <col min="1029" max="1029" width="17.28515625" style="310" customWidth="1"/>
    <col min="1030" max="1030" width="20.5703125" style="310" bestFit="1" customWidth="1"/>
    <col min="1031" max="1031" width="17.140625" style="310" customWidth="1"/>
    <col min="1032" max="1032" width="21.85546875" style="310" bestFit="1" customWidth="1"/>
    <col min="1033" max="1033" width="17.140625" style="310" bestFit="1" customWidth="1"/>
    <col min="1034" max="1034" width="18.140625" style="310" bestFit="1" customWidth="1"/>
    <col min="1035" max="1035" width="26.42578125" style="310" customWidth="1"/>
    <col min="1036" max="1280" width="9.140625" style="310"/>
    <col min="1281" max="1281" width="8.7109375" style="310" bestFit="1" customWidth="1"/>
    <col min="1282" max="1282" width="13.28515625" style="310" customWidth="1"/>
    <col min="1283" max="1283" width="16.140625" style="310" bestFit="1" customWidth="1"/>
    <col min="1284" max="1284" width="23.5703125" style="310" customWidth="1"/>
    <col min="1285" max="1285" width="17.28515625" style="310" customWidth="1"/>
    <col min="1286" max="1286" width="20.5703125" style="310" bestFit="1" customWidth="1"/>
    <col min="1287" max="1287" width="17.140625" style="310" customWidth="1"/>
    <col min="1288" max="1288" width="21.85546875" style="310" bestFit="1" customWidth="1"/>
    <col min="1289" max="1289" width="17.140625" style="310" bestFit="1" customWidth="1"/>
    <col min="1290" max="1290" width="18.140625" style="310" bestFit="1" customWidth="1"/>
    <col min="1291" max="1291" width="26.42578125" style="310" customWidth="1"/>
    <col min="1292" max="1536" width="9.140625" style="310"/>
    <col min="1537" max="1537" width="8.7109375" style="310" bestFit="1" customWidth="1"/>
    <col min="1538" max="1538" width="13.28515625" style="310" customWidth="1"/>
    <col min="1539" max="1539" width="16.140625" style="310" bestFit="1" customWidth="1"/>
    <col min="1540" max="1540" width="23.5703125" style="310" customWidth="1"/>
    <col min="1541" max="1541" width="17.28515625" style="310" customWidth="1"/>
    <col min="1542" max="1542" width="20.5703125" style="310" bestFit="1" customWidth="1"/>
    <col min="1543" max="1543" width="17.140625" style="310" customWidth="1"/>
    <col min="1544" max="1544" width="21.85546875" style="310" bestFit="1" customWidth="1"/>
    <col min="1545" max="1545" width="17.140625" style="310" bestFit="1" customWidth="1"/>
    <col min="1546" max="1546" width="18.140625" style="310" bestFit="1" customWidth="1"/>
    <col min="1547" max="1547" width="26.42578125" style="310" customWidth="1"/>
    <col min="1548" max="1792" width="9.140625" style="310"/>
    <col min="1793" max="1793" width="8.7109375" style="310" bestFit="1" customWidth="1"/>
    <col min="1794" max="1794" width="13.28515625" style="310" customWidth="1"/>
    <col min="1795" max="1795" width="16.140625" style="310" bestFit="1" customWidth="1"/>
    <col min="1796" max="1796" width="23.5703125" style="310" customWidth="1"/>
    <col min="1797" max="1797" width="17.28515625" style="310" customWidth="1"/>
    <col min="1798" max="1798" width="20.5703125" style="310" bestFit="1" customWidth="1"/>
    <col min="1799" max="1799" width="17.140625" style="310" customWidth="1"/>
    <col min="1800" max="1800" width="21.85546875" style="310" bestFit="1" customWidth="1"/>
    <col min="1801" max="1801" width="17.140625" style="310" bestFit="1" customWidth="1"/>
    <col min="1802" max="1802" width="18.140625" style="310" bestFit="1" customWidth="1"/>
    <col min="1803" max="1803" width="26.42578125" style="310" customWidth="1"/>
    <col min="1804" max="2048" width="9.140625" style="310"/>
    <col min="2049" max="2049" width="8.7109375" style="310" bestFit="1" customWidth="1"/>
    <col min="2050" max="2050" width="13.28515625" style="310" customWidth="1"/>
    <col min="2051" max="2051" width="16.140625" style="310" bestFit="1" customWidth="1"/>
    <col min="2052" max="2052" width="23.5703125" style="310" customWidth="1"/>
    <col min="2053" max="2053" width="17.28515625" style="310" customWidth="1"/>
    <col min="2054" max="2054" width="20.5703125" style="310" bestFit="1" customWidth="1"/>
    <col min="2055" max="2055" width="17.140625" style="310" customWidth="1"/>
    <col min="2056" max="2056" width="21.85546875" style="310" bestFit="1" customWidth="1"/>
    <col min="2057" max="2057" width="17.140625" style="310" bestFit="1" customWidth="1"/>
    <col min="2058" max="2058" width="18.140625" style="310" bestFit="1" customWidth="1"/>
    <col min="2059" max="2059" width="26.42578125" style="310" customWidth="1"/>
    <col min="2060" max="2304" width="9.140625" style="310"/>
    <col min="2305" max="2305" width="8.7109375" style="310" bestFit="1" customWidth="1"/>
    <col min="2306" max="2306" width="13.28515625" style="310" customWidth="1"/>
    <col min="2307" max="2307" width="16.140625" style="310" bestFit="1" customWidth="1"/>
    <col min="2308" max="2308" width="23.5703125" style="310" customWidth="1"/>
    <col min="2309" max="2309" width="17.28515625" style="310" customWidth="1"/>
    <col min="2310" max="2310" width="20.5703125" style="310" bestFit="1" customWidth="1"/>
    <col min="2311" max="2311" width="17.140625" style="310" customWidth="1"/>
    <col min="2312" max="2312" width="21.85546875" style="310" bestFit="1" customWidth="1"/>
    <col min="2313" max="2313" width="17.140625" style="310" bestFit="1" customWidth="1"/>
    <col min="2314" max="2314" width="18.140625" style="310" bestFit="1" customWidth="1"/>
    <col min="2315" max="2315" width="26.42578125" style="310" customWidth="1"/>
    <col min="2316" max="2560" width="9.140625" style="310"/>
    <col min="2561" max="2561" width="8.7109375" style="310" bestFit="1" customWidth="1"/>
    <col min="2562" max="2562" width="13.28515625" style="310" customWidth="1"/>
    <col min="2563" max="2563" width="16.140625" style="310" bestFit="1" customWidth="1"/>
    <col min="2564" max="2564" width="23.5703125" style="310" customWidth="1"/>
    <col min="2565" max="2565" width="17.28515625" style="310" customWidth="1"/>
    <col min="2566" max="2566" width="20.5703125" style="310" bestFit="1" customWidth="1"/>
    <col min="2567" max="2567" width="17.140625" style="310" customWidth="1"/>
    <col min="2568" max="2568" width="21.85546875" style="310" bestFit="1" customWidth="1"/>
    <col min="2569" max="2569" width="17.140625" style="310" bestFit="1" customWidth="1"/>
    <col min="2570" max="2570" width="18.140625" style="310" bestFit="1" customWidth="1"/>
    <col min="2571" max="2571" width="26.42578125" style="310" customWidth="1"/>
    <col min="2572" max="2816" width="9.140625" style="310"/>
    <col min="2817" max="2817" width="8.7109375" style="310" bestFit="1" customWidth="1"/>
    <col min="2818" max="2818" width="13.28515625" style="310" customWidth="1"/>
    <col min="2819" max="2819" width="16.140625" style="310" bestFit="1" customWidth="1"/>
    <col min="2820" max="2820" width="23.5703125" style="310" customWidth="1"/>
    <col min="2821" max="2821" width="17.28515625" style="310" customWidth="1"/>
    <col min="2822" max="2822" width="20.5703125" style="310" bestFit="1" customWidth="1"/>
    <col min="2823" max="2823" width="17.140625" style="310" customWidth="1"/>
    <col min="2824" max="2824" width="21.85546875" style="310" bestFit="1" customWidth="1"/>
    <col min="2825" max="2825" width="17.140625" style="310" bestFit="1" customWidth="1"/>
    <col min="2826" max="2826" width="18.140625" style="310" bestFit="1" customWidth="1"/>
    <col min="2827" max="2827" width="26.42578125" style="310" customWidth="1"/>
    <col min="2828" max="3072" width="9.140625" style="310"/>
    <col min="3073" max="3073" width="8.7109375" style="310" bestFit="1" customWidth="1"/>
    <col min="3074" max="3074" width="13.28515625" style="310" customWidth="1"/>
    <col min="3075" max="3075" width="16.140625" style="310" bestFit="1" customWidth="1"/>
    <col min="3076" max="3076" width="23.5703125" style="310" customWidth="1"/>
    <col min="3077" max="3077" width="17.28515625" style="310" customWidth="1"/>
    <col min="3078" max="3078" width="20.5703125" style="310" bestFit="1" customWidth="1"/>
    <col min="3079" max="3079" width="17.140625" style="310" customWidth="1"/>
    <col min="3080" max="3080" width="21.85546875" style="310" bestFit="1" customWidth="1"/>
    <col min="3081" max="3081" width="17.140625" style="310" bestFit="1" customWidth="1"/>
    <col min="3082" max="3082" width="18.140625" style="310" bestFit="1" customWidth="1"/>
    <col min="3083" max="3083" width="26.42578125" style="310" customWidth="1"/>
    <col min="3084" max="3328" width="9.140625" style="310"/>
    <col min="3329" max="3329" width="8.7109375" style="310" bestFit="1" customWidth="1"/>
    <col min="3330" max="3330" width="13.28515625" style="310" customWidth="1"/>
    <col min="3331" max="3331" width="16.140625" style="310" bestFit="1" customWidth="1"/>
    <col min="3332" max="3332" width="23.5703125" style="310" customWidth="1"/>
    <col min="3333" max="3333" width="17.28515625" style="310" customWidth="1"/>
    <col min="3334" max="3334" width="20.5703125" style="310" bestFit="1" customWidth="1"/>
    <col min="3335" max="3335" width="17.140625" style="310" customWidth="1"/>
    <col min="3336" max="3336" width="21.85546875" style="310" bestFit="1" customWidth="1"/>
    <col min="3337" max="3337" width="17.140625" style="310" bestFit="1" customWidth="1"/>
    <col min="3338" max="3338" width="18.140625" style="310" bestFit="1" customWidth="1"/>
    <col min="3339" max="3339" width="26.42578125" style="310" customWidth="1"/>
    <col min="3340" max="3584" width="9.140625" style="310"/>
    <col min="3585" max="3585" width="8.7109375" style="310" bestFit="1" customWidth="1"/>
    <col min="3586" max="3586" width="13.28515625" style="310" customWidth="1"/>
    <col min="3587" max="3587" width="16.140625" style="310" bestFit="1" customWidth="1"/>
    <col min="3588" max="3588" width="23.5703125" style="310" customWidth="1"/>
    <col min="3589" max="3589" width="17.28515625" style="310" customWidth="1"/>
    <col min="3590" max="3590" width="20.5703125" style="310" bestFit="1" customWidth="1"/>
    <col min="3591" max="3591" width="17.140625" style="310" customWidth="1"/>
    <col min="3592" max="3592" width="21.85546875" style="310" bestFit="1" customWidth="1"/>
    <col min="3593" max="3593" width="17.140625" style="310" bestFit="1" customWidth="1"/>
    <col min="3594" max="3594" width="18.140625" style="310" bestFit="1" customWidth="1"/>
    <col min="3595" max="3595" width="26.42578125" style="310" customWidth="1"/>
    <col min="3596" max="3840" width="9.140625" style="310"/>
    <col min="3841" max="3841" width="8.7109375" style="310" bestFit="1" customWidth="1"/>
    <col min="3842" max="3842" width="13.28515625" style="310" customWidth="1"/>
    <col min="3843" max="3843" width="16.140625" style="310" bestFit="1" customWidth="1"/>
    <col min="3844" max="3844" width="23.5703125" style="310" customWidth="1"/>
    <col min="3845" max="3845" width="17.28515625" style="310" customWidth="1"/>
    <col min="3846" max="3846" width="20.5703125" style="310" bestFit="1" customWidth="1"/>
    <col min="3847" max="3847" width="17.140625" style="310" customWidth="1"/>
    <col min="3848" max="3848" width="21.85546875" style="310" bestFit="1" customWidth="1"/>
    <col min="3849" max="3849" width="17.140625" style="310" bestFit="1" customWidth="1"/>
    <col min="3850" max="3850" width="18.140625" style="310" bestFit="1" customWidth="1"/>
    <col min="3851" max="3851" width="26.42578125" style="310" customWidth="1"/>
    <col min="3852" max="4096" width="9.140625" style="310"/>
    <col min="4097" max="4097" width="8.7109375" style="310" bestFit="1" customWidth="1"/>
    <col min="4098" max="4098" width="13.28515625" style="310" customWidth="1"/>
    <col min="4099" max="4099" width="16.140625" style="310" bestFit="1" customWidth="1"/>
    <col min="4100" max="4100" width="23.5703125" style="310" customWidth="1"/>
    <col min="4101" max="4101" width="17.28515625" style="310" customWidth="1"/>
    <col min="4102" max="4102" width="20.5703125" style="310" bestFit="1" customWidth="1"/>
    <col min="4103" max="4103" width="17.140625" style="310" customWidth="1"/>
    <col min="4104" max="4104" width="21.85546875" style="310" bestFit="1" customWidth="1"/>
    <col min="4105" max="4105" width="17.140625" style="310" bestFit="1" customWidth="1"/>
    <col min="4106" max="4106" width="18.140625" style="310" bestFit="1" customWidth="1"/>
    <col min="4107" max="4107" width="26.42578125" style="310" customWidth="1"/>
    <col min="4108" max="4352" width="9.140625" style="310"/>
    <col min="4353" max="4353" width="8.7109375" style="310" bestFit="1" customWidth="1"/>
    <col min="4354" max="4354" width="13.28515625" style="310" customWidth="1"/>
    <col min="4355" max="4355" width="16.140625" style="310" bestFit="1" customWidth="1"/>
    <col min="4356" max="4356" width="23.5703125" style="310" customWidth="1"/>
    <col min="4357" max="4357" width="17.28515625" style="310" customWidth="1"/>
    <col min="4358" max="4358" width="20.5703125" style="310" bestFit="1" customWidth="1"/>
    <col min="4359" max="4359" width="17.140625" style="310" customWidth="1"/>
    <col min="4360" max="4360" width="21.85546875" style="310" bestFit="1" customWidth="1"/>
    <col min="4361" max="4361" width="17.140625" style="310" bestFit="1" customWidth="1"/>
    <col min="4362" max="4362" width="18.140625" style="310" bestFit="1" customWidth="1"/>
    <col min="4363" max="4363" width="26.42578125" style="310" customWidth="1"/>
    <col min="4364" max="4608" width="9.140625" style="310"/>
    <col min="4609" max="4609" width="8.7109375" style="310" bestFit="1" customWidth="1"/>
    <col min="4610" max="4610" width="13.28515625" style="310" customWidth="1"/>
    <col min="4611" max="4611" width="16.140625" style="310" bestFit="1" customWidth="1"/>
    <col min="4612" max="4612" width="23.5703125" style="310" customWidth="1"/>
    <col min="4613" max="4613" width="17.28515625" style="310" customWidth="1"/>
    <col min="4614" max="4614" width="20.5703125" style="310" bestFit="1" customWidth="1"/>
    <col min="4615" max="4615" width="17.140625" style="310" customWidth="1"/>
    <col min="4616" max="4616" width="21.85546875" style="310" bestFit="1" customWidth="1"/>
    <col min="4617" max="4617" width="17.140625" style="310" bestFit="1" customWidth="1"/>
    <col min="4618" max="4618" width="18.140625" style="310" bestFit="1" customWidth="1"/>
    <col min="4619" max="4619" width="26.42578125" style="310" customWidth="1"/>
    <col min="4620" max="4864" width="9.140625" style="310"/>
    <col min="4865" max="4865" width="8.7109375" style="310" bestFit="1" customWidth="1"/>
    <col min="4866" max="4866" width="13.28515625" style="310" customWidth="1"/>
    <col min="4867" max="4867" width="16.140625" style="310" bestFit="1" customWidth="1"/>
    <col min="4868" max="4868" width="23.5703125" style="310" customWidth="1"/>
    <col min="4869" max="4869" width="17.28515625" style="310" customWidth="1"/>
    <col min="4870" max="4870" width="20.5703125" style="310" bestFit="1" customWidth="1"/>
    <col min="4871" max="4871" width="17.140625" style="310" customWidth="1"/>
    <col min="4872" max="4872" width="21.85546875" style="310" bestFit="1" customWidth="1"/>
    <col min="4873" max="4873" width="17.140625" style="310" bestFit="1" customWidth="1"/>
    <col min="4874" max="4874" width="18.140625" style="310" bestFit="1" customWidth="1"/>
    <col min="4875" max="4875" width="26.42578125" style="310" customWidth="1"/>
    <col min="4876" max="5120" width="9.140625" style="310"/>
    <col min="5121" max="5121" width="8.7109375" style="310" bestFit="1" customWidth="1"/>
    <col min="5122" max="5122" width="13.28515625" style="310" customWidth="1"/>
    <col min="5123" max="5123" width="16.140625" style="310" bestFit="1" customWidth="1"/>
    <col min="5124" max="5124" width="23.5703125" style="310" customWidth="1"/>
    <col min="5125" max="5125" width="17.28515625" style="310" customWidth="1"/>
    <col min="5126" max="5126" width="20.5703125" style="310" bestFit="1" customWidth="1"/>
    <col min="5127" max="5127" width="17.140625" style="310" customWidth="1"/>
    <col min="5128" max="5128" width="21.85546875" style="310" bestFit="1" customWidth="1"/>
    <col min="5129" max="5129" width="17.140625" style="310" bestFit="1" customWidth="1"/>
    <col min="5130" max="5130" width="18.140625" style="310" bestFit="1" customWidth="1"/>
    <col min="5131" max="5131" width="26.42578125" style="310" customWidth="1"/>
    <col min="5132" max="5376" width="9.140625" style="310"/>
    <col min="5377" max="5377" width="8.7109375" style="310" bestFit="1" customWidth="1"/>
    <col min="5378" max="5378" width="13.28515625" style="310" customWidth="1"/>
    <col min="5379" max="5379" width="16.140625" style="310" bestFit="1" customWidth="1"/>
    <col min="5380" max="5380" width="23.5703125" style="310" customWidth="1"/>
    <col min="5381" max="5381" width="17.28515625" style="310" customWidth="1"/>
    <col min="5382" max="5382" width="20.5703125" style="310" bestFit="1" customWidth="1"/>
    <col min="5383" max="5383" width="17.140625" style="310" customWidth="1"/>
    <col min="5384" max="5384" width="21.85546875" style="310" bestFit="1" customWidth="1"/>
    <col min="5385" max="5385" width="17.140625" style="310" bestFit="1" customWidth="1"/>
    <col min="5386" max="5386" width="18.140625" style="310" bestFit="1" customWidth="1"/>
    <col min="5387" max="5387" width="26.42578125" style="310" customWidth="1"/>
    <col min="5388" max="5632" width="9.140625" style="310"/>
    <col min="5633" max="5633" width="8.7109375" style="310" bestFit="1" customWidth="1"/>
    <col min="5634" max="5634" width="13.28515625" style="310" customWidth="1"/>
    <col min="5635" max="5635" width="16.140625" style="310" bestFit="1" customWidth="1"/>
    <col min="5636" max="5636" width="23.5703125" style="310" customWidth="1"/>
    <col min="5637" max="5637" width="17.28515625" style="310" customWidth="1"/>
    <col min="5638" max="5638" width="20.5703125" style="310" bestFit="1" customWidth="1"/>
    <col min="5639" max="5639" width="17.140625" style="310" customWidth="1"/>
    <col min="5640" max="5640" width="21.85546875" style="310" bestFit="1" customWidth="1"/>
    <col min="5641" max="5641" width="17.140625" style="310" bestFit="1" customWidth="1"/>
    <col min="5642" max="5642" width="18.140625" style="310" bestFit="1" customWidth="1"/>
    <col min="5643" max="5643" width="26.42578125" style="310" customWidth="1"/>
    <col min="5644" max="5888" width="9.140625" style="310"/>
    <col min="5889" max="5889" width="8.7109375" style="310" bestFit="1" customWidth="1"/>
    <col min="5890" max="5890" width="13.28515625" style="310" customWidth="1"/>
    <col min="5891" max="5891" width="16.140625" style="310" bestFit="1" customWidth="1"/>
    <col min="5892" max="5892" width="23.5703125" style="310" customWidth="1"/>
    <col min="5893" max="5893" width="17.28515625" style="310" customWidth="1"/>
    <col min="5894" max="5894" width="20.5703125" style="310" bestFit="1" customWidth="1"/>
    <col min="5895" max="5895" width="17.140625" style="310" customWidth="1"/>
    <col min="5896" max="5896" width="21.85546875" style="310" bestFit="1" customWidth="1"/>
    <col min="5897" max="5897" width="17.140625" style="310" bestFit="1" customWidth="1"/>
    <col min="5898" max="5898" width="18.140625" style="310" bestFit="1" customWidth="1"/>
    <col min="5899" max="5899" width="26.42578125" style="310" customWidth="1"/>
    <col min="5900" max="6144" width="9.140625" style="310"/>
    <col min="6145" max="6145" width="8.7109375" style="310" bestFit="1" customWidth="1"/>
    <col min="6146" max="6146" width="13.28515625" style="310" customWidth="1"/>
    <col min="6147" max="6147" width="16.140625" style="310" bestFit="1" customWidth="1"/>
    <col min="6148" max="6148" width="23.5703125" style="310" customWidth="1"/>
    <col min="6149" max="6149" width="17.28515625" style="310" customWidth="1"/>
    <col min="6150" max="6150" width="20.5703125" style="310" bestFit="1" customWidth="1"/>
    <col min="6151" max="6151" width="17.140625" style="310" customWidth="1"/>
    <col min="6152" max="6152" width="21.85546875" style="310" bestFit="1" customWidth="1"/>
    <col min="6153" max="6153" width="17.140625" style="310" bestFit="1" customWidth="1"/>
    <col min="6154" max="6154" width="18.140625" style="310" bestFit="1" customWidth="1"/>
    <col min="6155" max="6155" width="26.42578125" style="310" customWidth="1"/>
    <col min="6156" max="6400" width="9.140625" style="310"/>
    <col min="6401" max="6401" width="8.7109375" style="310" bestFit="1" customWidth="1"/>
    <col min="6402" max="6402" width="13.28515625" style="310" customWidth="1"/>
    <col min="6403" max="6403" width="16.140625" style="310" bestFit="1" customWidth="1"/>
    <col min="6404" max="6404" width="23.5703125" style="310" customWidth="1"/>
    <col min="6405" max="6405" width="17.28515625" style="310" customWidth="1"/>
    <col min="6406" max="6406" width="20.5703125" style="310" bestFit="1" customWidth="1"/>
    <col min="6407" max="6407" width="17.140625" style="310" customWidth="1"/>
    <col min="6408" max="6408" width="21.85546875" style="310" bestFit="1" customWidth="1"/>
    <col min="6409" max="6409" width="17.140625" style="310" bestFit="1" customWidth="1"/>
    <col min="6410" max="6410" width="18.140625" style="310" bestFit="1" customWidth="1"/>
    <col min="6411" max="6411" width="26.42578125" style="310" customWidth="1"/>
    <col min="6412" max="6656" width="9.140625" style="310"/>
    <col min="6657" max="6657" width="8.7109375" style="310" bestFit="1" customWidth="1"/>
    <col min="6658" max="6658" width="13.28515625" style="310" customWidth="1"/>
    <col min="6659" max="6659" width="16.140625" style="310" bestFit="1" customWidth="1"/>
    <col min="6660" max="6660" width="23.5703125" style="310" customWidth="1"/>
    <col min="6661" max="6661" width="17.28515625" style="310" customWidth="1"/>
    <col min="6662" max="6662" width="20.5703125" style="310" bestFit="1" customWidth="1"/>
    <col min="6663" max="6663" width="17.140625" style="310" customWidth="1"/>
    <col min="6664" max="6664" width="21.85546875" style="310" bestFit="1" customWidth="1"/>
    <col min="6665" max="6665" width="17.140625" style="310" bestFit="1" customWidth="1"/>
    <col min="6666" max="6666" width="18.140625" style="310" bestFit="1" customWidth="1"/>
    <col min="6667" max="6667" width="26.42578125" style="310" customWidth="1"/>
    <col min="6668" max="6912" width="9.140625" style="310"/>
    <col min="6913" max="6913" width="8.7109375" style="310" bestFit="1" customWidth="1"/>
    <col min="6914" max="6914" width="13.28515625" style="310" customWidth="1"/>
    <col min="6915" max="6915" width="16.140625" style="310" bestFit="1" customWidth="1"/>
    <col min="6916" max="6916" width="23.5703125" style="310" customWidth="1"/>
    <col min="6917" max="6917" width="17.28515625" style="310" customWidth="1"/>
    <col min="6918" max="6918" width="20.5703125" style="310" bestFit="1" customWidth="1"/>
    <col min="6919" max="6919" width="17.140625" style="310" customWidth="1"/>
    <col min="6920" max="6920" width="21.85546875" style="310" bestFit="1" customWidth="1"/>
    <col min="6921" max="6921" width="17.140625" style="310" bestFit="1" customWidth="1"/>
    <col min="6922" max="6922" width="18.140625" style="310" bestFit="1" customWidth="1"/>
    <col min="6923" max="6923" width="26.42578125" style="310" customWidth="1"/>
    <col min="6924" max="7168" width="9.140625" style="310"/>
    <col min="7169" max="7169" width="8.7109375" style="310" bestFit="1" customWidth="1"/>
    <col min="7170" max="7170" width="13.28515625" style="310" customWidth="1"/>
    <col min="7171" max="7171" width="16.140625" style="310" bestFit="1" customWidth="1"/>
    <col min="7172" max="7172" width="23.5703125" style="310" customWidth="1"/>
    <col min="7173" max="7173" width="17.28515625" style="310" customWidth="1"/>
    <col min="7174" max="7174" width="20.5703125" style="310" bestFit="1" customWidth="1"/>
    <col min="7175" max="7175" width="17.140625" style="310" customWidth="1"/>
    <col min="7176" max="7176" width="21.85546875" style="310" bestFit="1" customWidth="1"/>
    <col min="7177" max="7177" width="17.140625" style="310" bestFit="1" customWidth="1"/>
    <col min="7178" max="7178" width="18.140625" style="310" bestFit="1" customWidth="1"/>
    <col min="7179" max="7179" width="26.42578125" style="310" customWidth="1"/>
    <col min="7180" max="7424" width="9.140625" style="310"/>
    <col min="7425" max="7425" width="8.7109375" style="310" bestFit="1" customWidth="1"/>
    <col min="7426" max="7426" width="13.28515625" style="310" customWidth="1"/>
    <col min="7427" max="7427" width="16.140625" style="310" bestFit="1" customWidth="1"/>
    <col min="7428" max="7428" width="23.5703125" style="310" customWidth="1"/>
    <col min="7429" max="7429" width="17.28515625" style="310" customWidth="1"/>
    <col min="7430" max="7430" width="20.5703125" style="310" bestFit="1" customWidth="1"/>
    <col min="7431" max="7431" width="17.140625" style="310" customWidth="1"/>
    <col min="7432" max="7432" width="21.85546875" style="310" bestFit="1" customWidth="1"/>
    <col min="7433" max="7433" width="17.140625" style="310" bestFit="1" customWidth="1"/>
    <col min="7434" max="7434" width="18.140625" style="310" bestFit="1" customWidth="1"/>
    <col min="7435" max="7435" width="26.42578125" style="310" customWidth="1"/>
    <col min="7436" max="7680" width="9.140625" style="310"/>
    <col min="7681" max="7681" width="8.7109375" style="310" bestFit="1" customWidth="1"/>
    <col min="7682" max="7682" width="13.28515625" style="310" customWidth="1"/>
    <col min="7683" max="7683" width="16.140625" style="310" bestFit="1" customWidth="1"/>
    <col min="7684" max="7684" width="23.5703125" style="310" customWidth="1"/>
    <col min="7685" max="7685" width="17.28515625" style="310" customWidth="1"/>
    <col min="7686" max="7686" width="20.5703125" style="310" bestFit="1" customWidth="1"/>
    <col min="7687" max="7687" width="17.140625" style="310" customWidth="1"/>
    <col min="7688" max="7688" width="21.85546875" style="310" bestFit="1" customWidth="1"/>
    <col min="7689" max="7689" width="17.140625" style="310" bestFit="1" customWidth="1"/>
    <col min="7690" max="7690" width="18.140625" style="310" bestFit="1" customWidth="1"/>
    <col min="7691" max="7691" width="26.42578125" style="310" customWidth="1"/>
    <col min="7692" max="7936" width="9.140625" style="310"/>
    <col min="7937" max="7937" width="8.7109375" style="310" bestFit="1" customWidth="1"/>
    <col min="7938" max="7938" width="13.28515625" style="310" customWidth="1"/>
    <col min="7939" max="7939" width="16.140625" style="310" bestFit="1" customWidth="1"/>
    <col min="7940" max="7940" width="23.5703125" style="310" customWidth="1"/>
    <col min="7941" max="7941" width="17.28515625" style="310" customWidth="1"/>
    <col min="7942" max="7942" width="20.5703125" style="310" bestFit="1" customWidth="1"/>
    <col min="7943" max="7943" width="17.140625" style="310" customWidth="1"/>
    <col min="7944" max="7944" width="21.85546875" style="310" bestFit="1" customWidth="1"/>
    <col min="7945" max="7945" width="17.140625" style="310" bestFit="1" customWidth="1"/>
    <col min="7946" max="7946" width="18.140625" style="310" bestFit="1" customWidth="1"/>
    <col min="7947" max="7947" width="26.42578125" style="310" customWidth="1"/>
    <col min="7948" max="8192" width="9.140625" style="310"/>
    <col min="8193" max="8193" width="8.7109375" style="310" bestFit="1" customWidth="1"/>
    <col min="8194" max="8194" width="13.28515625" style="310" customWidth="1"/>
    <col min="8195" max="8195" width="16.140625" style="310" bestFit="1" customWidth="1"/>
    <col min="8196" max="8196" width="23.5703125" style="310" customWidth="1"/>
    <col min="8197" max="8197" width="17.28515625" style="310" customWidth="1"/>
    <col min="8198" max="8198" width="20.5703125" style="310" bestFit="1" customWidth="1"/>
    <col min="8199" max="8199" width="17.140625" style="310" customWidth="1"/>
    <col min="8200" max="8200" width="21.85546875" style="310" bestFit="1" customWidth="1"/>
    <col min="8201" max="8201" width="17.140625" style="310" bestFit="1" customWidth="1"/>
    <col min="8202" max="8202" width="18.140625" style="310" bestFit="1" customWidth="1"/>
    <col min="8203" max="8203" width="26.42578125" style="310" customWidth="1"/>
    <col min="8204" max="8448" width="9.140625" style="310"/>
    <col min="8449" max="8449" width="8.7109375" style="310" bestFit="1" customWidth="1"/>
    <col min="8450" max="8450" width="13.28515625" style="310" customWidth="1"/>
    <col min="8451" max="8451" width="16.140625" style="310" bestFit="1" customWidth="1"/>
    <col min="8452" max="8452" width="23.5703125" style="310" customWidth="1"/>
    <col min="8453" max="8453" width="17.28515625" style="310" customWidth="1"/>
    <col min="8454" max="8454" width="20.5703125" style="310" bestFit="1" customWidth="1"/>
    <col min="8455" max="8455" width="17.140625" style="310" customWidth="1"/>
    <col min="8456" max="8456" width="21.85546875" style="310" bestFit="1" customWidth="1"/>
    <col min="8457" max="8457" width="17.140625" style="310" bestFit="1" customWidth="1"/>
    <col min="8458" max="8458" width="18.140625" style="310" bestFit="1" customWidth="1"/>
    <col min="8459" max="8459" width="26.42578125" style="310" customWidth="1"/>
    <col min="8460" max="8704" width="9.140625" style="310"/>
    <col min="8705" max="8705" width="8.7109375" style="310" bestFit="1" customWidth="1"/>
    <col min="8706" max="8706" width="13.28515625" style="310" customWidth="1"/>
    <col min="8707" max="8707" width="16.140625" style="310" bestFit="1" customWidth="1"/>
    <col min="8708" max="8708" width="23.5703125" style="310" customWidth="1"/>
    <col min="8709" max="8709" width="17.28515625" style="310" customWidth="1"/>
    <col min="8710" max="8710" width="20.5703125" style="310" bestFit="1" customWidth="1"/>
    <col min="8711" max="8711" width="17.140625" style="310" customWidth="1"/>
    <col min="8712" max="8712" width="21.85546875" style="310" bestFit="1" customWidth="1"/>
    <col min="8713" max="8713" width="17.140625" style="310" bestFit="1" customWidth="1"/>
    <col min="8714" max="8714" width="18.140625" style="310" bestFit="1" customWidth="1"/>
    <col min="8715" max="8715" width="26.42578125" style="310" customWidth="1"/>
    <col min="8716" max="8960" width="9.140625" style="310"/>
    <col min="8961" max="8961" width="8.7109375" style="310" bestFit="1" customWidth="1"/>
    <col min="8962" max="8962" width="13.28515625" style="310" customWidth="1"/>
    <col min="8963" max="8963" width="16.140625" style="310" bestFit="1" customWidth="1"/>
    <col min="8964" max="8964" width="23.5703125" style="310" customWidth="1"/>
    <col min="8965" max="8965" width="17.28515625" style="310" customWidth="1"/>
    <col min="8966" max="8966" width="20.5703125" style="310" bestFit="1" customWidth="1"/>
    <col min="8967" max="8967" width="17.140625" style="310" customWidth="1"/>
    <col min="8968" max="8968" width="21.85546875" style="310" bestFit="1" customWidth="1"/>
    <col min="8969" max="8969" width="17.140625" style="310" bestFit="1" customWidth="1"/>
    <col min="8970" max="8970" width="18.140625" style="310" bestFit="1" customWidth="1"/>
    <col min="8971" max="8971" width="26.42578125" style="310" customWidth="1"/>
    <col min="8972" max="9216" width="9.140625" style="310"/>
    <col min="9217" max="9217" width="8.7109375" style="310" bestFit="1" customWidth="1"/>
    <col min="9218" max="9218" width="13.28515625" style="310" customWidth="1"/>
    <col min="9219" max="9219" width="16.140625" style="310" bestFit="1" customWidth="1"/>
    <col min="9220" max="9220" width="23.5703125" style="310" customWidth="1"/>
    <col min="9221" max="9221" width="17.28515625" style="310" customWidth="1"/>
    <col min="9222" max="9222" width="20.5703125" style="310" bestFit="1" customWidth="1"/>
    <col min="9223" max="9223" width="17.140625" style="310" customWidth="1"/>
    <col min="9224" max="9224" width="21.85546875" style="310" bestFit="1" customWidth="1"/>
    <col min="9225" max="9225" width="17.140625" style="310" bestFit="1" customWidth="1"/>
    <col min="9226" max="9226" width="18.140625" style="310" bestFit="1" customWidth="1"/>
    <col min="9227" max="9227" width="26.42578125" style="310" customWidth="1"/>
    <col min="9228" max="9472" width="9.140625" style="310"/>
    <col min="9473" max="9473" width="8.7109375" style="310" bestFit="1" customWidth="1"/>
    <col min="9474" max="9474" width="13.28515625" style="310" customWidth="1"/>
    <col min="9475" max="9475" width="16.140625" style="310" bestFit="1" customWidth="1"/>
    <col min="9476" max="9476" width="23.5703125" style="310" customWidth="1"/>
    <col min="9477" max="9477" width="17.28515625" style="310" customWidth="1"/>
    <col min="9478" max="9478" width="20.5703125" style="310" bestFit="1" customWidth="1"/>
    <col min="9479" max="9479" width="17.140625" style="310" customWidth="1"/>
    <col min="9480" max="9480" width="21.85546875" style="310" bestFit="1" customWidth="1"/>
    <col min="9481" max="9481" width="17.140625" style="310" bestFit="1" customWidth="1"/>
    <col min="9482" max="9482" width="18.140625" style="310" bestFit="1" customWidth="1"/>
    <col min="9483" max="9483" width="26.42578125" style="310" customWidth="1"/>
    <col min="9484" max="9728" width="9.140625" style="310"/>
    <col min="9729" max="9729" width="8.7109375" style="310" bestFit="1" customWidth="1"/>
    <col min="9730" max="9730" width="13.28515625" style="310" customWidth="1"/>
    <col min="9731" max="9731" width="16.140625" style="310" bestFit="1" customWidth="1"/>
    <col min="9732" max="9732" width="23.5703125" style="310" customWidth="1"/>
    <col min="9733" max="9733" width="17.28515625" style="310" customWidth="1"/>
    <col min="9734" max="9734" width="20.5703125" style="310" bestFit="1" customWidth="1"/>
    <col min="9735" max="9735" width="17.140625" style="310" customWidth="1"/>
    <col min="9736" max="9736" width="21.85546875" style="310" bestFit="1" customWidth="1"/>
    <col min="9737" max="9737" width="17.140625" style="310" bestFit="1" customWidth="1"/>
    <col min="9738" max="9738" width="18.140625" style="310" bestFit="1" customWidth="1"/>
    <col min="9739" max="9739" width="26.42578125" style="310" customWidth="1"/>
    <col min="9740" max="9984" width="9.140625" style="310"/>
    <col min="9985" max="9985" width="8.7109375" style="310" bestFit="1" customWidth="1"/>
    <col min="9986" max="9986" width="13.28515625" style="310" customWidth="1"/>
    <col min="9987" max="9987" width="16.140625" style="310" bestFit="1" customWidth="1"/>
    <col min="9988" max="9988" width="23.5703125" style="310" customWidth="1"/>
    <col min="9989" max="9989" width="17.28515625" style="310" customWidth="1"/>
    <col min="9990" max="9990" width="20.5703125" style="310" bestFit="1" customWidth="1"/>
    <col min="9991" max="9991" width="17.140625" style="310" customWidth="1"/>
    <col min="9992" max="9992" width="21.85546875" style="310" bestFit="1" customWidth="1"/>
    <col min="9993" max="9993" width="17.140625" style="310" bestFit="1" customWidth="1"/>
    <col min="9994" max="9994" width="18.140625" style="310" bestFit="1" customWidth="1"/>
    <col min="9995" max="9995" width="26.42578125" style="310" customWidth="1"/>
    <col min="9996" max="10240" width="9.140625" style="310"/>
    <col min="10241" max="10241" width="8.7109375" style="310" bestFit="1" customWidth="1"/>
    <col min="10242" max="10242" width="13.28515625" style="310" customWidth="1"/>
    <col min="10243" max="10243" width="16.140625" style="310" bestFit="1" customWidth="1"/>
    <col min="10244" max="10244" width="23.5703125" style="310" customWidth="1"/>
    <col min="10245" max="10245" width="17.28515625" style="310" customWidth="1"/>
    <col min="10246" max="10246" width="20.5703125" style="310" bestFit="1" customWidth="1"/>
    <col min="10247" max="10247" width="17.140625" style="310" customWidth="1"/>
    <col min="10248" max="10248" width="21.85546875" style="310" bestFit="1" customWidth="1"/>
    <col min="10249" max="10249" width="17.140625" style="310" bestFit="1" customWidth="1"/>
    <col min="10250" max="10250" width="18.140625" style="310" bestFit="1" customWidth="1"/>
    <col min="10251" max="10251" width="26.42578125" style="310" customWidth="1"/>
    <col min="10252" max="10496" width="9.140625" style="310"/>
    <col min="10497" max="10497" width="8.7109375" style="310" bestFit="1" customWidth="1"/>
    <col min="10498" max="10498" width="13.28515625" style="310" customWidth="1"/>
    <col min="10499" max="10499" width="16.140625" style="310" bestFit="1" customWidth="1"/>
    <col min="10500" max="10500" width="23.5703125" style="310" customWidth="1"/>
    <col min="10501" max="10501" width="17.28515625" style="310" customWidth="1"/>
    <col min="10502" max="10502" width="20.5703125" style="310" bestFit="1" customWidth="1"/>
    <col min="10503" max="10503" width="17.140625" style="310" customWidth="1"/>
    <col min="10504" max="10504" width="21.85546875" style="310" bestFit="1" customWidth="1"/>
    <col min="10505" max="10505" width="17.140625" style="310" bestFit="1" customWidth="1"/>
    <col min="10506" max="10506" width="18.140625" style="310" bestFit="1" customWidth="1"/>
    <col min="10507" max="10507" width="26.42578125" style="310" customWidth="1"/>
    <col min="10508" max="10752" width="9.140625" style="310"/>
    <col min="10753" max="10753" width="8.7109375" style="310" bestFit="1" customWidth="1"/>
    <col min="10754" max="10754" width="13.28515625" style="310" customWidth="1"/>
    <col min="10755" max="10755" width="16.140625" style="310" bestFit="1" customWidth="1"/>
    <col min="10756" max="10756" width="23.5703125" style="310" customWidth="1"/>
    <col min="10757" max="10757" width="17.28515625" style="310" customWidth="1"/>
    <col min="10758" max="10758" width="20.5703125" style="310" bestFit="1" customWidth="1"/>
    <col min="10759" max="10759" width="17.140625" style="310" customWidth="1"/>
    <col min="10760" max="10760" width="21.85546875" style="310" bestFit="1" customWidth="1"/>
    <col min="10761" max="10761" width="17.140625" style="310" bestFit="1" customWidth="1"/>
    <col min="10762" max="10762" width="18.140625" style="310" bestFit="1" customWidth="1"/>
    <col min="10763" max="10763" width="26.42578125" style="310" customWidth="1"/>
    <col min="10764" max="11008" width="9.140625" style="310"/>
    <col min="11009" max="11009" width="8.7109375" style="310" bestFit="1" customWidth="1"/>
    <col min="11010" max="11010" width="13.28515625" style="310" customWidth="1"/>
    <col min="11011" max="11011" width="16.140625" style="310" bestFit="1" customWidth="1"/>
    <col min="11012" max="11012" width="23.5703125" style="310" customWidth="1"/>
    <col min="11013" max="11013" width="17.28515625" style="310" customWidth="1"/>
    <col min="11014" max="11014" width="20.5703125" style="310" bestFit="1" customWidth="1"/>
    <col min="11015" max="11015" width="17.140625" style="310" customWidth="1"/>
    <col min="11016" max="11016" width="21.85546875" style="310" bestFit="1" customWidth="1"/>
    <col min="11017" max="11017" width="17.140625" style="310" bestFit="1" customWidth="1"/>
    <col min="11018" max="11018" width="18.140625" style="310" bestFit="1" customWidth="1"/>
    <col min="11019" max="11019" width="26.42578125" style="310" customWidth="1"/>
    <col min="11020" max="11264" width="9.140625" style="310"/>
    <col min="11265" max="11265" width="8.7109375" style="310" bestFit="1" customWidth="1"/>
    <col min="11266" max="11266" width="13.28515625" style="310" customWidth="1"/>
    <col min="11267" max="11267" width="16.140625" style="310" bestFit="1" customWidth="1"/>
    <col min="11268" max="11268" width="23.5703125" style="310" customWidth="1"/>
    <col min="11269" max="11269" width="17.28515625" style="310" customWidth="1"/>
    <col min="11270" max="11270" width="20.5703125" style="310" bestFit="1" customWidth="1"/>
    <col min="11271" max="11271" width="17.140625" style="310" customWidth="1"/>
    <col min="11272" max="11272" width="21.85546875" style="310" bestFit="1" customWidth="1"/>
    <col min="11273" max="11273" width="17.140625" style="310" bestFit="1" customWidth="1"/>
    <col min="11274" max="11274" width="18.140625" style="310" bestFit="1" customWidth="1"/>
    <col min="11275" max="11275" width="26.42578125" style="310" customWidth="1"/>
    <col min="11276" max="11520" width="9.140625" style="310"/>
    <col min="11521" max="11521" width="8.7109375" style="310" bestFit="1" customWidth="1"/>
    <col min="11522" max="11522" width="13.28515625" style="310" customWidth="1"/>
    <col min="11523" max="11523" width="16.140625" style="310" bestFit="1" customWidth="1"/>
    <col min="11524" max="11524" width="23.5703125" style="310" customWidth="1"/>
    <col min="11525" max="11525" width="17.28515625" style="310" customWidth="1"/>
    <col min="11526" max="11526" width="20.5703125" style="310" bestFit="1" customWidth="1"/>
    <col min="11527" max="11527" width="17.140625" style="310" customWidth="1"/>
    <col min="11528" max="11528" width="21.85546875" style="310" bestFit="1" customWidth="1"/>
    <col min="11529" max="11529" width="17.140625" style="310" bestFit="1" customWidth="1"/>
    <col min="11530" max="11530" width="18.140625" style="310" bestFit="1" customWidth="1"/>
    <col min="11531" max="11531" width="26.42578125" style="310" customWidth="1"/>
    <col min="11532" max="11776" width="9.140625" style="310"/>
    <col min="11777" max="11777" width="8.7109375" style="310" bestFit="1" customWidth="1"/>
    <col min="11778" max="11778" width="13.28515625" style="310" customWidth="1"/>
    <col min="11779" max="11779" width="16.140625" style="310" bestFit="1" customWidth="1"/>
    <col min="11780" max="11780" width="23.5703125" style="310" customWidth="1"/>
    <col min="11781" max="11781" width="17.28515625" style="310" customWidth="1"/>
    <col min="11782" max="11782" width="20.5703125" style="310" bestFit="1" customWidth="1"/>
    <col min="11783" max="11783" width="17.140625" style="310" customWidth="1"/>
    <col min="11784" max="11784" width="21.85546875" style="310" bestFit="1" customWidth="1"/>
    <col min="11785" max="11785" width="17.140625" style="310" bestFit="1" customWidth="1"/>
    <col min="11786" max="11786" width="18.140625" style="310" bestFit="1" customWidth="1"/>
    <col min="11787" max="11787" width="26.42578125" style="310" customWidth="1"/>
    <col min="11788" max="12032" width="9.140625" style="310"/>
    <col min="12033" max="12033" width="8.7109375" style="310" bestFit="1" customWidth="1"/>
    <col min="12034" max="12034" width="13.28515625" style="310" customWidth="1"/>
    <col min="12035" max="12035" width="16.140625" style="310" bestFit="1" customWidth="1"/>
    <col min="12036" max="12036" width="23.5703125" style="310" customWidth="1"/>
    <col min="12037" max="12037" width="17.28515625" style="310" customWidth="1"/>
    <col min="12038" max="12038" width="20.5703125" style="310" bestFit="1" customWidth="1"/>
    <col min="12039" max="12039" width="17.140625" style="310" customWidth="1"/>
    <col min="12040" max="12040" width="21.85546875" style="310" bestFit="1" customWidth="1"/>
    <col min="12041" max="12041" width="17.140625" style="310" bestFit="1" customWidth="1"/>
    <col min="12042" max="12042" width="18.140625" style="310" bestFit="1" customWidth="1"/>
    <col min="12043" max="12043" width="26.42578125" style="310" customWidth="1"/>
    <col min="12044" max="12288" width="9.140625" style="310"/>
    <col min="12289" max="12289" width="8.7109375" style="310" bestFit="1" customWidth="1"/>
    <col min="12290" max="12290" width="13.28515625" style="310" customWidth="1"/>
    <col min="12291" max="12291" width="16.140625" style="310" bestFit="1" customWidth="1"/>
    <col min="12292" max="12292" width="23.5703125" style="310" customWidth="1"/>
    <col min="12293" max="12293" width="17.28515625" style="310" customWidth="1"/>
    <col min="12294" max="12294" width="20.5703125" style="310" bestFit="1" customWidth="1"/>
    <col min="12295" max="12295" width="17.140625" style="310" customWidth="1"/>
    <col min="12296" max="12296" width="21.85546875" style="310" bestFit="1" customWidth="1"/>
    <col min="12297" max="12297" width="17.140625" style="310" bestFit="1" customWidth="1"/>
    <col min="12298" max="12298" width="18.140625" style="310" bestFit="1" customWidth="1"/>
    <col min="12299" max="12299" width="26.42578125" style="310" customWidth="1"/>
    <col min="12300" max="12544" width="9.140625" style="310"/>
    <col min="12545" max="12545" width="8.7109375" style="310" bestFit="1" customWidth="1"/>
    <col min="12546" max="12546" width="13.28515625" style="310" customWidth="1"/>
    <col min="12547" max="12547" width="16.140625" style="310" bestFit="1" customWidth="1"/>
    <col min="12548" max="12548" width="23.5703125" style="310" customWidth="1"/>
    <col min="12549" max="12549" width="17.28515625" style="310" customWidth="1"/>
    <col min="12550" max="12550" width="20.5703125" style="310" bestFit="1" customWidth="1"/>
    <col min="12551" max="12551" width="17.140625" style="310" customWidth="1"/>
    <col min="12552" max="12552" width="21.85546875" style="310" bestFit="1" customWidth="1"/>
    <col min="12553" max="12553" width="17.140625" style="310" bestFit="1" customWidth="1"/>
    <col min="12554" max="12554" width="18.140625" style="310" bestFit="1" customWidth="1"/>
    <col min="12555" max="12555" width="26.42578125" style="310" customWidth="1"/>
    <col min="12556" max="12800" width="9.140625" style="310"/>
    <col min="12801" max="12801" width="8.7109375" style="310" bestFit="1" customWidth="1"/>
    <col min="12802" max="12802" width="13.28515625" style="310" customWidth="1"/>
    <col min="12803" max="12803" width="16.140625" style="310" bestFit="1" customWidth="1"/>
    <col min="12804" max="12804" width="23.5703125" style="310" customWidth="1"/>
    <col min="12805" max="12805" width="17.28515625" style="310" customWidth="1"/>
    <col min="12806" max="12806" width="20.5703125" style="310" bestFit="1" customWidth="1"/>
    <col min="12807" max="12807" width="17.140625" style="310" customWidth="1"/>
    <col min="12808" max="12808" width="21.85546875" style="310" bestFit="1" customWidth="1"/>
    <col min="12809" max="12809" width="17.140625" style="310" bestFit="1" customWidth="1"/>
    <col min="12810" max="12810" width="18.140625" style="310" bestFit="1" customWidth="1"/>
    <col min="12811" max="12811" width="26.42578125" style="310" customWidth="1"/>
    <col min="12812" max="13056" width="9.140625" style="310"/>
    <col min="13057" max="13057" width="8.7109375" style="310" bestFit="1" customWidth="1"/>
    <col min="13058" max="13058" width="13.28515625" style="310" customWidth="1"/>
    <col min="13059" max="13059" width="16.140625" style="310" bestFit="1" customWidth="1"/>
    <col min="13060" max="13060" width="23.5703125" style="310" customWidth="1"/>
    <col min="13061" max="13061" width="17.28515625" style="310" customWidth="1"/>
    <col min="13062" max="13062" width="20.5703125" style="310" bestFit="1" customWidth="1"/>
    <col min="13063" max="13063" width="17.140625" style="310" customWidth="1"/>
    <col min="13064" max="13064" width="21.85546875" style="310" bestFit="1" customWidth="1"/>
    <col min="13065" max="13065" width="17.140625" style="310" bestFit="1" customWidth="1"/>
    <col min="13066" max="13066" width="18.140625" style="310" bestFit="1" customWidth="1"/>
    <col min="13067" max="13067" width="26.42578125" style="310" customWidth="1"/>
    <col min="13068" max="13312" width="9.140625" style="310"/>
    <col min="13313" max="13313" width="8.7109375" style="310" bestFit="1" customWidth="1"/>
    <col min="13314" max="13314" width="13.28515625" style="310" customWidth="1"/>
    <col min="13315" max="13315" width="16.140625" style="310" bestFit="1" customWidth="1"/>
    <col min="13316" max="13316" width="23.5703125" style="310" customWidth="1"/>
    <col min="13317" max="13317" width="17.28515625" style="310" customWidth="1"/>
    <col min="13318" max="13318" width="20.5703125" style="310" bestFit="1" customWidth="1"/>
    <col min="13319" max="13319" width="17.140625" style="310" customWidth="1"/>
    <col min="13320" max="13320" width="21.85546875" style="310" bestFit="1" customWidth="1"/>
    <col min="13321" max="13321" width="17.140625" style="310" bestFit="1" customWidth="1"/>
    <col min="13322" max="13322" width="18.140625" style="310" bestFit="1" customWidth="1"/>
    <col min="13323" max="13323" width="26.42578125" style="310" customWidth="1"/>
    <col min="13324" max="13568" width="9.140625" style="310"/>
    <col min="13569" max="13569" width="8.7109375" style="310" bestFit="1" customWidth="1"/>
    <col min="13570" max="13570" width="13.28515625" style="310" customWidth="1"/>
    <col min="13571" max="13571" width="16.140625" style="310" bestFit="1" customWidth="1"/>
    <col min="13572" max="13572" width="23.5703125" style="310" customWidth="1"/>
    <col min="13573" max="13573" width="17.28515625" style="310" customWidth="1"/>
    <col min="13574" max="13574" width="20.5703125" style="310" bestFit="1" customWidth="1"/>
    <col min="13575" max="13575" width="17.140625" style="310" customWidth="1"/>
    <col min="13576" max="13576" width="21.85546875" style="310" bestFit="1" customWidth="1"/>
    <col min="13577" max="13577" width="17.140625" style="310" bestFit="1" customWidth="1"/>
    <col min="13578" max="13578" width="18.140625" style="310" bestFit="1" customWidth="1"/>
    <col min="13579" max="13579" width="26.42578125" style="310" customWidth="1"/>
    <col min="13580" max="13824" width="9.140625" style="310"/>
    <col min="13825" max="13825" width="8.7109375" style="310" bestFit="1" customWidth="1"/>
    <col min="13826" max="13826" width="13.28515625" style="310" customWidth="1"/>
    <col min="13827" max="13827" width="16.140625" style="310" bestFit="1" customWidth="1"/>
    <col min="13828" max="13828" width="23.5703125" style="310" customWidth="1"/>
    <col min="13829" max="13829" width="17.28515625" style="310" customWidth="1"/>
    <col min="13830" max="13830" width="20.5703125" style="310" bestFit="1" customWidth="1"/>
    <col min="13831" max="13831" width="17.140625" style="310" customWidth="1"/>
    <col min="13832" max="13832" width="21.85546875" style="310" bestFit="1" customWidth="1"/>
    <col min="13833" max="13833" width="17.140625" style="310" bestFit="1" customWidth="1"/>
    <col min="13834" max="13834" width="18.140625" style="310" bestFit="1" customWidth="1"/>
    <col min="13835" max="13835" width="26.42578125" style="310" customWidth="1"/>
    <col min="13836" max="14080" width="9.140625" style="310"/>
    <col min="14081" max="14081" width="8.7109375" style="310" bestFit="1" customWidth="1"/>
    <col min="14082" max="14082" width="13.28515625" style="310" customWidth="1"/>
    <col min="14083" max="14083" width="16.140625" style="310" bestFit="1" customWidth="1"/>
    <col min="14084" max="14084" width="23.5703125" style="310" customWidth="1"/>
    <col min="14085" max="14085" width="17.28515625" style="310" customWidth="1"/>
    <col min="14086" max="14086" width="20.5703125" style="310" bestFit="1" customWidth="1"/>
    <col min="14087" max="14087" width="17.140625" style="310" customWidth="1"/>
    <col min="14088" max="14088" width="21.85546875" style="310" bestFit="1" customWidth="1"/>
    <col min="14089" max="14089" width="17.140625" style="310" bestFit="1" customWidth="1"/>
    <col min="14090" max="14090" width="18.140625" style="310" bestFit="1" customWidth="1"/>
    <col min="14091" max="14091" width="26.42578125" style="310" customWidth="1"/>
    <col min="14092" max="14336" width="9.140625" style="310"/>
    <col min="14337" max="14337" width="8.7109375" style="310" bestFit="1" customWidth="1"/>
    <col min="14338" max="14338" width="13.28515625" style="310" customWidth="1"/>
    <col min="14339" max="14339" width="16.140625" style="310" bestFit="1" customWidth="1"/>
    <col min="14340" max="14340" width="23.5703125" style="310" customWidth="1"/>
    <col min="14341" max="14341" width="17.28515625" style="310" customWidth="1"/>
    <col min="14342" max="14342" width="20.5703125" style="310" bestFit="1" customWidth="1"/>
    <col min="14343" max="14343" width="17.140625" style="310" customWidth="1"/>
    <col min="14344" max="14344" width="21.85546875" style="310" bestFit="1" customWidth="1"/>
    <col min="14345" max="14345" width="17.140625" style="310" bestFit="1" customWidth="1"/>
    <col min="14346" max="14346" width="18.140625" style="310" bestFit="1" customWidth="1"/>
    <col min="14347" max="14347" width="26.42578125" style="310" customWidth="1"/>
    <col min="14348" max="14592" width="9.140625" style="310"/>
    <col min="14593" max="14593" width="8.7109375" style="310" bestFit="1" customWidth="1"/>
    <col min="14594" max="14594" width="13.28515625" style="310" customWidth="1"/>
    <col min="14595" max="14595" width="16.140625" style="310" bestFit="1" customWidth="1"/>
    <col min="14596" max="14596" width="23.5703125" style="310" customWidth="1"/>
    <col min="14597" max="14597" width="17.28515625" style="310" customWidth="1"/>
    <col min="14598" max="14598" width="20.5703125" style="310" bestFit="1" customWidth="1"/>
    <col min="14599" max="14599" width="17.140625" style="310" customWidth="1"/>
    <col min="14600" max="14600" width="21.85546875" style="310" bestFit="1" customWidth="1"/>
    <col min="14601" max="14601" width="17.140625" style="310" bestFit="1" customWidth="1"/>
    <col min="14602" max="14602" width="18.140625" style="310" bestFit="1" customWidth="1"/>
    <col min="14603" max="14603" width="26.42578125" style="310" customWidth="1"/>
    <col min="14604" max="14848" width="9.140625" style="310"/>
    <col min="14849" max="14849" width="8.7109375" style="310" bestFit="1" customWidth="1"/>
    <col min="14850" max="14850" width="13.28515625" style="310" customWidth="1"/>
    <col min="14851" max="14851" width="16.140625" style="310" bestFit="1" customWidth="1"/>
    <col min="14852" max="14852" width="23.5703125" style="310" customWidth="1"/>
    <col min="14853" max="14853" width="17.28515625" style="310" customWidth="1"/>
    <col min="14854" max="14854" width="20.5703125" style="310" bestFit="1" customWidth="1"/>
    <col min="14855" max="14855" width="17.140625" style="310" customWidth="1"/>
    <col min="14856" max="14856" width="21.85546875" style="310" bestFit="1" customWidth="1"/>
    <col min="14857" max="14857" width="17.140625" style="310" bestFit="1" customWidth="1"/>
    <col min="14858" max="14858" width="18.140625" style="310" bestFit="1" customWidth="1"/>
    <col min="14859" max="14859" width="26.42578125" style="310" customWidth="1"/>
    <col min="14860" max="15104" width="9.140625" style="310"/>
    <col min="15105" max="15105" width="8.7109375" style="310" bestFit="1" customWidth="1"/>
    <col min="15106" max="15106" width="13.28515625" style="310" customWidth="1"/>
    <col min="15107" max="15107" width="16.140625" style="310" bestFit="1" customWidth="1"/>
    <col min="15108" max="15108" width="23.5703125" style="310" customWidth="1"/>
    <col min="15109" max="15109" width="17.28515625" style="310" customWidth="1"/>
    <col min="15110" max="15110" width="20.5703125" style="310" bestFit="1" customWidth="1"/>
    <col min="15111" max="15111" width="17.140625" style="310" customWidth="1"/>
    <col min="15112" max="15112" width="21.85546875" style="310" bestFit="1" customWidth="1"/>
    <col min="15113" max="15113" width="17.140625" style="310" bestFit="1" customWidth="1"/>
    <col min="15114" max="15114" width="18.140625" style="310" bestFit="1" customWidth="1"/>
    <col min="15115" max="15115" width="26.42578125" style="310" customWidth="1"/>
    <col min="15116" max="15360" width="9.140625" style="310"/>
    <col min="15361" max="15361" width="8.7109375" style="310" bestFit="1" customWidth="1"/>
    <col min="15362" max="15362" width="13.28515625" style="310" customWidth="1"/>
    <col min="15363" max="15363" width="16.140625" style="310" bestFit="1" customWidth="1"/>
    <col min="15364" max="15364" width="23.5703125" style="310" customWidth="1"/>
    <col min="15365" max="15365" width="17.28515625" style="310" customWidth="1"/>
    <col min="15366" max="15366" width="20.5703125" style="310" bestFit="1" customWidth="1"/>
    <col min="15367" max="15367" width="17.140625" style="310" customWidth="1"/>
    <col min="15368" max="15368" width="21.85546875" style="310" bestFit="1" customWidth="1"/>
    <col min="15369" max="15369" width="17.140625" style="310" bestFit="1" customWidth="1"/>
    <col min="15370" max="15370" width="18.140625" style="310" bestFit="1" customWidth="1"/>
    <col min="15371" max="15371" width="26.42578125" style="310" customWidth="1"/>
    <col min="15372" max="15616" width="9.140625" style="310"/>
    <col min="15617" max="15617" width="8.7109375" style="310" bestFit="1" customWidth="1"/>
    <col min="15618" max="15618" width="13.28515625" style="310" customWidth="1"/>
    <col min="15619" max="15619" width="16.140625" style="310" bestFit="1" customWidth="1"/>
    <col min="15620" max="15620" width="23.5703125" style="310" customWidth="1"/>
    <col min="15621" max="15621" width="17.28515625" style="310" customWidth="1"/>
    <col min="15622" max="15622" width="20.5703125" style="310" bestFit="1" customWidth="1"/>
    <col min="15623" max="15623" width="17.140625" style="310" customWidth="1"/>
    <col min="15624" max="15624" width="21.85546875" style="310" bestFit="1" customWidth="1"/>
    <col min="15625" max="15625" width="17.140625" style="310" bestFit="1" customWidth="1"/>
    <col min="15626" max="15626" width="18.140625" style="310" bestFit="1" customWidth="1"/>
    <col min="15627" max="15627" width="26.42578125" style="310" customWidth="1"/>
    <col min="15628" max="15872" width="9.140625" style="310"/>
    <col min="15873" max="15873" width="8.7109375" style="310" bestFit="1" customWidth="1"/>
    <col min="15874" max="15874" width="13.28515625" style="310" customWidth="1"/>
    <col min="15875" max="15875" width="16.140625" style="310" bestFit="1" customWidth="1"/>
    <col min="15876" max="15876" width="23.5703125" style="310" customWidth="1"/>
    <col min="15877" max="15877" width="17.28515625" style="310" customWidth="1"/>
    <col min="15878" max="15878" width="20.5703125" style="310" bestFit="1" customWidth="1"/>
    <col min="15879" max="15879" width="17.140625" style="310" customWidth="1"/>
    <col min="15880" max="15880" width="21.85546875" style="310" bestFit="1" customWidth="1"/>
    <col min="15881" max="15881" width="17.140625" style="310" bestFit="1" customWidth="1"/>
    <col min="15882" max="15882" width="18.140625" style="310" bestFit="1" customWidth="1"/>
    <col min="15883" max="15883" width="26.42578125" style="310" customWidth="1"/>
    <col min="15884" max="16128" width="9.140625" style="310"/>
    <col min="16129" max="16129" width="8.7109375" style="310" bestFit="1" customWidth="1"/>
    <col min="16130" max="16130" width="13.28515625" style="310" customWidth="1"/>
    <col min="16131" max="16131" width="16.140625" style="310" bestFit="1" customWidth="1"/>
    <col min="16132" max="16132" width="23.5703125" style="310" customWidth="1"/>
    <col min="16133" max="16133" width="17.28515625" style="310" customWidth="1"/>
    <col min="16134" max="16134" width="20.5703125" style="310" bestFit="1" customWidth="1"/>
    <col min="16135" max="16135" width="17.140625" style="310" customWidth="1"/>
    <col min="16136" max="16136" width="21.85546875" style="310" bestFit="1" customWidth="1"/>
    <col min="16137" max="16137" width="17.140625" style="310" bestFit="1" customWidth="1"/>
    <col min="16138" max="16138" width="18.140625" style="310" bestFit="1" customWidth="1"/>
    <col min="16139" max="16139" width="26.42578125" style="310" customWidth="1"/>
    <col min="16140" max="16384" width="9.140625" style="310"/>
  </cols>
  <sheetData>
    <row r="1" spans="13:13" s="346" customFormat="1" x14ac:dyDescent="0.2">
      <c r="M1" s="347"/>
    </row>
    <row r="2" spans="13:13" s="346" customFormat="1" x14ac:dyDescent="0.2">
      <c r="M2" s="347"/>
    </row>
    <row r="3" spans="13:13" s="346" customFormat="1" x14ac:dyDescent="0.2">
      <c r="M3" s="347"/>
    </row>
    <row r="4" spans="13:13" s="346" customFormat="1" x14ac:dyDescent="0.2">
      <c r="M4" s="347"/>
    </row>
    <row r="5" spans="13:13" s="346" customFormat="1" x14ac:dyDescent="0.2">
      <c r="M5" s="347"/>
    </row>
    <row r="6" spans="13:13" s="346" customFormat="1" x14ac:dyDescent="0.2">
      <c r="M6" s="347"/>
    </row>
    <row r="7" spans="13:13" s="346" customFormat="1" x14ac:dyDescent="0.2">
      <c r="M7" s="347"/>
    </row>
    <row r="8" spans="13:13" s="346" customFormat="1" x14ac:dyDescent="0.2">
      <c r="M8" s="347"/>
    </row>
    <row r="9" spans="13:13" s="346" customFormat="1" x14ac:dyDescent="0.2">
      <c r="M9" s="347"/>
    </row>
    <row r="10" spans="13:13" s="346" customFormat="1" x14ac:dyDescent="0.2">
      <c r="M10" s="347"/>
    </row>
    <row r="11" spans="13:13" s="346" customFormat="1" x14ac:dyDescent="0.2">
      <c r="M11" s="347"/>
    </row>
    <row r="12" spans="13:13" s="346" customFormat="1" x14ac:dyDescent="0.2">
      <c r="M12" s="347"/>
    </row>
    <row r="13" spans="13:13" s="346" customFormat="1" x14ac:dyDescent="0.2">
      <c r="M13" s="347"/>
    </row>
    <row r="14" spans="13:13" s="346" customFormat="1" x14ac:dyDescent="0.2">
      <c r="M14" s="347"/>
    </row>
    <row r="15" spans="13:13" s="346" customFormat="1" x14ac:dyDescent="0.2">
      <c r="M15" s="347"/>
    </row>
    <row r="16" spans="13:13" s="346" customFormat="1" x14ac:dyDescent="0.2">
      <c r="M16" s="347"/>
    </row>
    <row r="17" spans="13:13" s="346" customFormat="1" x14ac:dyDescent="0.2">
      <c r="M17" s="347"/>
    </row>
    <row r="18" spans="13:13" s="346" customFormat="1" x14ac:dyDescent="0.2">
      <c r="M18" s="347"/>
    </row>
    <row r="19" spans="13:13" s="346" customFormat="1" x14ac:dyDescent="0.2">
      <c r="M19" s="347"/>
    </row>
    <row r="20" spans="13:13" s="346" customFormat="1" x14ac:dyDescent="0.2">
      <c r="M20" s="347"/>
    </row>
    <row r="21" spans="13:13" s="346" customFormat="1" x14ac:dyDescent="0.2">
      <c r="M21" s="347"/>
    </row>
    <row r="22" spans="13:13" s="346" customFormat="1" x14ac:dyDescent="0.2">
      <c r="M22" s="347"/>
    </row>
    <row r="23" spans="13:13" s="346" customFormat="1" x14ac:dyDescent="0.2">
      <c r="M23" s="347"/>
    </row>
    <row r="24" spans="13:13" s="346" customFormat="1" x14ac:dyDescent="0.2">
      <c r="M24" s="347"/>
    </row>
    <row r="25" spans="13:13" s="346" customFormat="1" x14ac:dyDescent="0.2">
      <c r="M25" s="347"/>
    </row>
    <row r="26" spans="13:13" s="346" customFormat="1" x14ac:dyDescent="0.2">
      <c r="M26" s="347"/>
    </row>
    <row r="27" spans="13:13" s="346" customFormat="1" x14ac:dyDescent="0.2">
      <c r="M27" s="347"/>
    </row>
    <row r="28" spans="13:13" s="346" customFormat="1" x14ac:dyDescent="0.2">
      <c r="M28" s="347"/>
    </row>
    <row r="29" spans="13:13" s="346" customFormat="1" x14ac:dyDescent="0.2">
      <c r="M29" s="347"/>
    </row>
    <row r="30" spans="13:13" s="346" customFormat="1" x14ac:dyDescent="0.2">
      <c r="M30" s="347"/>
    </row>
    <row r="31" spans="13:13" s="346" customFormat="1" x14ac:dyDescent="0.2">
      <c r="M31" s="347"/>
    </row>
    <row r="32" spans="13:13" s="346" customFormat="1" x14ac:dyDescent="0.2">
      <c r="M32" s="347"/>
    </row>
    <row r="33" spans="1:19" s="346" customFormat="1" x14ac:dyDescent="0.2">
      <c r="M33" s="347"/>
    </row>
    <row r="34" spans="1:19" s="346" customFormat="1" ht="15.75" customHeight="1" x14ac:dyDescent="0.2">
      <c r="B34" s="346" t="s">
        <v>691</v>
      </c>
    </row>
    <row r="35" spans="1:19" s="346" customFormat="1" ht="24.75" customHeight="1" x14ac:dyDescent="0.25">
      <c r="A35" s="350" t="str">
        <f>"VIN = "&amp;Vin&amp;"V, VOUT = "&amp; Vout &amp;"V, IOUT = " &amp;Iout &amp; "A,  Fsw = " &amp; Fsw/1000 &amp;"kHz, Current Limit = "&amp;ROUNDUP(DC_Current_Limit_Setpoint,0)&amp;"A"</f>
        <v>VIN = 15V, VOUT = 5.1V, IOUT = 2A,  Fsw = 500kHz, Current Limit = 3A</v>
      </c>
      <c r="Q35" s="456"/>
    </row>
    <row r="36" spans="1:19" ht="24.75" customHeight="1" thickBot="1" x14ac:dyDescent="0.25">
      <c r="A36" s="312" t="s">
        <v>701</v>
      </c>
      <c r="Q36" s="457"/>
    </row>
    <row r="37" spans="1:19" ht="18" customHeight="1" x14ac:dyDescent="0.2">
      <c r="A37" s="442" t="s">
        <v>506</v>
      </c>
      <c r="B37" s="443" t="s">
        <v>505</v>
      </c>
      <c r="C37" s="443" t="s">
        <v>8</v>
      </c>
      <c r="D37" s="536" t="s">
        <v>188</v>
      </c>
      <c r="E37" s="537"/>
      <c r="F37" s="537"/>
      <c r="G37" s="538"/>
      <c r="H37" s="443" t="s">
        <v>492</v>
      </c>
      <c r="I37" s="443" t="s">
        <v>302</v>
      </c>
      <c r="J37" s="443" t="s">
        <v>493</v>
      </c>
      <c r="K37" s="431" t="s">
        <v>666</v>
      </c>
      <c r="L37" s="432" t="s">
        <v>667</v>
      </c>
      <c r="M37" s="310"/>
      <c r="P37" s="464"/>
      <c r="Q37" s="471"/>
      <c r="R37" s="464"/>
      <c r="S37" s="464"/>
    </row>
    <row r="38" spans="1:19" s="317" customFormat="1" ht="17.100000000000001" customHeight="1" x14ac:dyDescent="0.2">
      <c r="A38" s="314">
        <v>1</v>
      </c>
      <c r="B38" s="315" t="s">
        <v>600</v>
      </c>
      <c r="C38" s="329">
        <v>0.1</v>
      </c>
      <c r="D38" s="554">
        <f t="shared" ref="D38:D47" si="0">C38</f>
        <v>0.1</v>
      </c>
      <c r="E38" s="555"/>
      <c r="F38" s="555"/>
      <c r="G38" s="330"/>
      <c r="H38" s="331"/>
      <c r="I38" s="316" t="s">
        <v>494</v>
      </c>
      <c r="J38" s="435" t="s">
        <v>494</v>
      </c>
      <c r="K38" s="439" t="str">
        <f>CHOOSE(Q38, 'Variable Management'!N69,'Variable Management'!N70,'Variable Management'!N71)</f>
        <v>1.6 x 0.8</v>
      </c>
      <c r="L38" s="433">
        <f>CHOOSE(Q38, 'Variable Management'!O69,'Variable Management'!O70,'Variable Management'!O71)</f>
        <v>1.3</v>
      </c>
      <c r="P38" s="455"/>
      <c r="Q38" s="458">
        <v>2</v>
      </c>
      <c r="R38" s="455"/>
      <c r="S38" s="455"/>
    </row>
    <row r="39" spans="1:19" s="317" customFormat="1" ht="17.100000000000001" customHeight="1" x14ac:dyDescent="0.2">
      <c r="A39" s="313">
        <v>1</v>
      </c>
      <c r="B39" s="332" t="s">
        <v>498</v>
      </c>
      <c r="C39" s="333">
        <f>'Design Regulator'!D75</f>
        <v>39000</v>
      </c>
      <c r="D39" s="556">
        <f t="shared" si="0"/>
        <v>39000</v>
      </c>
      <c r="E39" s="557"/>
      <c r="F39" s="557"/>
      <c r="G39" s="334"/>
      <c r="H39" s="335"/>
      <c r="I39" s="336" t="s">
        <v>494</v>
      </c>
      <c r="J39" s="436" t="s">
        <v>494</v>
      </c>
      <c r="K39" s="440" t="str">
        <f>CHOOSE(Q39, 'Variable Management'!N69,'Variable Management'!N70,'Variable Management'!N71)</f>
        <v>1.0 x 0.5</v>
      </c>
      <c r="L39" s="441">
        <f>CHOOSE(Q39, 'Variable Management'!O69,'Variable Management'!O70,'Variable Management'!O71)</f>
        <v>0.5</v>
      </c>
      <c r="P39" s="455"/>
      <c r="Q39" s="458">
        <v>1</v>
      </c>
      <c r="R39" s="455"/>
      <c r="S39" s="455"/>
    </row>
    <row r="40" spans="1:19" s="317" customFormat="1" ht="17.100000000000001" customHeight="1" x14ac:dyDescent="0.2">
      <c r="A40" s="313">
        <v>1</v>
      </c>
      <c r="B40" s="332" t="s">
        <v>499</v>
      </c>
      <c r="C40" s="333">
        <f>'Design Regulator'!D76</f>
        <v>180</v>
      </c>
      <c r="D40" s="558">
        <f t="shared" si="0"/>
        <v>180</v>
      </c>
      <c r="E40" s="559"/>
      <c r="F40" s="559"/>
      <c r="G40" s="334"/>
      <c r="H40" s="335"/>
      <c r="I40" s="336" t="s">
        <v>494</v>
      </c>
      <c r="J40" s="436" t="s">
        <v>494</v>
      </c>
      <c r="K40" s="440" t="str">
        <f>CHOOSE(Q40, 'Variable Management'!N69,'Variable Management'!N70,'Variable Management'!N71)</f>
        <v>1.0 x 0.5</v>
      </c>
      <c r="L40" s="441">
        <f>CHOOSE(Q40, 'Variable Management'!O69,'Variable Management'!O70,'Variable Management'!O71)</f>
        <v>0.5</v>
      </c>
      <c r="P40" s="455"/>
      <c r="Q40" s="458">
        <v>1</v>
      </c>
      <c r="R40" s="455"/>
      <c r="S40" s="455"/>
    </row>
    <row r="41" spans="1:19" s="317" customFormat="1" ht="17.100000000000001" customHeight="1" x14ac:dyDescent="0.2">
      <c r="A41" s="313">
        <v>1</v>
      </c>
      <c r="B41" s="332" t="s">
        <v>500</v>
      </c>
      <c r="C41" s="333">
        <f>'Design Regulator'!D78</f>
        <v>1200</v>
      </c>
      <c r="D41" s="558">
        <f t="shared" si="0"/>
        <v>1200</v>
      </c>
      <c r="E41" s="559"/>
      <c r="F41" s="559"/>
      <c r="G41" s="334"/>
      <c r="H41" s="335"/>
      <c r="I41" s="336" t="s">
        <v>494</v>
      </c>
      <c r="J41" s="436" t="s">
        <v>494</v>
      </c>
      <c r="K41" s="440" t="str">
        <f>CHOOSE(Q41, 'Variable Management'!N69,'Variable Management'!N70,'Variable Management'!N71)</f>
        <v>1.0 x 0.5</v>
      </c>
      <c r="L41" s="441">
        <f>CHOOSE(Q41, 'Variable Management'!O69,'Variable Management'!O70,'Variable Management'!O71)</f>
        <v>0.5</v>
      </c>
      <c r="P41" s="455"/>
      <c r="Q41" s="458">
        <v>1</v>
      </c>
      <c r="R41" s="455"/>
      <c r="S41" s="455"/>
    </row>
    <row r="42" spans="1:19" s="317" customFormat="1" ht="17.100000000000001" customHeight="1" x14ac:dyDescent="0.2">
      <c r="A42" s="324">
        <v>1</v>
      </c>
      <c r="B42" s="325" t="s">
        <v>709</v>
      </c>
      <c r="C42" s="340" t="str">
        <f>'Variable Management'!B270</f>
        <v>22pF</v>
      </c>
      <c r="D42" s="529" t="str">
        <f>"Capacitor, Ceramic, "&amp;'Variable Management'!B270&amp;", 100V, X7R, 20%"</f>
        <v>Capacitor, Ceramic, 22pF, 100V, X7R, 20%</v>
      </c>
      <c r="E42" s="530"/>
      <c r="F42" s="530"/>
      <c r="G42" s="337"/>
      <c r="H42" s="327"/>
      <c r="I42" s="328" t="s">
        <v>494</v>
      </c>
      <c r="J42" s="437" t="s">
        <v>494</v>
      </c>
      <c r="K42" s="439" t="str">
        <f>CHOOSE(Q42, 'Variable Management'!N69,'Variable Management'!N70,'Variable Management'!N71)</f>
        <v>1.6 x 0.8</v>
      </c>
      <c r="L42" s="433">
        <f>CHOOSE(RDSON_sense,CHOOSE(Q42,'Variable Management'!O69,'Variable Management'!O70,'Variable Management'!O71),0)</f>
        <v>1.3</v>
      </c>
      <c r="P42" s="455"/>
      <c r="Q42" s="458">
        <v>2</v>
      </c>
      <c r="R42" s="455"/>
      <c r="S42" s="455"/>
    </row>
    <row r="43" spans="1:19" s="317" customFormat="1" ht="17.100000000000001" customHeight="1" x14ac:dyDescent="0.2">
      <c r="A43" s="313">
        <f>ROUNDUP('Design Regulator'!E42/10,0)</f>
        <v>2</v>
      </c>
      <c r="B43" s="332" t="s">
        <v>501</v>
      </c>
      <c r="C43" s="339" t="str">
        <f>'Variable Management'!B249</f>
        <v>4.7µF</v>
      </c>
      <c r="D43" s="522" t="str">
        <f>CHOOSE(Cin_Voltage_Rating, "Capacitor, Ceramic, "&amp;'Variable Management'!B249&amp;", 10V, X7R, 10%", "Capacitor, Ceramic, "&amp;'Variable Management'!B249&amp;", 16V, X7R, 10%", "Capacitor, Ceramic, "&amp;'Variable Management'!B249&amp;", 25V, X7R, 10%",  "Capacitor, Ceramic, "&amp;'Variable Management'!B249&amp;", 50V, X7R, 10%",  "Capacitor, Ceramic, "&amp;'Variable Management'!B249&amp;", 100V, X7S, 10%")</f>
        <v>Capacitor, Ceramic, 4.7µF, 25V, X7R, 10%</v>
      </c>
      <c r="E43" s="523"/>
      <c r="F43" s="523"/>
      <c r="G43" s="334"/>
      <c r="H43" s="335"/>
      <c r="I43" s="336" t="s">
        <v>494</v>
      </c>
      <c r="J43" s="436" t="s">
        <v>494</v>
      </c>
      <c r="K43" s="440" t="str">
        <f>CHOOSE(Q43, 'Variable Management'!N69,'Variable Management'!N70,'Variable Management'!N71,'Variable Management'!N72,'Variable Management'!N73)</f>
        <v>3.2 x 2.5</v>
      </c>
      <c r="L43" s="441">
        <f>CHOOSE(Q43, 'Variable Management'!O69,'Variable Management'!O70,'Variable Management'!O71,'Variable Management'!O72,'Variable Management'!O73)*A43</f>
        <v>16</v>
      </c>
      <c r="P43" s="455"/>
      <c r="Q43" s="458">
        <v>5</v>
      </c>
      <c r="R43" s="455"/>
      <c r="S43" s="455"/>
    </row>
    <row r="44" spans="1:19" s="317" customFormat="1" ht="17.100000000000001" customHeight="1" x14ac:dyDescent="0.2">
      <c r="A44" s="313">
        <f>'Variable Management'!D242</f>
        <v>1</v>
      </c>
      <c r="B44" s="332" t="s">
        <v>502</v>
      </c>
      <c r="C44" s="339" t="str">
        <f>'Variable Management'!F243</f>
        <v>47µF</v>
      </c>
      <c r="D44" s="522" t="str">
        <f>CHOOSE(Cout_Voltage_Rating, "Capacitor, Ceramic, "&amp;'Variable Management'!B244&amp;", 6.3V, X7R, 10%", "Capacitor, Ceramic, "&amp;'Variable Management'!B244&amp;", 10V, X7R, 10%", "Capacitor, Ceramic, "&amp;'Variable Management'!B244&amp;", 16V, X7R, 10%", "Capacitor, Ceramic, "&amp;'Variable Management'!B244&amp;", 25V, X7R, 10%",  "Capacitor, Ceramic, "&amp;'Variable Management'!B244&amp;", 50V, X7R, 10%",  "Capacitor, Ceramic, "&amp;'Variable Management'!B244&amp;", 100V, X7R, 10%")</f>
        <v>Capacitor, Ceramic, 47µF, 10V, X7R, 10%</v>
      </c>
      <c r="E44" s="523"/>
      <c r="F44" s="523"/>
      <c r="G44" s="334"/>
      <c r="H44" s="335"/>
      <c r="I44" s="336" t="s">
        <v>494</v>
      </c>
      <c r="J44" s="436" t="s">
        <v>494</v>
      </c>
      <c r="K44" s="440" t="str">
        <f>CHOOSE(Q44, 'Variable Management'!N69,'Variable Management'!N70,'Variable Management'!N71,'Variable Management'!N72,'Variable Management'!N73)</f>
        <v>3.2 x 2.5</v>
      </c>
      <c r="L44" s="441">
        <f>CHOOSE(Q44, 'Variable Management'!O69,'Variable Management'!O70,'Variable Management'!O71,'Variable Management'!O72,'Variable Management'!O73)*A44</f>
        <v>8</v>
      </c>
      <c r="P44" s="455"/>
      <c r="Q44" s="458">
        <v>5</v>
      </c>
      <c r="R44" s="455"/>
      <c r="S44" s="455"/>
    </row>
    <row r="45" spans="1:19" s="317" customFormat="1" ht="17.100000000000001" customHeight="1" x14ac:dyDescent="0.2">
      <c r="A45" s="324">
        <v>1</v>
      </c>
      <c r="B45" s="325" t="s">
        <v>503</v>
      </c>
      <c r="C45" s="449">
        <f>'Design Regulator'!E50</f>
        <v>56</v>
      </c>
      <c r="D45" s="525">
        <f t="shared" ref="D45" si="1">C45</f>
        <v>56</v>
      </c>
      <c r="E45" s="526"/>
      <c r="F45" s="526"/>
      <c r="G45" s="337"/>
      <c r="H45" s="327"/>
      <c r="I45" s="328" t="s">
        <v>494</v>
      </c>
      <c r="J45" s="437" t="s">
        <v>494</v>
      </c>
      <c r="K45" s="450" t="str">
        <f>CHOOSE(Q45, 'Variable Management'!N69,'Variable Management'!N70,'Variable Management'!N71)</f>
        <v>1.6 x 0.8</v>
      </c>
      <c r="L45" s="451">
        <f>CHOOSE(Q45, 'Variable Management'!O69,'Variable Management'!O70,'Variable Management'!O71)</f>
        <v>1.3</v>
      </c>
      <c r="P45" s="455"/>
      <c r="Q45" s="458">
        <v>2</v>
      </c>
      <c r="R45" s="455"/>
      <c r="S45" s="455"/>
    </row>
    <row r="46" spans="1:19" s="317" customFormat="1" ht="17.100000000000001" customHeight="1" x14ac:dyDescent="0.2">
      <c r="A46" s="324">
        <v>1</v>
      </c>
      <c r="B46" s="325" t="s">
        <v>599</v>
      </c>
      <c r="C46" s="338">
        <v>2.2000000000000002</v>
      </c>
      <c r="D46" s="531">
        <f t="shared" si="0"/>
        <v>2.2000000000000002</v>
      </c>
      <c r="E46" s="532"/>
      <c r="F46" s="532"/>
      <c r="G46" s="337"/>
      <c r="H46" s="327"/>
      <c r="I46" s="328" t="s">
        <v>494</v>
      </c>
      <c r="J46" s="437" t="s">
        <v>494</v>
      </c>
      <c r="K46" s="439" t="str">
        <f>CHOOSE(Q46, 'Variable Management'!N69,'Variable Management'!N70,'Variable Management'!N71)</f>
        <v>2.0 x 1.25</v>
      </c>
      <c r="L46" s="433">
        <f>CHOOSE(Q46, 'Variable Management'!O69,'Variable Management'!O70,'Variable Management'!O71)</f>
        <v>2.5</v>
      </c>
      <c r="P46" s="455"/>
      <c r="Q46" s="458">
        <v>3</v>
      </c>
      <c r="R46" s="455"/>
      <c r="S46" s="455"/>
    </row>
    <row r="47" spans="1:19" s="317" customFormat="1" ht="17.100000000000001" customHeight="1" x14ac:dyDescent="0.2">
      <c r="A47" s="324">
        <v>1</v>
      </c>
      <c r="B47" s="325" t="s">
        <v>504</v>
      </c>
      <c r="C47" s="338">
        <v>0.1</v>
      </c>
      <c r="D47" s="527">
        <f t="shared" si="0"/>
        <v>0.1</v>
      </c>
      <c r="E47" s="528"/>
      <c r="F47" s="528"/>
      <c r="G47" s="337"/>
      <c r="H47" s="327"/>
      <c r="I47" s="328" t="s">
        <v>494</v>
      </c>
      <c r="J47" s="437" t="s">
        <v>494</v>
      </c>
      <c r="K47" s="439" t="str">
        <f>CHOOSE(Q47, 'Variable Management'!N69,'Variable Management'!N70,'Variable Management'!N71)</f>
        <v>1.6 x 0.8</v>
      </c>
      <c r="L47" s="433">
        <f>CHOOSE(Q47, 'Variable Management'!O69,'Variable Management'!O70,'Variable Management'!O71)</f>
        <v>1.3</v>
      </c>
      <c r="P47" s="455"/>
      <c r="Q47" s="458">
        <v>2</v>
      </c>
      <c r="R47" s="455"/>
      <c r="S47" s="455"/>
    </row>
    <row r="48" spans="1:19" s="317" customFormat="1" ht="17.100000000000001" customHeight="1" x14ac:dyDescent="0.2">
      <c r="A48" s="313">
        <v>1</v>
      </c>
      <c r="B48" s="332" t="s">
        <v>766</v>
      </c>
      <c r="C48" s="341">
        <f>'Design Regulator'!E17</f>
        <v>15</v>
      </c>
      <c r="D48" s="522" t="str">
        <f>"Inductor, "&amp;Lout2*1000000&amp;"µH, "&amp;Rdcr*1000&amp;"mΩ, &gt;"&amp;ROUNDUP(Ilsat,0)&amp;"A"</f>
        <v>Inductor, 15µH, 24.7mΩ, &gt;4A</v>
      </c>
      <c r="E48" s="523"/>
      <c r="F48" s="523"/>
      <c r="G48" s="524"/>
      <c r="H48" s="336"/>
      <c r="I48" s="336" t="s">
        <v>507</v>
      </c>
      <c r="J48" s="436" t="s">
        <v>507</v>
      </c>
      <c r="K48" s="440" t="str">
        <f>CHOOSE(Q48, 'Variable Management'!N78,'Variable Management'!N79,'Variable Management'!N80, 'Variable Management'!N81, 'Variable Management'!N82, 'Variable Management'!N83, 'Variable Management'!N84, 'Variable Management'!N85)</f>
        <v>10.0 x 10.0</v>
      </c>
      <c r="L48" s="441">
        <f>CHOOSE(Q48, 'Variable Management'!O78,'Variable Management'!O79,'Variable Management'!O80, 'Variable Management'!O81, 'Variable Management'!O82, 'Variable Management'!O83, 'Variable Management'!O84, 'Variable Management'!O85)</f>
        <v>100</v>
      </c>
      <c r="P48" s="455"/>
      <c r="Q48" s="458">
        <v>7</v>
      </c>
      <c r="R48" s="455"/>
      <c r="S48" s="455"/>
    </row>
    <row r="49" spans="1:19" s="317" customFormat="1" ht="17.100000000000001" customHeight="1" x14ac:dyDescent="0.2">
      <c r="A49" s="324">
        <f>R49</f>
        <v>1</v>
      </c>
      <c r="B49" s="325" t="s">
        <v>508</v>
      </c>
      <c r="C49" s="340" t="s">
        <v>495</v>
      </c>
      <c r="D49" s="545">
        <f>'Design Regulator'!E85</f>
        <v>20</v>
      </c>
      <c r="E49" s="546"/>
      <c r="F49" s="546"/>
      <c r="G49" s="547"/>
      <c r="H49" s="328"/>
      <c r="I49" s="328" t="str">
        <f>'Design Regulator'!E84</f>
        <v>CSD19538Q3A</v>
      </c>
      <c r="J49" s="437" t="s">
        <v>496</v>
      </c>
      <c r="K49" s="439" t="str">
        <f>CHOOSE(Q49, 'Variable Management'!N48,'Variable Management'!N49,'Variable Management'!N50,'Variable Management'!N51)</f>
        <v>5.0 x 6.0</v>
      </c>
      <c r="L49" s="433">
        <f>CHOOSE(Q49, 'Variable Management'!O48,'Variable Management'!O49,'Variable Management'!O50,'Variable Management'!O51)*R49</f>
        <v>30</v>
      </c>
      <c r="P49" s="455"/>
      <c r="Q49" s="458">
        <v>1</v>
      </c>
      <c r="R49" s="458">
        <v>1</v>
      </c>
      <c r="S49" s="455"/>
    </row>
    <row r="50" spans="1:19" s="317" customFormat="1" ht="17.100000000000001" customHeight="1" x14ac:dyDescent="0.2">
      <c r="A50" s="324">
        <f>R50</f>
        <v>1</v>
      </c>
      <c r="B50" s="325" t="s">
        <v>509</v>
      </c>
      <c r="C50" s="340" t="s">
        <v>495</v>
      </c>
      <c r="D50" s="545">
        <f>'Design Regulator'!E97</f>
        <v>20</v>
      </c>
      <c r="E50" s="546"/>
      <c r="F50" s="546"/>
      <c r="G50" s="547"/>
      <c r="H50" s="328"/>
      <c r="I50" s="328" t="str">
        <f>'Design Regulator'!E96</f>
        <v>NVMFS6B14NL</v>
      </c>
      <c r="J50" s="437" t="s">
        <v>496</v>
      </c>
      <c r="K50" s="439" t="str">
        <f>CHOOSE(Q50, 'Variable Management'!N48,'Variable Management'!N49,'Variable Management'!N50,'Variable Management'!N51)</f>
        <v>5.0 x 6.0</v>
      </c>
      <c r="L50" s="433">
        <f>CHOOSE(Q50, 'Variable Management'!O48,'Variable Management'!O49,'Variable Management'!O50,'Variable Management'!O51)*R50</f>
        <v>30</v>
      </c>
      <c r="P50" s="455"/>
      <c r="Q50" s="458">
        <v>1</v>
      </c>
      <c r="R50" s="458">
        <v>1</v>
      </c>
      <c r="S50" s="455"/>
    </row>
    <row r="51" spans="1:19" s="317" customFormat="1" ht="17.100000000000001" customHeight="1" x14ac:dyDescent="0.2">
      <c r="A51" s="324"/>
      <c r="B51" s="325"/>
      <c r="C51" s="340"/>
      <c r="D51" s="424"/>
      <c r="E51" s="425"/>
      <c r="F51" s="425"/>
      <c r="G51" s="426"/>
      <c r="H51" s="328"/>
      <c r="I51" s="328"/>
      <c r="J51" s="437"/>
      <c r="K51" s="439"/>
      <c r="L51" s="433"/>
      <c r="P51" s="455"/>
      <c r="Q51" s="458"/>
      <c r="R51" s="455"/>
      <c r="S51" s="455"/>
    </row>
    <row r="52" spans="1:19" s="317" customFormat="1" ht="17.100000000000001" customHeight="1" x14ac:dyDescent="0.2">
      <c r="A52" s="318">
        <v>1</v>
      </c>
      <c r="B52" s="319" t="s">
        <v>510</v>
      </c>
      <c r="C52" s="320">
        <f>'Design Regulator'!D74</f>
        <v>3.83</v>
      </c>
      <c r="D52" s="533">
        <f t="shared" ref="D52:D62" si="2">C52</f>
        <v>3.83</v>
      </c>
      <c r="E52" s="534"/>
      <c r="F52" s="534"/>
      <c r="G52" s="535"/>
      <c r="H52" s="321"/>
      <c r="I52" s="322" t="s">
        <v>494</v>
      </c>
      <c r="J52" s="438" t="s">
        <v>494</v>
      </c>
      <c r="K52" s="440" t="str">
        <f>CHOOSE(Q52, 'Variable Management'!N69,'Variable Management'!N70,'Variable Management'!N71)</f>
        <v>1.0 x 0.5</v>
      </c>
      <c r="L52" s="441">
        <f>CHOOSE(Q52, 'Variable Management'!O69,'Variable Management'!O70,'Variable Management'!O71)</f>
        <v>0.5</v>
      </c>
      <c r="P52" s="455"/>
      <c r="Q52" s="458">
        <v>1</v>
      </c>
      <c r="R52" s="455"/>
      <c r="S52" s="455"/>
    </row>
    <row r="53" spans="1:19" s="317" customFormat="1" ht="17.100000000000001" customHeight="1" x14ac:dyDescent="0.2">
      <c r="A53" s="318">
        <v>1</v>
      </c>
      <c r="B53" s="319" t="s">
        <v>511</v>
      </c>
      <c r="C53" s="323">
        <f>'Design Regulator'!D77</f>
        <v>523</v>
      </c>
      <c r="D53" s="519">
        <f t="shared" si="2"/>
        <v>523</v>
      </c>
      <c r="E53" s="520"/>
      <c r="F53" s="520"/>
      <c r="G53" s="521"/>
      <c r="H53" s="321"/>
      <c r="I53" s="322" t="s">
        <v>494</v>
      </c>
      <c r="J53" s="438" t="s">
        <v>494</v>
      </c>
      <c r="K53" s="440" t="str">
        <f>CHOOSE(Q52, 'Variable Management'!N69,'Variable Management'!N70,'Variable Management'!N71)</f>
        <v>1.0 x 0.5</v>
      </c>
      <c r="L53" s="441">
        <f>CHOOSE(Q53, 'Variable Management'!O69,'Variable Management'!O70,'Variable Management'!O71)</f>
        <v>0.5</v>
      </c>
      <c r="P53" s="455"/>
      <c r="Q53" s="458">
        <v>1</v>
      </c>
      <c r="R53" s="455"/>
      <c r="S53" s="455"/>
    </row>
    <row r="54" spans="1:19" s="317" customFormat="1" ht="17.100000000000001" customHeight="1" x14ac:dyDescent="0.2">
      <c r="A54" s="318">
        <v>1</v>
      </c>
      <c r="B54" s="319" t="s">
        <v>601</v>
      </c>
      <c r="C54" s="323">
        <f>'Design Regulator'!E26</f>
        <v>237</v>
      </c>
      <c r="D54" s="519">
        <f t="shared" si="2"/>
        <v>237</v>
      </c>
      <c r="E54" s="520"/>
      <c r="F54" s="520"/>
      <c r="G54" s="521"/>
      <c r="H54" s="321"/>
      <c r="I54" s="322" t="s">
        <v>494</v>
      </c>
      <c r="J54" s="438" t="s">
        <v>494</v>
      </c>
      <c r="K54" s="440" t="str">
        <f>CHOOSE(Q52, 'Variable Management'!N69,'Variable Management'!N70,'Variable Management'!N71)</f>
        <v>1.0 x 0.5</v>
      </c>
      <c r="L54" s="441">
        <f>CHOOSE(Q54, 'Variable Management'!O69,'Variable Management'!O70,'Variable Management'!O71)</f>
        <v>2.5</v>
      </c>
      <c r="P54" s="455"/>
      <c r="Q54" s="458">
        <v>3</v>
      </c>
      <c r="R54" s="455"/>
      <c r="S54" s="455"/>
    </row>
    <row r="55" spans="1:19" s="317" customFormat="1" ht="17.100000000000001" customHeight="1" x14ac:dyDescent="0.2">
      <c r="A55" s="318">
        <v>1</v>
      </c>
      <c r="B55" s="319" t="s">
        <v>602</v>
      </c>
      <c r="C55" s="320">
        <f>'Design Regulator'!E13</f>
        <v>20</v>
      </c>
      <c r="D55" s="533">
        <f t="shared" si="2"/>
        <v>20</v>
      </c>
      <c r="E55" s="534"/>
      <c r="F55" s="534"/>
      <c r="G55" s="535"/>
      <c r="H55" s="321"/>
      <c r="I55" s="322" t="s">
        <v>494</v>
      </c>
      <c r="J55" s="438" t="s">
        <v>494</v>
      </c>
      <c r="K55" s="440" t="str">
        <f>CHOOSE(Q55, 'Variable Management'!N69,'Variable Management'!N70,'Variable Management'!N71)</f>
        <v>1.0 x 0.5</v>
      </c>
      <c r="L55" s="441">
        <f>CHOOSE(Q55, 'Variable Management'!O69,'Variable Management'!O70,'Variable Management'!O71)</f>
        <v>0.5</v>
      </c>
      <c r="P55" s="455"/>
      <c r="Q55" s="458">
        <v>1</v>
      </c>
      <c r="R55" s="455"/>
      <c r="S55" s="455"/>
    </row>
    <row r="56" spans="1:19" s="317" customFormat="1" ht="17.100000000000001" customHeight="1" x14ac:dyDescent="0.2">
      <c r="A56" s="318">
        <v>1</v>
      </c>
      <c r="B56" s="319" t="s">
        <v>517</v>
      </c>
      <c r="C56" s="320">
        <f>'Design Regulator'!E63</f>
        <v>18</v>
      </c>
      <c r="D56" s="533">
        <f t="shared" si="2"/>
        <v>18</v>
      </c>
      <c r="E56" s="534"/>
      <c r="F56" s="534"/>
      <c r="G56" s="535"/>
      <c r="H56" s="321"/>
      <c r="I56" s="322" t="s">
        <v>494</v>
      </c>
      <c r="J56" s="438" t="s">
        <v>494</v>
      </c>
      <c r="K56" s="440" t="str">
        <f>CHOOSE(Q56, 'Variable Management'!N69,'Variable Management'!N70,'Variable Management'!N71)</f>
        <v>1.0 x 0.5</v>
      </c>
      <c r="L56" s="441">
        <f>CHOOSE(Q56, 'Variable Management'!O69,'Variable Management'!O70,'Variable Management'!O71)</f>
        <v>0.5</v>
      </c>
      <c r="P56" s="455"/>
      <c r="Q56" s="458">
        <v>1</v>
      </c>
      <c r="R56" s="455"/>
      <c r="S56" s="455"/>
    </row>
    <row r="57" spans="1:19" s="317" customFormat="1" ht="17.100000000000001" customHeight="1" x14ac:dyDescent="0.2">
      <c r="A57" s="318">
        <v>1</v>
      </c>
      <c r="B57" s="319" t="s">
        <v>518</v>
      </c>
      <c r="C57" s="320">
        <f>'Design Regulator'!E64</f>
        <v>3.32</v>
      </c>
      <c r="D57" s="533">
        <f t="shared" si="2"/>
        <v>3.32</v>
      </c>
      <c r="E57" s="534"/>
      <c r="F57" s="534"/>
      <c r="G57" s="535"/>
      <c r="H57" s="321"/>
      <c r="I57" s="322" t="s">
        <v>494</v>
      </c>
      <c r="J57" s="438" t="s">
        <v>494</v>
      </c>
      <c r="K57" s="440" t="str">
        <f>CHOOSE(Q57, 'Variable Management'!N69,'Variable Management'!N70,'Variable Management'!N71)</f>
        <v>1.0 x 0.5</v>
      </c>
      <c r="L57" s="441">
        <f>CHOOSE(Q57, 'Variable Management'!O69,'Variable Management'!O70,'Variable Management'!O71)</f>
        <v>0.5</v>
      </c>
      <c r="P57" s="455"/>
      <c r="Q57" s="458">
        <v>1</v>
      </c>
      <c r="R57" s="455"/>
      <c r="S57" s="455"/>
    </row>
    <row r="58" spans="1:19" s="317" customFormat="1" ht="17.100000000000001" customHeight="1" x14ac:dyDescent="0.2">
      <c r="A58" s="324">
        <v>1</v>
      </c>
      <c r="B58" s="325" t="s">
        <v>516</v>
      </c>
      <c r="C58" s="326">
        <v>20</v>
      </c>
      <c r="D58" s="542">
        <f t="shared" si="2"/>
        <v>20</v>
      </c>
      <c r="E58" s="543"/>
      <c r="F58" s="543"/>
      <c r="G58" s="544"/>
      <c r="H58" s="327"/>
      <c r="I58" s="328" t="s">
        <v>494</v>
      </c>
      <c r="J58" s="437" t="s">
        <v>494</v>
      </c>
      <c r="K58" s="439" t="str">
        <f>CHOOSE(Q58, 'Variable Management'!N69,'Variable Management'!N70,'Variable Management'!N71)</f>
        <v>1.0 x 0.5</v>
      </c>
      <c r="L58" s="433">
        <f>CHOOSE(Q58, 'Variable Management'!O69,'Variable Management'!O70,'Variable Management'!O71)</f>
        <v>0.5</v>
      </c>
      <c r="P58" s="455"/>
      <c r="Q58" s="458">
        <v>1</v>
      </c>
      <c r="R58" s="455"/>
      <c r="S58" s="455"/>
    </row>
    <row r="59" spans="1:19" s="317" customFormat="1" ht="17.100000000000001" customHeight="1" x14ac:dyDescent="0.2">
      <c r="A59" s="324">
        <v>1</v>
      </c>
      <c r="B59" s="325" t="s">
        <v>515</v>
      </c>
      <c r="C59" s="473">
        <f>'Design Regulator'!E24</f>
        <v>3.3</v>
      </c>
      <c r="D59" s="551">
        <f t="shared" si="2"/>
        <v>3.3</v>
      </c>
      <c r="E59" s="552"/>
      <c r="F59" s="552"/>
      <c r="G59" s="553"/>
      <c r="H59" s="472">
        <v>1206</v>
      </c>
      <c r="I59" s="328" t="s">
        <v>494</v>
      </c>
      <c r="J59" s="437" t="s">
        <v>494</v>
      </c>
      <c r="K59" s="439" t="s">
        <v>634</v>
      </c>
      <c r="L59" s="433">
        <f>CHOOSE(RDSON_sense, 0,5.1)</f>
        <v>0</v>
      </c>
      <c r="P59" s="455"/>
      <c r="Q59" s="458"/>
      <c r="R59" s="455"/>
      <c r="S59" s="455"/>
    </row>
    <row r="60" spans="1:19" s="317" customFormat="1" ht="17.100000000000001" customHeight="1" x14ac:dyDescent="0.2">
      <c r="A60" s="318">
        <v>1</v>
      </c>
      <c r="B60" s="319" t="s">
        <v>512</v>
      </c>
      <c r="C60" s="320">
        <f>'Design Regulator'!E53</f>
        <v>49.900000000000006</v>
      </c>
      <c r="D60" s="533">
        <f t="shared" si="2"/>
        <v>49.900000000000006</v>
      </c>
      <c r="E60" s="534"/>
      <c r="F60" s="534"/>
      <c r="G60" s="535"/>
      <c r="H60" s="321"/>
      <c r="I60" s="322" t="s">
        <v>494</v>
      </c>
      <c r="J60" s="438" t="s">
        <v>494</v>
      </c>
      <c r="K60" s="440" t="str">
        <f>CHOOSE(Q60, 'Variable Management'!N69,'Variable Management'!N70,'Variable Management'!N71)</f>
        <v>1.6 x 0.8</v>
      </c>
      <c r="L60" s="441">
        <f>CHOOSE(Q60, 'Variable Management'!O69,'Variable Management'!O70,'Variable Management'!O71)</f>
        <v>1.3</v>
      </c>
      <c r="P60" s="455"/>
      <c r="Q60" s="458">
        <v>2</v>
      </c>
      <c r="R60" s="455"/>
      <c r="S60" s="455"/>
    </row>
    <row r="61" spans="1:19" s="317" customFormat="1" ht="17.100000000000001" customHeight="1" x14ac:dyDescent="0.2">
      <c r="A61" s="318">
        <v>1</v>
      </c>
      <c r="B61" s="319" t="s">
        <v>513</v>
      </c>
      <c r="C61" s="320">
        <f>'Design Regulator'!E54</f>
        <v>3.24</v>
      </c>
      <c r="D61" s="533">
        <f t="shared" si="2"/>
        <v>3.24</v>
      </c>
      <c r="E61" s="534"/>
      <c r="F61" s="534"/>
      <c r="G61" s="535"/>
      <c r="H61" s="321"/>
      <c r="I61" s="322" t="s">
        <v>494</v>
      </c>
      <c r="J61" s="438" t="s">
        <v>494</v>
      </c>
      <c r="K61" s="440" t="str">
        <f>CHOOSE(Q61, 'Variable Management'!N69,'Variable Management'!N70,'Variable Management'!N71)</f>
        <v>1.0 x 0.5</v>
      </c>
      <c r="L61" s="441">
        <f>CHOOSE(Q61, 'Variable Management'!O69,'Variable Management'!O70,'Variable Management'!O71)</f>
        <v>0.5</v>
      </c>
      <c r="P61" s="455"/>
      <c r="Q61" s="458">
        <v>1</v>
      </c>
      <c r="R61" s="455"/>
      <c r="S61" s="455"/>
    </row>
    <row r="62" spans="1:19" s="317" customFormat="1" ht="17.100000000000001" customHeight="1" x14ac:dyDescent="0.2">
      <c r="A62" s="324">
        <v>1</v>
      </c>
      <c r="B62" s="325" t="s">
        <v>514</v>
      </c>
      <c r="C62" s="340">
        <v>2.2000000000000002</v>
      </c>
      <c r="D62" s="548">
        <f t="shared" si="2"/>
        <v>2.2000000000000002</v>
      </c>
      <c r="E62" s="549"/>
      <c r="F62" s="549"/>
      <c r="G62" s="550"/>
      <c r="H62" s="327"/>
      <c r="I62" s="328" t="s">
        <v>494</v>
      </c>
      <c r="J62" s="437" t="s">
        <v>494</v>
      </c>
      <c r="K62" s="439" t="str">
        <f>CHOOSE(Q62, 'Variable Management'!N69,'Variable Management'!N70,'Variable Management'!N71)</f>
        <v>1.0 x 0.5</v>
      </c>
      <c r="L62" s="433">
        <f>CHOOSE(Q62, 'Variable Management'!O69,'Variable Management'!O70,'Variable Management'!O71)</f>
        <v>0.5</v>
      </c>
      <c r="P62" s="455"/>
      <c r="Q62" s="458">
        <v>1</v>
      </c>
      <c r="R62" s="455"/>
      <c r="S62" s="455"/>
    </row>
    <row r="63" spans="1:19" s="317" customFormat="1" ht="17.100000000000001" customHeight="1" x14ac:dyDescent="0.2">
      <c r="A63" s="343">
        <v>1</v>
      </c>
      <c r="B63" s="344" t="s">
        <v>519</v>
      </c>
      <c r="C63" s="342" t="str">
        <f>CHOOSE(VARIANT, "LM5145", "LM5145-Q1", "LM25145", "LM5146", "LM5146-Q1")</f>
        <v>LM5146</v>
      </c>
      <c r="D63" s="539" t="str">
        <f>CHOOSE(VARIANT, "IC, LM5145, PWM Controller, 6V-75V Input", "IC, LM5145-Q1, PWM Controller, 6V-75V Input", "IC, LM25145, PWM Controller, 6V-42V Input", "IC, LM5146 PWM Controller, 5.5V-100V Input", "IC, LM5146-Q1, PWM Controller, 5.5V-100V Input")</f>
        <v>IC, LM5146 PWM Controller, 5.5V-100V Input</v>
      </c>
      <c r="E63" s="540"/>
      <c r="F63" s="540"/>
      <c r="G63" s="541"/>
      <c r="H63" s="345" t="s">
        <v>618</v>
      </c>
      <c r="I63" s="345" t="str">
        <f>CHOOSE(VARIANT, "LM5145RGYR", "LM5145QRGYRQ1", "LM25145RGYR", "LM5146RGYR", "LM5146QRGYRQ1",)</f>
        <v>LM5146RGYR</v>
      </c>
      <c r="J63" s="423" t="s">
        <v>496</v>
      </c>
      <c r="K63" s="439" t="s">
        <v>705</v>
      </c>
      <c r="L63" s="434">
        <v>15.75</v>
      </c>
      <c r="P63" s="455"/>
      <c r="Q63" s="458"/>
      <c r="R63" s="455"/>
      <c r="S63" s="455"/>
    </row>
    <row r="64" spans="1:19" x14ac:dyDescent="0.2">
      <c r="P64" s="464"/>
      <c r="Q64" s="465"/>
      <c r="R64" s="464"/>
      <c r="S64" s="464"/>
    </row>
    <row r="65" spans="1:15" ht="18.75" x14ac:dyDescent="0.25">
      <c r="I65" s="518" t="s">
        <v>668</v>
      </c>
      <c r="J65" s="518"/>
      <c r="K65" s="518"/>
      <c r="L65" s="444">
        <f>SUM(L38:L63)*1.25</f>
        <v>270.9375</v>
      </c>
      <c r="M65" s="445" t="s">
        <v>669</v>
      </c>
      <c r="N65" s="446">
        <f>L65/25.4/25.4</f>
        <v>0.41995396490792991</v>
      </c>
      <c r="O65" s="445" t="s">
        <v>670</v>
      </c>
    </row>
    <row r="66" spans="1:15" x14ac:dyDescent="0.2">
      <c r="A66" s="351" t="s">
        <v>537</v>
      </c>
    </row>
    <row r="67" spans="1:15" x14ac:dyDescent="0.2">
      <c r="A67" s="310" t="s">
        <v>536</v>
      </c>
    </row>
    <row r="68" spans="1:15" x14ac:dyDescent="0.2">
      <c r="A68" s="310" t="s">
        <v>704</v>
      </c>
    </row>
    <row r="455" spans="17:17" x14ac:dyDescent="0.2">
      <c r="Q455" s="310">
        <v>2</v>
      </c>
    </row>
  </sheetData>
  <sheetProtection algorithmName="SHA-512" hashValue="krwzp8ekoN0dSGTZZP6A75/wCRHduBqse/fAtGr5sWD/Gr0HghhzdmX50qS5gSIlnyq/Jke7EuYuVjiBhkRVvw==" saltValue="EgPEQVuZ+VJgMx0WOOXibA==" spinCount="100000" sheet="1" objects="1" scenarios="1" selectLockedCells="1" selectUnlockedCells="1"/>
  <mergeCells count="27">
    <mergeCell ref="D37:G37"/>
    <mergeCell ref="D63:G63"/>
    <mergeCell ref="D58:G58"/>
    <mergeCell ref="D56:G56"/>
    <mergeCell ref="D57:G57"/>
    <mergeCell ref="D49:G49"/>
    <mergeCell ref="D50:G50"/>
    <mergeCell ref="D55:G55"/>
    <mergeCell ref="D60:G60"/>
    <mergeCell ref="D61:G61"/>
    <mergeCell ref="D62:G62"/>
    <mergeCell ref="D59:G59"/>
    <mergeCell ref="D38:F38"/>
    <mergeCell ref="D39:F39"/>
    <mergeCell ref="D40:F40"/>
    <mergeCell ref="D41:F41"/>
    <mergeCell ref="D42:F42"/>
    <mergeCell ref="D46:F46"/>
    <mergeCell ref="D43:F43"/>
    <mergeCell ref="D52:G52"/>
    <mergeCell ref="D53:G53"/>
    <mergeCell ref="I65:K65"/>
    <mergeCell ref="D54:G54"/>
    <mergeCell ref="D48:G48"/>
    <mergeCell ref="D44:F44"/>
    <mergeCell ref="D45:F45"/>
    <mergeCell ref="D47:F47"/>
  </mergeCells>
  <conditionalFormatting sqref="A59:J59">
    <cfRule type="expression" dxfId="4" priority="6">
      <formula>RDSON_sense=1</formula>
    </cfRule>
  </conditionalFormatting>
  <conditionalFormatting sqref="K59">
    <cfRule type="expression" dxfId="3" priority="5">
      <formula>RDSON_sense=1</formula>
    </cfRule>
  </conditionalFormatting>
  <conditionalFormatting sqref="L59">
    <cfRule type="expression" dxfId="2" priority="3">
      <formula>RDSON_sense=1</formula>
    </cfRule>
  </conditionalFormatting>
  <conditionalFormatting sqref="A42:F42">
    <cfRule type="expression" dxfId="1" priority="2">
      <formula>RDSON_sense=0</formula>
    </cfRule>
  </conditionalFormatting>
  <conditionalFormatting sqref="I42:L42">
    <cfRule type="expression" dxfId="0" priority="1">
      <formula>RDSON_sense=0</formula>
    </cfRule>
  </conditionalFormatting>
  <printOptions horizontalCentered="1"/>
  <pageMargins left="0.23" right="0.23" top="0.7" bottom="0.61" header="0.3" footer="0.5"/>
  <pageSetup scale="84" fitToHeight="2" orientation="landscape" r:id="rId1"/>
  <headerFooter alignWithMargins="0"/>
  <rowBreaks count="1" manualBreakCount="1">
    <brk id="34" max="9" man="1"/>
  </rowBreaks>
  <ignoredErrors>
    <ignoredError sqref="L59" 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673839" r:id="rId4" name="Drop Down 47">
              <controlPr defaultSize="0" autoLine="0" autoPict="0">
                <anchor moveWithCells="1">
                  <from>
                    <xdr:col>7</xdr:col>
                    <xdr:colOff>0</xdr:colOff>
                    <xdr:row>48</xdr:row>
                    <xdr:rowOff>0</xdr:rowOff>
                  </from>
                  <to>
                    <xdr:col>8</xdr:col>
                    <xdr:colOff>0</xdr:colOff>
                    <xdr:row>48</xdr:row>
                    <xdr:rowOff>200025</xdr:rowOff>
                  </to>
                </anchor>
              </controlPr>
            </control>
          </mc:Choice>
        </mc:AlternateContent>
        <mc:AlternateContent xmlns:mc="http://schemas.openxmlformats.org/markup-compatibility/2006">
          <mc:Choice Requires="x14">
            <control shapeId="673840" r:id="rId5" name="Drop Down 48">
              <controlPr defaultSize="0" autoLine="0" autoPict="0">
                <anchor moveWithCells="1">
                  <from>
                    <xdr:col>7</xdr:col>
                    <xdr:colOff>0</xdr:colOff>
                    <xdr:row>49</xdr:row>
                    <xdr:rowOff>0</xdr:rowOff>
                  </from>
                  <to>
                    <xdr:col>8</xdr:col>
                    <xdr:colOff>0</xdr:colOff>
                    <xdr:row>49</xdr:row>
                    <xdr:rowOff>200025</xdr:rowOff>
                  </to>
                </anchor>
              </controlPr>
            </control>
          </mc:Choice>
        </mc:AlternateContent>
        <mc:AlternateContent xmlns:mc="http://schemas.openxmlformats.org/markup-compatibility/2006">
          <mc:Choice Requires="x14">
            <control shapeId="673855" r:id="rId6" name="Drop Down 63">
              <controlPr defaultSize="0" autoLine="0" autoPict="0">
                <anchor moveWithCells="1">
                  <from>
                    <xdr:col>7</xdr:col>
                    <xdr:colOff>0</xdr:colOff>
                    <xdr:row>37</xdr:row>
                    <xdr:rowOff>0</xdr:rowOff>
                  </from>
                  <to>
                    <xdr:col>7</xdr:col>
                    <xdr:colOff>876300</xdr:colOff>
                    <xdr:row>37</xdr:row>
                    <xdr:rowOff>200025</xdr:rowOff>
                  </to>
                </anchor>
              </controlPr>
            </control>
          </mc:Choice>
        </mc:AlternateContent>
        <mc:AlternateContent xmlns:mc="http://schemas.openxmlformats.org/markup-compatibility/2006">
          <mc:Choice Requires="x14">
            <control shapeId="673857" r:id="rId7" name="Drop Down 65">
              <controlPr defaultSize="0" autoLine="0" autoPict="0">
                <anchor moveWithCells="1">
                  <from>
                    <xdr:col>7</xdr:col>
                    <xdr:colOff>0</xdr:colOff>
                    <xdr:row>38</xdr:row>
                    <xdr:rowOff>0</xdr:rowOff>
                  </from>
                  <to>
                    <xdr:col>7</xdr:col>
                    <xdr:colOff>876300</xdr:colOff>
                    <xdr:row>38</xdr:row>
                    <xdr:rowOff>200025</xdr:rowOff>
                  </to>
                </anchor>
              </controlPr>
            </control>
          </mc:Choice>
        </mc:AlternateContent>
        <mc:AlternateContent xmlns:mc="http://schemas.openxmlformats.org/markup-compatibility/2006">
          <mc:Choice Requires="x14">
            <control shapeId="673858" r:id="rId8" name="Drop Down 66">
              <controlPr defaultSize="0" autoLine="0" autoPict="0">
                <anchor moveWithCells="1">
                  <from>
                    <xdr:col>7</xdr:col>
                    <xdr:colOff>0</xdr:colOff>
                    <xdr:row>39</xdr:row>
                    <xdr:rowOff>0</xdr:rowOff>
                  </from>
                  <to>
                    <xdr:col>7</xdr:col>
                    <xdr:colOff>876300</xdr:colOff>
                    <xdr:row>39</xdr:row>
                    <xdr:rowOff>200025</xdr:rowOff>
                  </to>
                </anchor>
              </controlPr>
            </control>
          </mc:Choice>
        </mc:AlternateContent>
        <mc:AlternateContent xmlns:mc="http://schemas.openxmlformats.org/markup-compatibility/2006">
          <mc:Choice Requires="x14">
            <control shapeId="673859" r:id="rId9" name="Drop Down 67">
              <controlPr defaultSize="0" autoLine="0" autoPict="0">
                <anchor moveWithCells="1">
                  <from>
                    <xdr:col>7</xdr:col>
                    <xdr:colOff>0</xdr:colOff>
                    <xdr:row>40</xdr:row>
                    <xdr:rowOff>0</xdr:rowOff>
                  </from>
                  <to>
                    <xdr:col>7</xdr:col>
                    <xdr:colOff>876300</xdr:colOff>
                    <xdr:row>40</xdr:row>
                    <xdr:rowOff>200025</xdr:rowOff>
                  </to>
                </anchor>
              </controlPr>
            </control>
          </mc:Choice>
        </mc:AlternateContent>
        <mc:AlternateContent xmlns:mc="http://schemas.openxmlformats.org/markup-compatibility/2006">
          <mc:Choice Requires="x14">
            <control shapeId="673860" r:id="rId10" name="Drop Down 68">
              <controlPr defaultSize="0" autoLine="0" autoPict="0">
                <anchor moveWithCells="1">
                  <from>
                    <xdr:col>7</xdr:col>
                    <xdr:colOff>0</xdr:colOff>
                    <xdr:row>41</xdr:row>
                    <xdr:rowOff>0</xdr:rowOff>
                  </from>
                  <to>
                    <xdr:col>7</xdr:col>
                    <xdr:colOff>876300</xdr:colOff>
                    <xdr:row>41</xdr:row>
                    <xdr:rowOff>200025</xdr:rowOff>
                  </to>
                </anchor>
              </controlPr>
            </control>
          </mc:Choice>
        </mc:AlternateContent>
        <mc:AlternateContent xmlns:mc="http://schemas.openxmlformats.org/markup-compatibility/2006">
          <mc:Choice Requires="x14">
            <control shapeId="673861" r:id="rId11" name="Drop Down 69">
              <controlPr defaultSize="0" autoLine="0" autoPict="0">
                <anchor moveWithCells="1">
                  <from>
                    <xdr:col>7</xdr:col>
                    <xdr:colOff>0</xdr:colOff>
                    <xdr:row>44</xdr:row>
                    <xdr:rowOff>0</xdr:rowOff>
                  </from>
                  <to>
                    <xdr:col>7</xdr:col>
                    <xdr:colOff>876300</xdr:colOff>
                    <xdr:row>44</xdr:row>
                    <xdr:rowOff>200025</xdr:rowOff>
                  </to>
                </anchor>
              </controlPr>
            </control>
          </mc:Choice>
        </mc:AlternateContent>
        <mc:AlternateContent xmlns:mc="http://schemas.openxmlformats.org/markup-compatibility/2006">
          <mc:Choice Requires="x14">
            <control shapeId="673862" r:id="rId12" name="Drop Down 70">
              <controlPr defaultSize="0" autoLine="0" autoPict="0">
                <anchor moveWithCells="1">
                  <from>
                    <xdr:col>7</xdr:col>
                    <xdr:colOff>0</xdr:colOff>
                    <xdr:row>45</xdr:row>
                    <xdr:rowOff>0</xdr:rowOff>
                  </from>
                  <to>
                    <xdr:col>7</xdr:col>
                    <xdr:colOff>876300</xdr:colOff>
                    <xdr:row>45</xdr:row>
                    <xdr:rowOff>200025</xdr:rowOff>
                  </to>
                </anchor>
              </controlPr>
            </control>
          </mc:Choice>
        </mc:AlternateContent>
        <mc:AlternateContent xmlns:mc="http://schemas.openxmlformats.org/markup-compatibility/2006">
          <mc:Choice Requires="x14">
            <control shapeId="673863" r:id="rId13" name="Drop Down 71">
              <controlPr defaultSize="0" autoLine="0" autoPict="0">
                <anchor moveWithCells="1">
                  <from>
                    <xdr:col>7</xdr:col>
                    <xdr:colOff>0</xdr:colOff>
                    <xdr:row>46</xdr:row>
                    <xdr:rowOff>0</xdr:rowOff>
                  </from>
                  <to>
                    <xdr:col>7</xdr:col>
                    <xdr:colOff>876300</xdr:colOff>
                    <xdr:row>46</xdr:row>
                    <xdr:rowOff>200025</xdr:rowOff>
                  </to>
                </anchor>
              </controlPr>
            </control>
          </mc:Choice>
        </mc:AlternateContent>
        <mc:AlternateContent xmlns:mc="http://schemas.openxmlformats.org/markup-compatibility/2006">
          <mc:Choice Requires="x14">
            <control shapeId="673865" r:id="rId14" name="Drop Down 73">
              <controlPr defaultSize="0" autoLine="0" autoPict="0">
                <anchor moveWithCells="1">
                  <from>
                    <xdr:col>7</xdr:col>
                    <xdr:colOff>0</xdr:colOff>
                    <xdr:row>51</xdr:row>
                    <xdr:rowOff>0</xdr:rowOff>
                  </from>
                  <to>
                    <xdr:col>7</xdr:col>
                    <xdr:colOff>876300</xdr:colOff>
                    <xdr:row>51</xdr:row>
                    <xdr:rowOff>200025</xdr:rowOff>
                  </to>
                </anchor>
              </controlPr>
            </control>
          </mc:Choice>
        </mc:AlternateContent>
        <mc:AlternateContent xmlns:mc="http://schemas.openxmlformats.org/markup-compatibility/2006">
          <mc:Choice Requires="x14">
            <control shapeId="673866" r:id="rId15" name="Drop Down 74">
              <controlPr defaultSize="0" autoLine="0" autoPict="0">
                <anchor moveWithCells="1">
                  <from>
                    <xdr:col>7</xdr:col>
                    <xdr:colOff>0</xdr:colOff>
                    <xdr:row>52</xdr:row>
                    <xdr:rowOff>0</xdr:rowOff>
                  </from>
                  <to>
                    <xdr:col>7</xdr:col>
                    <xdr:colOff>876300</xdr:colOff>
                    <xdr:row>52</xdr:row>
                    <xdr:rowOff>200025</xdr:rowOff>
                  </to>
                </anchor>
              </controlPr>
            </control>
          </mc:Choice>
        </mc:AlternateContent>
        <mc:AlternateContent xmlns:mc="http://schemas.openxmlformats.org/markup-compatibility/2006">
          <mc:Choice Requires="x14">
            <control shapeId="673867" r:id="rId16" name="Drop Down 75">
              <controlPr defaultSize="0" autoLine="0" autoPict="0">
                <anchor moveWithCells="1">
                  <from>
                    <xdr:col>7</xdr:col>
                    <xdr:colOff>0</xdr:colOff>
                    <xdr:row>53</xdr:row>
                    <xdr:rowOff>0</xdr:rowOff>
                  </from>
                  <to>
                    <xdr:col>7</xdr:col>
                    <xdr:colOff>876300</xdr:colOff>
                    <xdr:row>53</xdr:row>
                    <xdr:rowOff>200025</xdr:rowOff>
                  </to>
                </anchor>
              </controlPr>
            </control>
          </mc:Choice>
        </mc:AlternateContent>
        <mc:AlternateContent xmlns:mc="http://schemas.openxmlformats.org/markup-compatibility/2006">
          <mc:Choice Requires="x14">
            <control shapeId="673868" r:id="rId17" name="Drop Down 76">
              <controlPr defaultSize="0" autoLine="0" autoPict="0">
                <anchor moveWithCells="1">
                  <from>
                    <xdr:col>7</xdr:col>
                    <xdr:colOff>0</xdr:colOff>
                    <xdr:row>54</xdr:row>
                    <xdr:rowOff>0</xdr:rowOff>
                  </from>
                  <to>
                    <xdr:col>7</xdr:col>
                    <xdr:colOff>876300</xdr:colOff>
                    <xdr:row>54</xdr:row>
                    <xdr:rowOff>200025</xdr:rowOff>
                  </to>
                </anchor>
              </controlPr>
            </control>
          </mc:Choice>
        </mc:AlternateContent>
        <mc:AlternateContent xmlns:mc="http://schemas.openxmlformats.org/markup-compatibility/2006">
          <mc:Choice Requires="x14">
            <control shapeId="673869" r:id="rId18" name="Drop Down 77">
              <controlPr defaultSize="0" autoLine="0" autoPict="0">
                <anchor moveWithCells="1">
                  <from>
                    <xdr:col>7</xdr:col>
                    <xdr:colOff>0</xdr:colOff>
                    <xdr:row>55</xdr:row>
                    <xdr:rowOff>0</xdr:rowOff>
                  </from>
                  <to>
                    <xdr:col>7</xdr:col>
                    <xdr:colOff>876300</xdr:colOff>
                    <xdr:row>55</xdr:row>
                    <xdr:rowOff>200025</xdr:rowOff>
                  </to>
                </anchor>
              </controlPr>
            </control>
          </mc:Choice>
        </mc:AlternateContent>
        <mc:AlternateContent xmlns:mc="http://schemas.openxmlformats.org/markup-compatibility/2006">
          <mc:Choice Requires="x14">
            <control shapeId="673870" r:id="rId19" name="Drop Down 78">
              <controlPr defaultSize="0" autoLine="0" autoPict="0">
                <anchor moveWithCells="1">
                  <from>
                    <xdr:col>7</xdr:col>
                    <xdr:colOff>0</xdr:colOff>
                    <xdr:row>56</xdr:row>
                    <xdr:rowOff>0</xdr:rowOff>
                  </from>
                  <to>
                    <xdr:col>7</xdr:col>
                    <xdr:colOff>876300</xdr:colOff>
                    <xdr:row>56</xdr:row>
                    <xdr:rowOff>200025</xdr:rowOff>
                  </to>
                </anchor>
              </controlPr>
            </control>
          </mc:Choice>
        </mc:AlternateContent>
        <mc:AlternateContent xmlns:mc="http://schemas.openxmlformats.org/markup-compatibility/2006">
          <mc:Choice Requires="x14">
            <control shapeId="673871" r:id="rId20" name="Drop Down 79">
              <controlPr defaultSize="0" autoLine="0" autoPict="0">
                <anchor moveWithCells="1">
                  <from>
                    <xdr:col>7</xdr:col>
                    <xdr:colOff>0</xdr:colOff>
                    <xdr:row>57</xdr:row>
                    <xdr:rowOff>0</xdr:rowOff>
                  </from>
                  <to>
                    <xdr:col>7</xdr:col>
                    <xdr:colOff>876300</xdr:colOff>
                    <xdr:row>57</xdr:row>
                    <xdr:rowOff>200025</xdr:rowOff>
                  </to>
                </anchor>
              </controlPr>
            </control>
          </mc:Choice>
        </mc:AlternateContent>
        <mc:AlternateContent xmlns:mc="http://schemas.openxmlformats.org/markup-compatibility/2006">
          <mc:Choice Requires="x14">
            <control shapeId="673872" r:id="rId21" name="Drop Down 80">
              <controlPr defaultSize="0" autoLine="0" autoPict="0">
                <anchor moveWithCells="1">
                  <from>
                    <xdr:col>7</xdr:col>
                    <xdr:colOff>0</xdr:colOff>
                    <xdr:row>59</xdr:row>
                    <xdr:rowOff>0</xdr:rowOff>
                  </from>
                  <to>
                    <xdr:col>7</xdr:col>
                    <xdr:colOff>876300</xdr:colOff>
                    <xdr:row>59</xdr:row>
                    <xdr:rowOff>200025</xdr:rowOff>
                  </to>
                </anchor>
              </controlPr>
            </control>
          </mc:Choice>
        </mc:AlternateContent>
        <mc:AlternateContent xmlns:mc="http://schemas.openxmlformats.org/markup-compatibility/2006">
          <mc:Choice Requires="x14">
            <control shapeId="673873" r:id="rId22" name="Drop Down 81">
              <controlPr defaultSize="0" autoLine="0" autoPict="0">
                <anchor moveWithCells="1">
                  <from>
                    <xdr:col>7</xdr:col>
                    <xdr:colOff>0</xdr:colOff>
                    <xdr:row>60</xdr:row>
                    <xdr:rowOff>0</xdr:rowOff>
                  </from>
                  <to>
                    <xdr:col>7</xdr:col>
                    <xdr:colOff>876300</xdr:colOff>
                    <xdr:row>60</xdr:row>
                    <xdr:rowOff>200025</xdr:rowOff>
                  </to>
                </anchor>
              </controlPr>
            </control>
          </mc:Choice>
        </mc:AlternateContent>
        <mc:AlternateContent xmlns:mc="http://schemas.openxmlformats.org/markup-compatibility/2006">
          <mc:Choice Requires="x14">
            <control shapeId="673874" r:id="rId23" name="Drop Down 82">
              <controlPr defaultSize="0" autoLine="0" autoPict="0">
                <anchor moveWithCells="1">
                  <from>
                    <xdr:col>7</xdr:col>
                    <xdr:colOff>0</xdr:colOff>
                    <xdr:row>61</xdr:row>
                    <xdr:rowOff>0</xdr:rowOff>
                  </from>
                  <to>
                    <xdr:col>7</xdr:col>
                    <xdr:colOff>876300</xdr:colOff>
                    <xdr:row>61</xdr:row>
                    <xdr:rowOff>200025</xdr:rowOff>
                  </to>
                </anchor>
              </controlPr>
            </control>
          </mc:Choice>
        </mc:AlternateContent>
        <mc:AlternateContent xmlns:mc="http://schemas.openxmlformats.org/markup-compatibility/2006">
          <mc:Choice Requires="x14">
            <control shapeId="673877" r:id="rId24" name="Drop Down 85">
              <controlPr defaultSize="0" autoLine="0" autoPict="0">
                <anchor moveWithCells="1">
                  <from>
                    <xdr:col>7</xdr:col>
                    <xdr:colOff>0</xdr:colOff>
                    <xdr:row>47</xdr:row>
                    <xdr:rowOff>0</xdr:rowOff>
                  </from>
                  <to>
                    <xdr:col>7</xdr:col>
                    <xdr:colOff>876300</xdr:colOff>
                    <xdr:row>47</xdr:row>
                    <xdr:rowOff>200025</xdr:rowOff>
                  </to>
                </anchor>
              </controlPr>
            </control>
          </mc:Choice>
        </mc:AlternateContent>
        <mc:AlternateContent xmlns:mc="http://schemas.openxmlformats.org/markup-compatibility/2006">
          <mc:Choice Requires="x14">
            <control shapeId="673878" r:id="rId25" name="Drop Down 86">
              <controlPr defaultSize="0" autoLine="0" autoPict="0">
                <anchor moveWithCells="1">
                  <from>
                    <xdr:col>7</xdr:col>
                    <xdr:colOff>0</xdr:colOff>
                    <xdr:row>42</xdr:row>
                    <xdr:rowOff>0</xdr:rowOff>
                  </from>
                  <to>
                    <xdr:col>7</xdr:col>
                    <xdr:colOff>876300</xdr:colOff>
                    <xdr:row>42</xdr:row>
                    <xdr:rowOff>200025</xdr:rowOff>
                  </to>
                </anchor>
              </controlPr>
            </control>
          </mc:Choice>
        </mc:AlternateContent>
        <mc:AlternateContent xmlns:mc="http://schemas.openxmlformats.org/markup-compatibility/2006">
          <mc:Choice Requires="x14">
            <control shapeId="673879" r:id="rId26" name="Drop Down 87">
              <controlPr defaultSize="0" autoLine="0" autoPict="0">
                <anchor moveWithCells="1">
                  <from>
                    <xdr:col>7</xdr:col>
                    <xdr:colOff>0</xdr:colOff>
                    <xdr:row>43</xdr:row>
                    <xdr:rowOff>0</xdr:rowOff>
                  </from>
                  <to>
                    <xdr:col>7</xdr:col>
                    <xdr:colOff>876300</xdr:colOff>
                    <xdr:row>43</xdr:row>
                    <xdr:rowOff>200025</xdr:rowOff>
                  </to>
                </anchor>
              </controlPr>
            </control>
          </mc:Choice>
        </mc:AlternateContent>
        <mc:AlternateContent xmlns:mc="http://schemas.openxmlformats.org/markup-compatibility/2006">
          <mc:Choice Requires="x14">
            <control shapeId="674328" r:id="rId27" name="Drop Down 536">
              <controlPr defaultSize="0" autoLine="0" autoPict="0">
                <anchor moveWithCells="1">
                  <from>
                    <xdr:col>5</xdr:col>
                    <xdr:colOff>1171575</xdr:colOff>
                    <xdr:row>48</xdr:row>
                    <xdr:rowOff>9525</xdr:rowOff>
                  </from>
                  <to>
                    <xdr:col>6</xdr:col>
                    <xdr:colOff>638175</xdr:colOff>
                    <xdr:row>49</xdr:row>
                    <xdr:rowOff>0</xdr:rowOff>
                  </to>
                </anchor>
              </controlPr>
            </control>
          </mc:Choice>
        </mc:AlternateContent>
        <mc:AlternateContent xmlns:mc="http://schemas.openxmlformats.org/markup-compatibility/2006">
          <mc:Choice Requires="x14">
            <control shapeId="674330" r:id="rId28" name="Drop Down 538">
              <controlPr defaultSize="0" autoLine="0" autoPict="0">
                <anchor moveWithCells="1">
                  <from>
                    <xdr:col>5</xdr:col>
                    <xdr:colOff>1171575</xdr:colOff>
                    <xdr:row>49</xdr:row>
                    <xdr:rowOff>0</xdr:rowOff>
                  </from>
                  <to>
                    <xdr:col>6</xdr:col>
                    <xdr:colOff>638175</xdr:colOff>
                    <xdr:row>49</xdr:row>
                    <xdr:rowOff>200025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FF00"/>
    <pageSetUpPr fitToPage="1"/>
  </sheetPr>
  <dimension ref="A1:Y129"/>
  <sheetViews>
    <sheetView zoomScale="85" zoomScaleNormal="85" zoomScaleSheetLayoutView="80" workbookViewId="0">
      <selection activeCell="AD89" sqref="AD89"/>
    </sheetView>
  </sheetViews>
  <sheetFormatPr defaultColWidth="9.140625" defaultRowHeight="12.75" x14ac:dyDescent="0.2"/>
  <cols>
    <col min="1" max="13" width="9.140625" style="492"/>
    <col min="14" max="14" width="11.85546875" style="492" customWidth="1"/>
    <col min="15" max="16" width="9.140625" style="492"/>
    <col min="17" max="17" width="15.7109375" style="492" customWidth="1"/>
    <col min="18" max="16384" width="9.140625" style="492"/>
  </cols>
  <sheetData>
    <row r="1" spans="1:23" s="491" customFormat="1" ht="47.25" customHeight="1" x14ac:dyDescent="0.2">
      <c r="A1" s="560" t="s">
        <v>740</v>
      </c>
      <c r="B1" s="561"/>
      <c r="C1" s="561"/>
      <c r="D1" s="561"/>
      <c r="E1" s="561"/>
      <c r="F1" s="561"/>
      <c r="G1" s="561"/>
      <c r="H1" s="561"/>
      <c r="I1" s="561"/>
      <c r="J1" s="561"/>
      <c r="K1" s="561"/>
      <c r="L1" s="561"/>
      <c r="M1" s="561"/>
      <c r="N1" s="561"/>
      <c r="O1" s="561"/>
      <c r="P1" s="561"/>
      <c r="Q1" s="561"/>
    </row>
    <row r="2" spans="1:23" ht="20.25" x14ac:dyDescent="0.3">
      <c r="M2" s="493"/>
      <c r="W2" s="493"/>
    </row>
    <row r="3" spans="1:23" ht="20.25" x14ac:dyDescent="0.3">
      <c r="B3" s="493" t="s">
        <v>737</v>
      </c>
    </row>
    <row r="5" spans="1:23" ht="20.25" x14ac:dyDescent="0.2">
      <c r="O5" s="494"/>
    </row>
    <row r="6" spans="1:23" ht="20.25" x14ac:dyDescent="0.2">
      <c r="O6" s="494"/>
    </row>
    <row r="31" spans="15:15" ht="20.25" x14ac:dyDescent="0.2">
      <c r="O31" s="495"/>
    </row>
    <row r="32" spans="15:15" ht="20.25" x14ac:dyDescent="0.2">
      <c r="O32" s="494"/>
    </row>
    <row r="46" spans="2:2" ht="20.25" x14ac:dyDescent="0.3">
      <c r="B46" s="493" t="s">
        <v>749</v>
      </c>
    </row>
    <row r="50" spans="15:25" ht="20.25" x14ac:dyDescent="0.2">
      <c r="O50" s="494" t="s">
        <v>750</v>
      </c>
    </row>
    <row r="51" spans="15:25" ht="20.25" x14ac:dyDescent="0.2">
      <c r="O51" s="494" t="s">
        <v>751</v>
      </c>
      <c r="Y51" s="492" t="s">
        <v>738</v>
      </c>
    </row>
    <row r="76" spans="15:15" ht="20.25" x14ac:dyDescent="0.2">
      <c r="O76" s="495" t="s">
        <v>752</v>
      </c>
    </row>
    <row r="77" spans="15:15" ht="20.25" x14ac:dyDescent="0.2">
      <c r="O77" s="494"/>
    </row>
    <row r="102" spans="15:15" ht="20.25" x14ac:dyDescent="0.2">
      <c r="O102" s="495" t="s">
        <v>753</v>
      </c>
    </row>
    <row r="129" spans="15:15" ht="20.25" x14ac:dyDescent="0.2">
      <c r="O129" s="494" t="s">
        <v>754</v>
      </c>
    </row>
  </sheetData>
  <sheetProtection algorithmName="SHA-512" hashValue="mfqg14JXM7eQdMxfIbAbyQXXoLaBzh7E+vHpbegv5G7PmoVFz5ldxzWC/I3iiTlNv+ZGdrk2NJefeD8Bt6E9aQ==" saltValue="vwGsBJHwmwVGMufLkpoxbQ==" spinCount="100000" sheet="1" objects="1" scenarios="1" selectLockedCells="1"/>
  <mergeCells count="1">
    <mergeCell ref="A1:Q1"/>
  </mergeCells>
  <pageMargins left="0.19" right="0.2" top="0.75" bottom="0.75" header="0.3" footer="0.3"/>
  <pageSetup scale="30"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V349"/>
  <sheetViews>
    <sheetView workbookViewId="0">
      <pane ySplit="5" topLeftCell="A195" activePane="bottomLeft" state="frozenSplit"/>
      <selection pane="bottomLeft" activeCell="B211" sqref="B211"/>
    </sheetView>
  </sheetViews>
  <sheetFormatPr defaultRowHeight="12.75" x14ac:dyDescent="0.2"/>
  <cols>
    <col min="1" max="1" width="35.140625" bestFit="1" customWidth="1"/>
    <col min="2" max="2" width="19.140625" customWidth="1"/>
    <col min="7" max="7" width="18.85546875" customWidth="1"/>
    <col min="9" max="10" width="12.42578125" bestFit="1" customWidth="1"/>
    <col min="12" max="12" width="19.85546875" customWidth="1"/>
    <col min="14" max="14" width="11.42578125" customWidth="1"/>
    <col min="17" max="17" width="10.5703125" customWidth="1"/>
    <col min="20" max="20" width="10.85546875" customWidth="1"/>
    <col min="21" max="21" width="10.5703125" customWidth="1"/>
  </cols>
  <sheetData>
    <row r="1" spans="1:22" ht="40.5" customHeight="1" x14ac:dyDescent="0.4">
      <c r="A1" s="563" t="s">
        <v>285</v>
      </c>
      <c r="B1" s="563"/>
      <c r="C1" s="563"/>
      <c r="D1" s="563"/>
      <c r="E1" s="563"/>
      <c r="F1" s="563"/>
      <c r="G1" s="563"/>
      <c r="H1" s="563"/>
    </row>
    <row r="2" spans="1:22" ht="12" customHeight="1" x14ac:dyDescent="0.2">
      <c r="A2" s="56"/>
      <c r="B2" s="56" t="s">
        <v>359</v>
      </c>
      <c r="C2" s="64"/>
      <c r="D2" s="56"/>
      <c r="E2" s="56"/>
      <c r="F2" s="56"/>
      <c r="G2" s="56"/>
      <c r="H2" s="56"/>
    </row>
    <row r="3" spans="1:22" ht="11.25" customHeight="1" x14ac:dyDescent="0.2">
      <c r="A3" s="56"/>
      <c r="B3" s="56" t="s">
        <v>419</v>
      </c>
      <c r="C3" s="65"/>
      <c r="D3" s="56"/>
      <c r="E3" s="56"/>
      <c r="F3" s="56"/>
      <c r="G3" s="56"/>
      <c r="H3" s="56"/>
    </row>
    <row r="4" spans="1:22" ht="11.25" customHeight="1" x14ac:dyDescent="0.2">
      <c r="A4" s="56"/>
      <c r="B4" s="56" t="s">
        <v>360</v>
      </c>
      <c r="C4" s="66"/>
      <c r="D4" s="56"/>
      <c r="E4" s="56"/>
      <c r="F4" s="56"/>
      <c r="G4" s="56"/>
      <c r="H4" s="56"/>
    </row>
    <row r="5" spans="1:22" x14ac:dyDescent="0.2">
      <c r="A5" s="2" t="s">
        <v>113</v>
      </c>
      <c r="B5" s="2" t="s">
        <v>8</v>
      </c>
      <c r="C5" s="2" t="s">
        <v>9</v>
      </c>
      <c r="D5" s="562" t="s">
        <v>13</v>
      </c>
      <c r="E5" s="562"/>
      <c r="F5" s="562"/>
      <c r="G5" s="562"/>
      <c r="H5" s="2" t="s">
        <v>38</v>
      </c>
    </row>
    <row r="6" spans="1:22" ht="16.5" thickBot="1" x14ac:dyDescent="0.3">
      <c r="A6" s="133" t="s">
        <v>287</v>
      </c>
      <c r="B6" s="2"/>
      <c r="C6" s="2"/>
      <c r="D6" s="56"/>
      <c r="E6" s="56"/>
      <c r="F6" s="56"/>
      <c r="G6" s="56"/>
      <c r="H6" s="2"/>
    </row>
    <row r="7" spans="1:22" x14ac:dyDescent="0.2">
      <c r="A7" s="134" t="s">
        <v>4</v>
      </c>
      <c r="B7" s="18">
        <f>'Design Regulator'!E7</f>
        <v>15</v>
      </c>
      <c r="C7" s="94" t="s">
        <v>0</v>
      </c>
      <c r="D7" s="94" t="s">
        <v>14</v>
      </c>
      <c r="E7" s="94"/>
      <c r="F7" s="94"/>
      <c r="G7" s="94"/>
      <c r="H7" s="95">
        <v>1</v>
      </c>
      <c r="U7" s="427" t="s">
        <v>744</v>
      </c>
      <c r="V7" s="499">
        <v>1</v>
      </c>
    </row>
    <row r="8" spans="1:22" x14ac:dyDescent="0.2">
      <c r="A8" s="388" t="s">
        <v>570</v>
      </c>
      <c r="B8" s="39">
        <f>'Design Regulator'!E6</f>
        <v>14</v>
      </c>
      <c r="C8" s="171" t="s">
        <v>0</v>
      </c>
      <c r="D8" s="171" t="s">
        <v>573</v>
      </c>
      <c r="H8" s="88"/>
      <c r="U8" s="427" t="s">
        <v>745</v>
      </c>
      <c r="V8" s="499">
        <v>2</v>
      </c>
    </row>
    <row r="9" spans="1:22" x14ac:dyDescent="0.2">
      <c r="A9" s="388" t="s">
        <v>569</v>
      </c>
      <c r="B9" s="39">
        <f>'Design Regulator'!E8</f>
        <v>16</v>
      </c>
      <c r="C9" s="171" t="s">
        <v>0</v>
      </c>
      <c r="D9" s="171" t="s">
        <v>574</v>
      </c>
      <c r="H9" s="88"/>
      <c r="U9" s="427" t="s">
        <v>746</v>
      </c>
      <c r="V9" s="499">
        <v>3</v>
      </c>
    </row>
    <row r="10" spans="1:22" x14ac:dyDescent="0.2">
      <c r="A10" s="87" t="s">
        <v>5</v>
      </c>
      <c r="B10" s="39">
        <f>'Design Regulator'!E9</f>
        <v>5.0999999999999996</v>
      </c>
      <c r="C10" t="s">
        <v>0</v>
      </c>
      <c r="D10" t="s">
        <v>1</v>
      </c>
      <c r="H10" s="88">
        <v>1</v>
      </c>
      <c r="U10" s="427" t="s">
        <v>747</v>
      </c>
      <c r="V10" s="499">
        <v>4</v>
      </c>
    </row>
    <row r="11" spans="1:22" x14ac:dyDescent="0.2">
      <c r="A11" s="87" t="s">
        <v>6</v>
      </c>
      <c r="B11" s="39">
        <f>'Design Regulator'!E10</f>
        <v>2</v>
      </c>
      <c r="C11" t="s">
        <v>2</v>
      </c>
      <c r="D11" t="s">
        <v>15</v>
      </c>
      <c r="H11" s="88">
        <v>1</v>
      </c>
      <c r="U11" s="427" t="s">
        <v>736</v>
      </c>
      <c r="V11" s="499">
        <v>5</v>
      </c>
    </row>
    <row r="12" spans="1:22" x14ac:dyDescent="0.2">
      <c r="A12" s="89" t="s">
        <v>7</v>
      </c>
      <c r="B12" s="353">
        <f>IF(AND('Design Regulator'!E12&lt;='Design Regulator'!E11*1.5, 'Design Regulator'!E12&gt;='Design Regulator'!E11*0.8), 'Design Regulator'!E12*1000, 'Design Regulator'!E11*1000)</f>
        <v>500000</v>
      </c>
      <c r="C12" s="171" t="s">
        <v>10</v>
      </c>
      <c r="D12" t="s">
        <v>16</v>
      </c>
      <c r="H12" s="88">
        <v>1</v>
      </c>
      <c r="T12" s="383" t="s">
        <v>741</v>
      </c>
      <c r="U12" s="500" t="str">
        <f>CHOOSE(VARIANT, "LM5145", "LM5145-Q1", "LM25145", "LM5146", "LM5146-Q1")</f>
        <v>LM5146</v>
      </c>
      <c r="V12" s="383">
        <v>4</v>
      </c>
    </row>
    <row r="13" spans="1:22" x14ac:dyDescent="0.2">
      <c r="A13" s="388" t="s">
        <v>702</v>
      </c>
      <c r="B13" s="353">
        <f>'Design Regulator'!E11*1000</f>
        <v>500000</v>
      </c>
      <c r="C13" s="171" t="s">
        <v>10</v>
      </c>
      <c r="D13" s="171" t="s">
        <v>703</v>
      </c>
      <c r="H13" s="88"/>
      <c r="T13" s="383" t="s">
        <v>742</v>
      </c>
      <c r="U13" s="500">
        <f>CHOOSE(VARIANT, 75, 75, 42, 100, 100)</f>
        <v>100</v>
      </c>
      <c r="V13" t="s">
        <v>0</v>
      </c>
    </row>
    <row r="14" spans="1:22" x14ac:dyDescent="0.2">
      <c r="A14" s="89" t="s">
        <v>78</v>
      </c>
      <c r="B14" s="90">
        <v>0.8</v>
      </c>
      <c r="C14" t="s">
        <v>0</v>
      </c>
      <c r="D14" t="s">
        <v>79</v>
      </c>
      <c r="H14" s="88"/>
      <c r="T14" s="383" t="s">
        <v>748</v>
      </c>
      <c r="U14" s="500">
        <f>CHOOSE(VARIANT, 6, 6, 6, 5.5, 5.5)</f>
        <v>5.5</v>
      </c>
      <c r="V14" s="171" t="s">
        <v>0</v>
      </c>
    </row>
    <row r="15" spans="1:22" x14ac:dyDescent="0.2">
      <c r="A15" s="306" t="s">
        <v>568</v>
      </c>
      <c r="B15" s="166">
        <f>1/(B13*0.0000000001)</f>
        <v>20000</v>
      </c>
      <c r="C15" s="309" t="s">
        <v>208</v>
      </c>
      <c r="H15" s="88"/>
      <c r="T15" s="383" t="s">
        <v>743</v>
      </c>
      <c r="U15" s="500">
        <f>CHOOSE(VARIANT, 60, 60, 42, 60, 60)</f>
        <v>60</v>
      </c>
      <c r="V15" s="171" t="s">
        <v>0</v>
      </c>
    </row>
    <row r="16" spans="1:22" x14ac:dyDescent="0.2">
      <c r="A16" s="388"/>
      <c r="B16" s="63"/>
      <c r="C16" s="309"/>
      <c r="H16" s="88"/>
    </row>
    <row r="17" spans="1:22" x14ac:dyDescent="0.2">
      <c r="A17" s="388" t="s">
        <v>686</v>
      </c>
      <c r="B17" s="453">
        <f>B38/Fsw*1000000000</f>
        <v>648.67499999999995</v>
      </c>
      <c r="C17" s="171" t="s">
        <v>147</v>
      </c>
      <c r="H17" s="88"/>
    </row>
    <row r="18" spans="1:22" x14ac:dyDescent="0.2">
      <c r="A18" s="306" t="s">
        <v>685</v>
      </c>
      <c r="B18" s="454">
        <f>B37/Fsw*1000000000</f>
        <v>1258.6571428571431</v>
      </c>
      <c r="C18" s="171" t="s">
        <v>147</v>
      </c>
      <c r="H18" s="88"/>
    </row>
    <row r="19" spans="1:22" ht="13.5" thickBot="1" x14ac:dyDescent="0.25">
      <c r="A19" s="91"/>
      <c r="B19" s="157"/>
      <c r="C19" s="92"/>
      <c r="D19" s="92"/>
      <c r="E19" s="92"/>
      <c r="F19" s="92"/>
      <c r="G19" s="92"/>
      <c r="H19" s="93"/>
      <c r="U19" s="427" t="s">
        <v>760</v>
      </c>
      <c r="V19" s="173">
        <v>1</v>
      </c>
    </row>
    <row r="20" spans="1:22" x14ac:dyDescent="0.2">
      <c r="U20" s="427" t="s">
        <v>755</v>
      </c>
      <c r="V20" s="173">
        <v>2</v>
      </c>
    </row>
    <row r="21" spans="1:22" x14ac:dyDescent="0.2">
      <c r="U21" s="501" t="s">
        <v>756</v>
      </c>
      <c r="V21" s="383">
        <v>2</v>
      </c>
    </row>
    <row r="22" spans="1:22" ht="16.5" thickBot="1" x14ac:dyDescent="0.3">
      <c r="A22" s="133" t="s">
        <v>112</v>
      </c>
    </row>
    <row r="23" spans="1:22" x14ac:dyDescent="0.2">
      <c r="A23" s="135" t="s">
        <v>19</v>
      </c>
      <c r="B23" s="389">
        <f>Vout/Vin</f>
        <v>0.33999999999999997</v>
      </c>
      <c r="C23" s="94" t="s">
        <v>23</v>
      </c>
      <c r="D23" s="94" t="s">
        <v>17</v>
      </c>
      <c r="E23" s="94"/>
      <c r="F23" s="94"/>
      <c r="G23" s="94"/>
      <c r="H23" s="95">
        <v>1</v>
      </c>
    </row>
    <row r="24" spans="1:22" x14ac:dyDescent="0.2">
      <c r="A24" s="96" t="s">
        <v>20</v>
      </c>
      <c r="B24" s="391">
        <f>1-23:23</f>
        <v>0.66</v>
      </c>
      <c r="C24" t="s">
        <v>23</v>
      </c>
      <c r="D24" t="s">
        <v>18</v>
      </c>
      <c r="H24" s="88">
        <v>1</v>
      </c>
    </row>
    <row r="25" spans="1:22" x14ac:dyDescent="0.2">
      <c r="A25" s="392" t="s">
        <v>679</v>
      </c>
      <c r="B25" s="391">
        <f>Vout/Vinmin</f>
        <v>0.36428571428571427</v>
      </c>
      <c r="H25" s="88"/>
    </row>
    <row r="26" spans="1:22" x14ac:dyDescent="0.2">
      <c r="A26" s="392" t="s">
        <v>680</v>
      </c>
      <c r="B26" s="391">
        <f>1-B25</f>
        <v>0.63571428571428568</v>
      </c>
      <c r="H26" s="88"/>
    </row>
    <row r="27" spans="1:22" x14ac:dyDescent="0.2">
      <c r="A27" s="392" t="s">
        <v>572</v>
      </c>
      <c r="B27" s="391">
        <f>Vout/Vinmax</f>
        <v>0.31874999999999998</v>
      </c>
      <c r="H27" s="88"/>
    </row>
    <row r="28" spans="1:22" x14ac:dyDescent="0.2">
      <c r="A28" s="392" t="s">
        <v>571</v>
      </c>
      <c r="B28" s="391">
        <f>1-B27</f>
        <v>0.68125000000000002</v>
      </c>
      <c r="H28" s="88"/>
    </row>
    <row r="29" spans="1:22" x14ac:dyDescent="0.2">
      <c r="A29" s="392"/>
      <c r="B29" s="395"/>
      <c r="H29" s="88"/>
    </row>
    <row r="30" spans="1:22" x14ac:dyDescent="0.2">
      <c r="A30" s="96" t="s">
        <v>31</v>
      </c>
      <c r="B30" s="359">
        <f>(Vin-Vout)*_Don1/(Fsw*Iout*0.333)</f>
        <v>1.0108108108108107E-5</v>
      </c>
      <c r="C30" t="s">
        <v>24</v>
      </c>
      <c r="D30" t="s">
        <v>420</v>
      </c>
      <c r="H30" s="88">
        <v>1</v>
      </c>
    </row>
    <row r="31" spans="1:22" x14ac:dyDescent="0.2">
      <c r="A31" s="87" t="s">
        <v>32</v>
      </c>
      <c r="B31" s="114">
        <f>'Design Regulator'!E17/1000000</f>
        <v>1.5E-5</v>
      </c>
      <c r="C31" t="s">
        <v>24</v>
      </c>
      <c r="D31" s="171" t="s">
        <v>539</v>
      </c>
      <c r="H31" s="88">
        <v>2</v>
      </c>
    </row>
    <row r="32" spans="1:22" x14ac:dyDescent="0.2">
      <c r="A32" s="87" t="s">
        <v>12</v>
      </c>
      <c r="B32" s="39">
        <f>'Design Regulator'!E18/1000</f>
        <v>2.47E-2</v>
      </c>
      <c r="C32" s="309" t="s">
        <v>208</v>
      </c>
      <c r="D32" s="171" t="s">
        <v>418</v>
      </c>
      <c r="H32" s="88">
        <v>1</v>
      </c>
    </row>
    <row r="33" spans="1:18" x14ac:dyDescent="0.2">
      <c r="A33" s="387"/>
      <c r="C33" s="309"/>
      <c r="D33" s="171"/>
      <c r="H33" s="88"/>
    </row>
    <row r="34" spans="1:18" x14ac:dyDescent="0.2">
      <c r="A34" s="306" t="s">
        <v>21</v>
      </c>
      <c r="B34" s="452">
        <f>(Vout+(Rdcr+RdsonBot)*Iout)/(Vin+(RdsonBot-RdsonTop)*Iout)</f>
        <v>0.34595999999999999</v>
      </c>
      <c r="D34" s="2" t="s">
        <v>421</v>
      </c>
      <c r="H34" s="88">
        <v>2</v>
      </c>
    </row>
    <row r="35" spans="1:18" x14ac:dyDescent="0.2">
      <c r="A35" s="306" t="s">
        <v>22</v>
      </c>
      <c r="B35" s="452">
        <f>1-_Don2</f>
        <v>0.65403999999999995</v>
      </c>
      <c r="D35" s="2" t="s">
        <v>422</v>
      </c>
      <c r="H35" s="88">
        <v>2</v>
      </c>
    </row>
    <row r="36" spans="1:18" x14ac:dyDescent="0.2">
      <c r="A36" s="388" t="s">
        <v>681</v>
      </c>
      <c r="B36" s="452">
        <f>(Vout+(Rdcr+RdsonBot)*Iout)/(Vinmin+(RdsonBot-RdsonTop)*Iout)</f>
        <v>0.3706714285714286</v>
      </c>
      <c r="H36" s="88"/>
    </row>
    <row r="37" spans="1:18" x14ac:dyDescent="0.2">
      <c r="A37" s="388" t="s">
        <v>682</v>
      </c>
      <c r="B37" s="452">
        <f>1-B36</f>
        <v>0.62932857142857146</v>
      </c>
      <c r="H37" s="88"/>
    </row>
    <row r="38" spans="1:18" x14ac:dyDescent="0.2">
      <c r="A38" s="388" t="s">
        <v>683</v>
      </c>
      <c r="B38" s="452">
        <f>(Vout+(Rdcr+RdsonBot)*Iout)/(Vinmax+(RdsonBot-RdsonTop)*Iout)</f>
        <v>0.3243375</v>
      </c>
      <c r="H38" s="88"/>
      <c r="L38" s="466" t="s">
        <v>730</v>
      </c>
      <c r="M38" s="467">
        <v>100</v>
      </c>
      <c r="N38" s="468">
        <v>1</v>
      </c>
    </row>
    <row r="39" spans="1:18" x14ac:dyDescent="0.2">
      <c r="A39" s="388" t="s">
        <v>684</v>
      </c>
      <c r="B39" s="452">
        <f>1-B38</f>
        <v>0.67566250000000005</v>
      </c>
      <c r="H39" s="88"/>
      <c r="L39" s="466" t="s">
        <v>620</v>
      </c>
      <c r="M39" s="467">
        <v>47</v>
      </c>
      <c r="N39" s="468">
        <v>2</v>
      </c>
    </row>
    <row r="40" spans="1:18" x14ac:dyDescent="0.2">
      <c r="A40" s="392"/>
      <c r="B40" s="1"/>
      <c r="H40" s="88"/>
      <c r="L40" s="466" t="s">
        <v>622</v>
      </c>
      <c r="M40" s="467">
        <v>22</v>
      </c>
      <c r="N40" s="468">
        <v>3</v>
      </c>
    </row>
    <row r="41" spans="1:18" x14ac:dyDescent="0.2">
      <c r="A41" s="87" t="s">
        <v>26</v>
      </c>
      <c r="B41" s="98">
        <f>'Design Regulator'!E31/1000</f>
        <v>0.02</v>
      </c>
      <c r="C41" t="s">
        <v>0</v>
      </c>
      <c r="D41" t="s">
        <v>27</v>
      </c>
      <c r="H41" s="88">
        <v>1</v>
      </c>
      <c r="L41" s="466" t="s">
        <v>624</v>
      </c>
      <c r="M41" s="467">
        <v>22</v>
      </c>
      <c r="N41" s="468">
        <v>4</v>
      </c>
    </row>
    <row r="42" spans="1:18" x14ac:dyDescent="0.2">
      <c r="A42" s="99" t="s">
        <v>33</v>
      </c>
      <c r="B42" s="390">
        <f>(Vin-Vout)*_Don2/(Fsw*Lout2)</f>
        <v>0.4566672</v>
      </c>
      <c r="C42" t="s">
        <v>2</v>
      </c>
      <c r="D42" s="171" t="s">
        <v>540</v>
      </c>
      <c r="H42" s="88">
        <v>1</v>
      </c>
      <c r="L42" s="427" t="s">
        <v>649</v>
      </c>
      <c r="M42" s="467">
        <v>10</v>
      </c>
      <c r="N42" s="468">
        <v>5</v>
      </c>
    </row>
    <row r="43" spans="1:18" x14ac:dyDescent="0.2">
      <c r="A43" s="99" t="s">
        <v>410</v>
      </c>
      <c r="B43" s="390">
        <f>Rdcr*(1+0.0039*(F43-25))</f>
        <v>3.1924750000000002E-2</v>
      </c>
      <c r="C43" t="s">
        <v>25</v>
      </c>
      <c r="E43" t="s">
        <v>411</v>
      </c>
      <c r="F43">
        <v>100</v>
      </c>
      <c r="H43" s="88"/>
      <c r="L43" s="427" t="s">
        <v>650</v>
      </c>
      <c r="M43" s="467">
        <v>4.7</v>
      </c>
      <c r="N43" s="468">
        <v>6</v>
      </c>
    </row>
    <row r="44" spans="1:18" ht="13.5" thickBot="1" x14ac:dyDescent="0.25">
      <c r="A44" s="100" t="s">
        <v>355</v>
      </c>
      <c r="B44" s="101">
        <f>Lout2/Rdcr</f>
        <v>6.0728744939271258E-4</v>
      </c>
      <c r="C44" s="92" t="s">
        <v>265</v>
      </c>
      <c r="D44" s="92" t="s">
        <v>356</v>
      </c>
      <c r="E44" s="92"/>
      <c r="F44" s="92"/>
      <c r="G44" s="92"/>
      <c r="H44" s="93"/>
      <c r="L44" s="469" t="s">
        <v>706</v>
      </c>
      <c r="M44" s="470" t="str">
        <f>CHOOSE(N44,"100", "47","22","22","10", "4.7")</f>
        <v>47</v>
      </c>
      <c r="N44" s="383">
        <f>IF(Vout&lt;5, 1, IF(Vout&lt;=8, 2, IF(Vout&lt;=12, 3, IF(Vout&lt;=20, 4, IF(Vout&lt;=42, 5, 6)))))</f>
        <v>2</v>
      </c>
      <c r="Q44" s="430" t="s">
        <v>707</v>
      </c>
      <c r="R44" s="173">
        <v>1</v>
      </c>
    </row>
    <row r="45" spans="1:18" x14ac:dyDescent="0.2">
      <c r="A45" s="2"/>
      <c r="B45" s="1"/>
      <c r="Q45" s="430" t="s">
        <v>708</v>
      </c>
      <c r="R45" s="173">
        <v>2</v>
      </c>
    </row>
    <row r="46" spans="1:18" ht="16.5" thickBot="1" x14ac:dyDescent="0.3">
      <c r="A46" s="133" t="s">
        <v>275</v>
      </c>
      <c r="B46" s="1"/>
    </row>
    <row r="47" spans="1:18" x14ac:dyDescent="0.2">
      <c r="A47" s="136"/>
      <c r="B47" s="137"/>
      <c r="C47" s="94"/>
      <c r="D47" s="94"/>
      <c r="E47" s="94"/>
      <c r="F47" s="94"/>
      <c r="G47" s="94"/>
      <c r="H47" s="95"/>
    </row>
    <row r="48" spans="1:18" x14ac:dyDescent="0.2">
      <c r="A48" s="99"/>
      <c r="B48" s="165"/>
      <c r="H48" s="88"/>
      <c r="L48" s="430" t="s">
        <v>674</v>
      </c>
      <c r="M48" s="173">
        <v>1</v>
      </c>
      <c r="N48" s="430" t="s">
        <v>671</v>
      </c>
      <c r="O48" s="63">
        <v>30</v>
      </c>
    </row>
    <row r="49" spans="1:19" x14ac:dyDescent="0.2">
      <c r="A49" s="99" t="s">
        <v>603</v>
      </c>
      <c r="B49" s="165">
        <f>'Design Regulator'!E25</f>
        <v>2.6</v>
      </c>
      <c r="H49" s="88"/>
      <c r="L49" s="430" t="s">
        <v>675</v>
      </c>
      <c r="M49" s="173">
        <v>2</v>
      </c>
      <c r="N49" s="430" t="s">
        <v>672</v>
      </c>
      <c r="O49" s="63">
        <v>10.9</v>
      </c>
    </row>
    <row r="50" spans="1:19" x14ac:dyDescent="0.2">
      <c r="A50" s="87" t="s">
        <v>273</v>
      </c>
      <c r="B50" s="385">
        <f>'Design Regulator'!E25-Iripple1/2</f>
        <v>2.3716664000000001</v>
      </c>
      <c r="C50" t="s">
        <v>2</v>
      </c>
      <c r="D50" s="171" t="s">
        <v>575</v>
      </c>
      <c r="H50" s="88"/>
      <c r="L50" s="430" t="s">
        <v>676</v>
      </c>
      <c r="M50" s="173">
        <v>3</v>
      </c>
      <c r="N50" s="430" t="s">
        <v>678</v>
      </c>
      <c r="O50" s="63">
        <v>66</v>
      </c>
    </row>
    <row r="51" spans="1:19" x14ac:dyDescent="0.2">
      <c r="A51" s="388" t="s">
        <v>598</v>
      </c>
      <c r="B51" s="394">
        <f>ROUND('Design Regulator'!E25+Iripple1/2,0)*1.2</f>
        <v>3.5999999999999996</v>
      </c>
      <c r="C51" s="171" t="s">
        <v>2</v>
      </c>
      <c r="D51" s="171"/>
      <c r="H51" s="88"/>
      <c r="L51" s="430" t="s">
        <v>677</v>
      </c>
      <c r="M51" s="173">
        <v>4</v>
      </c>
      <c r="N51" s="430" t="s">
        <v>673</v>
      </c>
      <c r="O51" s="63">
        <v>150</v>
      </c>
    </row>
    <row r="52" spans="1:19" x14ac:dyDescent="0.2">
      <c r="A52" s="388"/>
      <c r="B52" s="400"/>
      <c r="C52" s="171"/>
      <c r="D52" s="171"/>
      <c r="H52" s="88"/>
      <c r="K52" s="428" t="s">
        <v>653</v>
      </c>
      <c r="L52" s="382" t="str">
        <f>CHOOSE(M52, L48, L49, L50, L51)</f>
        <v>SON 5 x 6</v>
      </c>
      <c r="M52" s="383">
        <v>1</v>
      </c>
    </row>
    <row r="53" spans="1:19" x14ac:dyDescent="0.2">
      <c r="A53" s="306" t="s">
        <v>584</v>
      </c>
      <c r="B53" s="102">
        <v>2.0000000000000001E-4</v>
      </c>
      <c r="C53" t="s">
        <v>2</v>
      </c>
      <c r="D53" s="171" t="s">
        <v>576</v>
      </c>
      <c r="H53" s="88"/>
    </row>
    <row r="54" spans="1:19" ht="15.75" x14ac:dyDescent="0.3">
      <c r="A54" s="388" t="s">
        <v>585</v>
      </c>
      <c r="B54" s="102">
        <v>1E-4</v>
      </c>
      <c r="C54" t="s">
        <v>2</v>
      </c>
      <c r="D54" s="171" t="s">
        <v>577</v>
      </c>
      <c r="H54" s="88"/>
      <c r="L54" s="171" t="s">
        <v>595</v>
      </c>
      <c r="M54" s="173">
        <v>1</v>
      </c>
    </row>
    <row r="55" spans="1:19" x14ac:dyDescent="0.2">
      <c r="A55" s="306" t="s">
        <v>586</v>
      </c>
      <c r="B55" s="386">
        <f>ILimit*RdsonBot/Ilim1</f>
        <v>237.16664</v>
      </c>
      <c r="C55" s="309" t="s">
        <v>208</v>
      </c>
      <c r="D55" s="171" t="s">
        <v>580</v>
      </c>
      <c r="H55" s="88"/>
      <c r="L55" s="171" t="s">
        <v>596</v>
      </c>
      <c r="M55" s="173">
        <v>2</v>
      </c>
    </row>
    <row r="56" spans="1:19" x14ac:dyDescent="0.2">
      <c r="A56" s="306" t="s">
        <v>587</v>
      </c>
      <c r="B56" s="104">
        <f>'Standard Value Calculator'!S6</f>
        <v>237</v>
      </c>
      <c r="C56" s="309" t="s">
        <v>208</v>
      </c>
      <c r="D56" s="171" t="s">
        <v>579</v>
      </c>
      <c r="H56" s="88"/>
      <c r="K56" s="428" t="s">
        <v>652</v>
      </c>
      <c r="L56" s="382" t="str">
        <f>CHOOSE(RDSON_sense, L54,L55)</f>
        <v>RDS(on) sensing</v>
      </c>
      <c r="M56" s="383">
        <v>1</v>
      </c>
      <c r="N56" s="171" t="s">
        <v>567</v>
      </c>
    </row>
    <row r="57" spans="1:19" x14ac:dyDescent="0.2">
      <c r="H57" s="88"/>
      <c r="L57" s="383"/>
      <c r="M57" s="171"/>
    </row>
    <row r="58" spans="1:19" x14ac:dyDescent="0.2">
      <c r="A58" s="388" t="s">
        <v>578</v>
      </c>
      <c r="B58" s="393">
        <f>'Design Regulator'!E24/1000</f>
        <v>3.3E-3</v>
      </c>
      <c r="C58" s="309" t="s">
        <v>208</v>
      </c>
      <c r="H58" s="88"/>
      <c r="J58" s="382"/>
      <c r="L58" s="383"/>
      <c r="M58" s="171"/>
    </row>
    <row r="59" spans="1:19" x14ac:dyDescent="0.2">
      <c r="A59" s="388" t="s">
        <v>583</v>
      </c>
      <c r="B59" s="104">
        <f>ILimit*Rshunt/Ilim2</f>
        <v>78.264991199999997</v>
      </c>
      <c r="C59" s="309" t="s">
        <v>208</v>
      </c>
      <c r="H59" s="88"/>
      <c r="K59" s="427" t="s">
        <v>730</v>
      </c>
      <c r="L59" s="2" t="s">
        <v>619</v>
      </c>
      <c r="M59" s="173">
        <v>1</v>
      </c>
      <c r="Q59" s="427"/>
      <c r="R59" s="2"/>
      <c r="S59" s="173"/>
    </row>
    <row r="60" spans="1:19" x14ac:dyDescent="0.2">
      <c r="A60" s="306" t="s">
        <v>588</v>
      </c>
      <c r="B60" s="105">
        <f>'Standard Value Calculator'!S22</f>
        <v>78.7</v>
      </c>
      <c r="C60" s="309" t="s">
        <v>208</v>
      </c>
      <c r="D60" s="171" t="s">
        <v>579</v>
      </c>
      <c r="H60" s="88"/>
      <c r="K60" s="427" t="s">
        <v>620</v>
      </c>
      <c r="L60" s="2" t="s">
        <v>621</v>
      </c>
      <c r="M60" s="173">
        <v>2</v>
      </c>
      <c r="Q60" s="427" t="s">
        <v>661</v>
      </c>
      <c r="R60" s="2" t="s">
        <v>621</v>
      </c>
      <c r="S60" s="173">
        <v>1</v>
      </c>
    </row>
    <row r="61" spans="1:19" x14ac:dyDescent="0.2">
      <c r="A61" s="388"/>
      <c r="B61" s="105"/>
      <c r="C61" s="309"/>
      <c r="D61" s="171"/>
      <c r="H61" s="88"/>
      <c r="K61" s="427" t="s">
        <v>622</v>
      </c>
      <c r="L61" s="2" t="s">
        <v>623</v>
      </c>
      <c r="M61" s="173">
        <v>3</v>
      </c>
      <c r="Q61" s="427" t="s">
        <v>662</v>
      </c>
      <c r="R61" s="2" t="s">
        <v>623</v>
      </c>
      <c r="S61" s="173">
        <v>2</v>
      </c>
    </row>
    <row r="62" spans="1:19" x14ac:dyDescent="0.2">
      <c r="A62" s="306" t="s">
        <v>582</v>
      </c>
      <c r="B62" s="393">
        <f>ROUND(((1-Don_Vinmax)*Iout)^2*Rshunt,2)</f>
        <v>0.01</v>
      </c>
      <c r="C62" s="171" t="s">
        <v>208</v>
      </c>
      <c r="H62" s="88"/>
      <c r="K62" s="427" t="s">
        <v>624</v>
      </c>
      <c r="L62" s="2" t="s">
        <v>625</v>
      </c>
      <c r="M62" s="173">
        <v>4</v>
      </c>
      <c r="Q62" s="427" t="s">
        <v>663</v>
      </c>
      <c r="R62" s="2" t="s">
        <v>625</v>
      </c>
      <c r="S62" s="173">
        <v>3</v>
      </c>
    </row>
    <row r="63" spans="1:19" x14ac:dyDescent="0.2">
      <c r="A63" s="388"/>
      <c r="B63" s="393"/>
      <c r="C63" s="171"/>
      <c r="H63" s="88"/>
      <c r="K63" s="427"/>
      <c r="L63" s="2"/>
      <c r="M63" s="173"/>
      <c r="Q63" s="427"/>
      <c r="R63" s="2"/>
      <c r="S63" s="173"/>
    </row>
    <row r="64" spans="1:19" x14ac:dyDescent="0.2">
      <c r="A64" s="87" t="s">
        <v>692</v>
      </c>
      <c r="B64" s="463">
        <f>0.000000006/Rilim_Rdson_ideal - 0.000000000002</f>
        <v>2.3298667637235997E-11</v>
      </c>
      <c r="C64" s="171" t="s">
        <v>34</v>
      </c>
      <c r="D64" t="s">
        <v>696</v>
      </c>
      <c r="H64" s="88"/>
      <c r="K64" s="427" t="s">
        <v>649</v>
      </c>
      <c r="L64" s="2" t="s">
        <v>626</v>
      </c>
      <c r="M64" s="173">
        <v>5</v>
      </c>
      <c r="Q64" s="427" t="s">
        <v>664</v>
      </c>
      <c r="R64" s="2" t="s">
        <v>626</v>
      </c>
      <c r="S64" s="173">
        <v>4</v>
      </c>
    </row>
    <row r="65" spans="1:19" x14ac:dyDescent="0.2">
      <c r="A65" s="87" t="s">
        <v>693</v>
      </c>
      <c r="B65" s="104">
        <f>'Standard Value Calculator'!S23</f>
        <v>22</v>
      </c>
      <c r="C65" s="171" t="s">
        <v>53</v>
      </c>
      <c r="H65" s="88"/>
      <c r="K65" s="427" t="s">
        <v>650</v>
      </c>
      <c r="L65" s="2" t="s">
        <v>651</v>
      </c>
      <c r="M65" s="173">
        <v>6</v>
      </c>
      <c r="Q65" s="427" t="s">
        <v>665</v>
      </c>
      <c r="R65" s="2" t="s">
        <v>651</v>
      </c>
      <c r="S65" s="173">
        <v>5</v>
      </c>
    </row>
    <row r="66" spans="1:19" ht="13.5" thickBot="1" x14ac:dyDescent="0.25">
      <c r="A66" s="91" t="s">
        <v>288</v>
      </c>
      <c r="B66" s="107" t="e">
        <f>Ics*Rset/Rdcr-Iripple1/2</f>
        <v>#NAME?</v>
      </c>
      <c r="C66" s="92" t="s">
        <v>2</v>
      </c>
      <c r="D66" s="175" t="s">
        <v>476</v>
      </c>
      <c r="E66" s="92"/>
      <c r="F66" s="92"/>
      <c r="G66" s="92"/>
      <c r="H66" s="93"/>
      <c r="K66" s="428" t="s">
        <v>627</v>
      </c>
      <c r="L66" s="382" t="str">
        <f>CHOOSE(M66,"6.3V","10V","16V","25V","50V","100V")</f>
        <v>10V</v>
      </c>
      <c r="M66" s="383">
        <f>IF(Vout&lt;5, 1, IF(Vout&lt;=8, 2, IF(Vout&lt;=12, 3, IF(Vout&lt;=20, 4,  IF(Vout&lt;=42, 5, 6)))))</f>
        <v>2</v>
      </c>
      <c r="Q66" s="428" t="s">
        <v>660</v>
      </c>
      <c r="R66" s="382" t="str">
        <f>CHOOSE(S66,"10V","16V","25V","50V","100V")</f>
        <v>25V</v>
      </c>
      <c r="S66" s="383">
        <f>IF(Vinmax&lt;=8,1,IF(Vinmax&lt;=12,2,IF(Vinmax&lt;=20,3,IF(Vinmax&lt;=42,4,5))))</f>
        <v>3</v>
      </c>
    </row>
    <row r="68" spans="1:19" ht="16.5" thickBot="1" x14ac:dyDescent="0.3">
      <c r="A68" s="133" t="s">
        <v>276</v>
      </c>
    </row>
    <row r="69" spans="1:19" x14ac:dyDescent="0.2">
      <c r="A69" s="134" t="s">
        <v>283</v>
      </c>
      <c r="B69" s="448">
        <f>Iripple1/SQRT(3)/2</f>
        <v>0.13182846542503635</v>
      </c>
      <c r="C69" s="174" t="s">
        <v>2</v>
      </c>
      <c r="D69" s="174" t="s">
        <v>477</v>
      </c>
      <c r="E69" s="94"/>
      <c r="F69" s="94"/>
      <c r="G69" s="94"/>
      <c r="H69" s="95"/>
      <c r="L69" s="429" t="s">
        <v>628</v>
      </c>
      <c r="M69" s="173">
        <v>1</v>
      </c>
      <c r="N69" s="171" t="s">
        <v>629</v>
      </c>
      <c r="O69" s="63">
        <v>0.5</v>
      </c>
    </row>
    <row r="70" spans="1:19" x14ac:dyDescent="0.2">
      <c r="A70" s="96" t="s">
        <v>29</v>
      </c>
      <c r="B70" s="97">
        <f>(Iripple1/(Vripple1*Fsw*8))</f>
        <v>5.7083400000000003E-6</v>
      </c>
      <c r="C70" t="s">
        <v>34</v>
      </c>
      <c r="D70" t="s">
        <v>28</v>
      </c>
      <c r="H70" s="88">
        <v>1</v>
      </c>
      <c r="L70" s="429" t="s">
        <v>497</v>
      </c>
      <c r="M70" s="173">
        <v>2</v>
      </c>
      <c r="N70" s="171" t="s">
        <v>630</v>
      </c>
      <c r="O70" s="63">
        <v>1.3</v>
      </c>
    </row>
    <row r="71" spans="1:19" x14ac:dyDescent="0.2">
      <c r="A71" s="87" t="s">
        <v>36</v>
      </c>
      <c r="B71" s="39">
        <f>'Design Regulator'!E33/1000000</f>
        <v>1.9199999999999999E-5</v>
      </c>
      <c r="C71" t="s">
        <v>34</v>
      </c>
      <c r="D71" t="s">
        <v>35</v>
      </c>
      <c r="H71" s="88">
        <v>1</v>
      </c>
      <c r="L71" s="429" t="s">
        <v>631</v>
      </c>
      <c r="M71" s="173">
        <v>3</v>
      </c>
      <c r="N71" s="171" t="s">
        <v>632</v>
      </c>
      <c r="O71" s="63">
        <v>2.5</v>
      </c>
    </row>
    <row r="72" spans="1:19" x14ac:dyDescent="0.2">
      <c r="A72" s="96" t="s">
        <v>114</v>
      </c>
      <c r="B72" s="391">
        <f>SQRT((Vripple1/Iripple1)^2-(1/(Fsw*Cout*8))^2)</f>
        <v>4.1815186101789206E-2</v>
      </c>
      <c r="C72" s="309" t="s">
        <v>208</v>
      </c>
      <c r="D72" s="171" t="s">
        <v>478</v>
      </c>
      <c r="H72" s="88">
        <v>1</v>
      </c>
      <c r="L72" s="429" t="s">
        <v>633</v>
      </c>
      <c r="M72" s="173">
        <v>4</v>
      </c>
      <c r="N72" s="171" t="s">
        <v>634</v>
      </c>
      <c r="O72" s="63">
        <v>5.0999999999999996</v>
      </c>
    </row>
    <row r="73" spans="1:19" x14ac:dyDescent="0.2">
      <c r="A73" s="87" t="s">
        <v>272</v>
      </c>
      <c r="B73" s="90">
        <f>'Design Regulator'!E35/1000</f>
        <v>2E-3</v>
      </c>
      <c r="C73" s="309" t="s">
        <v>208</v>
      </c>
      <c r="D73" s="171" t="s">
        <v>479</v>
      </c>
      <c r="H73" s="88">
        <v>1</v>
      </c>
      <c r="L73" s="429" t="s">
        <v>635</v>
      </c>
      <c r="M73" s="173">
        <v>5</v>
      </c>
      <c r="N73" s="171" t="s">
        <v>636</v>
      </c>
      <c r="O73" s="63">
        <v>8</v>
      </c>
    </row>
    <row r="74" spans="1:19" ht="13.5" thickBot="1" x14ac:dyDescent="0.25">
      <c r="A74" s="108" t="s">
        <v>362</v>
      </c>
      <c r="B74" s="447">
        <f>Iripple1*SQRT(CoutEsr^2+(1/(8*Fsw*Cout))^2)</f>
        <v>6.015922665009883E-3</v>
      </c>
      <c r="C74" s="157" t="s">
        <v>75</v>
      </c>
      <c r="D74" s="92"/>
      <c r="E74" s="92"/>
      <c r="F74" s="92"/>
      <c r="G74" s="92"/>
      <c r="H74" s="93"/>
      <c r="K74" s="428" t="s">
        <v>637</v>
      </c>
      <c r="L74" s="382" t="str">
        <f>CHOOSE(M74,"0402","0603","0805","1206","1210")</f>
        <v>1210</v>
      </c>
      <c r="M74" s="383">
        <v>5</v>
      </c>
      <c r="N74" s="382" t="str">
        <f>CHOOSE(M74,N69,N70, N71,N72,N73)</f>
        <v>3.2 x 2.5</v>
      </c>
    </row>
    <row r="76" spans="1:19" ht="13.5" thickBot="1" x14ac:dyDescent="0.25"/>
    <row r="77" spans="1:19" ht="15.75" x14ac:dyDescent="0.25">
      <c r="A77" s="144" t="s">
        <v>277</v>
      </c>
      <c r="B77" s="145"/>
      <c r="C77" s="145"/>
      <c r="D77" s="145"/>
      <c r="E77" s="145"/>
      <c r="F77" s="145"/>
      <c r="G77" s="145"/>
      <c r="H77" s="146"/>
    </row>
    <row r="78" spans="1:19" x14ac:dyDescent="0.2">
      <c r="A78" s="147" t="s">
        <v>415</v>
      </c>
      <c r="B78" s="112">
        <f>'Design Regulator'!E40/1000</f>
        <v>0.1</v>
      </c>
      <c r="C78" t="s">
        <v>75</v>
      </c>
      <c r="H78" s="148"/>
      <c r="L78" s="171" t="s">
        <v>638</v>
      </c>
      <c r="M78" s="173">
        <v>1</v>
      </c>
      <c r="N78" s="430" t="s">
        <v>639</v>
      </c>
      <c r="O78" s="63">
        <v>9</v>
      </c>
    </row>
    <row r="79" spans="1:19" x14ac:dyDescent="0.2">
      <c r="A79" s="149" t="s">
        <v>282</v>
      </c>
      <c r="B79" s="168">
        <f>Iout*SQRT(_Don2*Doff2)</f>
        <v>0.95136045408667258</v>
      </c>
      <c r="C79" s="142" t="s">
        <v>2</v>
      </c>
      <c r="H79" s="148"/>
      <c r="L79" s="171" t="s">
        <v>640</v>
      </c>
      <c r="M79" s="173">
        <v>2</v>
      </c>
      <c r="N79" s="430" t="s">
        <v>641</v>
      </c>
      <c r="O79" s="63">
        <v>16</v>
      </c>
    </row>
    <row r="80" spans="1:19" x14ac:dyDescent="0.2">
      <c r="A80" s="149" t="s">
        <v>414</v>
      </c>
      <c r="B80" s="154">
        <f>Iout*_Don2*(1-_Don2)/(Vinripple1*Fsw)</f>
        <v>9.0508671359999994E-6</v>
      </c>
      <c r="C80" s="142" t="s">
        <v>34</v>
      </c>
      <c r="H80" s="148"/>
      <c r="L80" s="171" t="s">
        <v>642</v>
      </c>
      <c r="M80" s="173">
        <v>3</v>
      </c>
      <c r="N80" s="430" t="s">
        <v>643</v>
      </c>
      <c r="O80" s="63">
        <v>25</v>
      </c>
    </row>
    <row r="81" spans="1:15" x14ac:dyDescent="0.2">
      <c r="A81" s="149" t="s">
        <v>127</v>
      </c>
      <c r="B81" s="143">
        <f>'Design Regulator'!E42/1000000</f>
        <v>1.9199999999999999E-5</v>
      </c>
      <c r="C81" s="142" t="s">
        <v>34</v>
      </c>
      <c r="D81" t="s">
        <v>286</v>
      </c>
      <c r="H81" s="148"/>
      <c r="L81" s="171" t="s">
        <v>644</v>
      </c>
      <c r="M81" s="173">
        <v>4</v>
      </c>
      <c r="N81" s="430" t="s">
        <v>645</v>
      </c>
      <c r="O81" s="63">
        <v>36</v>
      </c>
    </row>
    <row r="82" spans="1:15" x14ac:dyDescent="0.2">
      <c r="A82" s="149" t="s">
        <v>416</v>
      </c>
      <c r="B82" s="155">
        <f>-(Iout*_Don2*(1-_Don2)/(Cin*Fsw)-Vinripple1)/(Iout+Iripple1/2)</f>
        <v>2.3721792374355441E-2</v>
      </c>
      <c r="C82" s="309" t="s">
        <v>208</v>
      </c>
      <c r="H82" s="148"/>
      <c r="L82" s="171" t="s">
        <v>646</v>
      </c>
      <c r="M82" s="173">
        <v>5</v>
      </c>
      <c r="N82" s="430" t="s">
        <v>647</v>
      </c>
      <c r="O82" s="63">
        <v>49</v>
      </c>
    </row>
    <row r="83" spans="1:15" x14ac:dyDescent="0.2">
      <c r="A83" s="149" t="s">
        <v>159</v>
      </c>
      <c r="B83" s="143">
        <f>'Design Regulator'!E44/1000</f>
        <v>3.2000000000000002E-3</v>
      </c>
      <c r="C83" s="309" t="s">
        <v>208</v>
      </c>
      <c r="D83" s="171" t="s">
        <v>480</v>
      </c>
      <c r="H83" s="148"/>
      <c r="L83" s="171" t="s">
        <v>654</v>
      </c>
      <c r="M83" s="173">
        <v>6</v>
      </c>
      <c r="N83" s="430" t="s">
        <v>655</v>
      </c>
      <c r="O83" s="63">
        <v>64</v>
      </c>
    </row>
    <row r="84" spans="1:15" x14ac:dyDescent="0.2">
      <c r="A84" s="149" t="s">
        <v>417</v>
      </c>
      <c r="B84" s="169">
        <f>Iout*_Don2*(1-_Don2)/(Cin*Fsw)+(Iout +Iripple1/2)*RCinEsr</f>
        <v>5.4270600519999997E-2</v>
      </c>
      <c r="C84" s="142" t="s">
        <v>75</v>
      </c>
      <c r="H84" s="148"/>
      <c r="L84" s="171" t="s">
        <v>656</v>
      </c>
      <c r="M84" s="173">
        <v>7</v>
      </c>
      <c r="N84" s="430" t="s">
        <v>657</v>
      </c>
      <c r="O84" s="63">
        <v>100</v>
      </c>
    </row>
    <row r="85" spans="1:15" ht="13.5" thickBot="1" x14ac:dyDescent="0.25">
      <c r="A85" s="150"/>
      <c r="B85" s="156">
        <f>Iout*_Don1*(1-_Don1)/(Cin*Fsw)</f>
        <v>4.675E-2</v>
      </c>
      <c r="C85" s="151"/>
      <c r="D85" s="152"/>
      <c r="E85" s="152"/>
      <c r="F85" s="152"/>
      <c r="G85" s="152"/>
      <c r="H85" s="153"/>
      <c r="L85" s="171" t="s">
        <v>658</v>
      </c>
      <c r="M85" s="173">
        <v>8</v>
      </c>
      <c r="N85" s="430" t="s">
        <v>659</v>
      </c>
      <c r="O85" s="63">
        <v>144</v>
      </c>
    </row>
    <row r="86" spans="1:15" x14ac:dyDescent="0.2">
      <c r="K86" s="428" t="s">
        <v>648</v>
      </c>
      <c r="L86" s="382" t="str">
        <f>CHOOSE(M86,L78,L79, L80, L81, L82, L83, L84, L85)</f>
        <v>12mm x 12mm</v>
      </c>
      <c r="M86" s="383">
        <v>8</v>
      </c>
      <c r="N86" s="382" t="str">
        <f>CHOOSE(M86,N78,N79, N80,N81,N82, N83, N84, N85)</f>
        <v>12.0 x 12.0</v>
      </c>
      <c r="O86" s="382"/>
    </row>
    <row r="87" spans="1:15" ht="16.5" thickBot="1" x14ac:dyDescent="0.3">
      <c r="A87" s="133" t="s">
        <v>289</v>
      </c>
    </row>
    <row r="88" spans="1:15" x14ac:dyDescent="0.2">
      <c r="A88" s="134" t="s">
        <v>291</v>
      </c>
      <c r="B88" s="18">
        <f>'Design Regulator'!E49/1000</f>
        <v>4.4999999999999997E-3</v>
      </c>
      <c r="C88" s="94" t="s">
        <v>265</v>
      </c>
      <c r="D88" s="94" t="s">
        <v>292</v>
      </c>
      <c r="E88" s="94"/>
      <c r="F88" s="94"/>
      <c r="G88" s="94"/>
      <c r="H88" s="95"/>
    </row>
    <row r="89" spans="1:15" x14ac:dyDescent="0.2">
      <c r="A89" s="87" t="s">
        <v>293</v>
      </c>
      <c r="B89" s="103">
        <f>Cout*Vout/Tss</f>
        <v>2.1759999999999998E-2</v>
      </c>
      <c r="C89" t="s">
        <v>2</v>
      </c>
      <c r="D89" s="171" t="s">
        <v>439</v>
      </c>
      <c r="H89" s="88"/>
    </row>
    <row r="90" spans="1:15" x14ac:dyDescent="0.2">
      <c r="A90" s="87" t="s">
        <v>294</v>
      </c>
      <c r="B90" s="110">
        <f>0.00001*Tss/0.8</f>
        <v>5.6249999999999997E-8</v>
      </c>
      <c r="C90" t="s">
        <v>34</v>
      </c>
      <c r="H90" s="88"/>
    </row>
    <row r="91" spans="1:15" ht="13.5" thickBot="1" x14ac:dyDescent="0.25">
      <c r="A91" s="91" t="s">
        <v>310</v>
      </c>
      <c r="B91" s="109">
        <f>'Standard Value Calculator'!B4</f>
        <v>5.5999999999999999E-8</v>
      </c>
      <c r="C91" s="92" t="s">
        <v>34</v>
      </c>
      <c r="D91" s="92"/>
      <c r="E91" s="92"/>
      <c r="F91" s="92"/>
      <c r="G91" s="92"/>
      <c r="H91" s="93"/>
    </row>
    <row r="93" spans="1:15" ht="16.5" thickBot="1" x14ac:dyDescent="0.3">
      <c r="A93" s="133" t="s">
        <v>328</v>
      </c>
    </row>
    <row r="94" spans="1:15" x14ac:dyDescent="0.2">
      <c r="A94" s="305"/>
      <c r="B94" s="138"/>
      <c r="C94" s="174"/>
      <c r="D94" s="94"/>
      <c r="E94" s="94"/>
      <c r="F94" s="94"/>
      <c r="G94" s="94"/>
      <c r="H94" s="95"/>
    </row>
    <row r="95" spans="1:15" ht="15.75" x14ac:dyDescent="0.3">
      <c r="A95" s="306" t="s">
        <v>482</v>
      </c>
      <c r="B95" s="54">
        <f>'Design Regulator'!E51</f>
        <v>19.5</v>
      </c>
      <c r="C95" s="171" t="s">
        <v>0</v>
      </c>
      <c r="H95" s="88"/>
    </row>
    <row r="96" spans="1:15" ht="15.75" x14ac:dyDescent="0.3">
      <c r="A96" s="306" t="s">
        <v>483</v>
      </c>
      <c r="B96" s="54">
        <f>'Design Regulator'!E52</f>
        <v>19</v>
      </c>
      <c r="C96" s="171" t="s">
        <v>0</v>
      </c>
      <c r="H96" s="88"/>
    </row>
    <row r="97" spans="1:8" ht="15.75" x14ac:dyDescent="0.3">
      <c r="A97" s="306" t="s">
        <v>512</v>
      </c>
      <c r="B97" s="63">
        <f>(VINuvlo_off-VINuvlo_on*Vuvlo_off/Vuvlo_on)/(Iuvlo1*Vuvlo_off/Vuvlo_on-Iuvlo2)</f>
        <v>50</v>
      </c>
      <c r="C97" s="55" t="s">
        <v>489</v>
      </c>
      <c r="D97">
        <f>'Standard Value Calculator'!S16</f>
        <v>49.900000000000006</v>
      </c>
      <c r="E97" s="55" t="s">
        <v>489</v>
      </c>
      <c r="F97" s="54">
        <f>IF(Ruvlo1&lt;0,"N/A",D97)</f>
        <v>49.900000000000006</v>
      </c>
      <c r="G97" s="54" t="str">
        <f>IF(Ruvlo1&lt;0,"N/A",D97&amp;"kΩ")</f>
        <v>49.9kΩ</v>
      </c>
      <c r="H97" s="88"/>
    </row>
    <row r="98" spans="1:8" ht="15.75" customHeight="1" x14ac:dyDescent="0.3">
      <c r="A98" s="306" t="s">
        <v>513</v>
      </c>
      <c r="B98" s="307">
        <f>D97*Vuvlo_on/(VINuvlo_on-Vuvlo_on+Ruvlo1*Iuvlo1)</f>
        <v>3.2721311475409838</v>
      </c>
      <c r="C98" s="55" t="s">
        <v>489</v>
      </c>
      <c r="D98">
        <f>'Standard Value Calculator'!S17</f>
        <v>3.24</v>
      </c>
      <c r="E98" s="55" t="s">
        <v>489</v>
      </c>
      <c r="F98" s="54">
        <f>IF(F97="N/A","N/A",D98)</f>
        <v>3.24</v>
      </c>
      <c r="G98" s="54" t="str">
        <f>IF(G97="N/A","N/A",D98&amp;"kΩ")</f>
        <v>3.24kΩ</v>
      </c>
      <c r="H98" s="88"/>
    </row>
    <row r="99" spans="1:8" ht="15.75" customHeight="1" x14ac:dyDescent="0.2">
      <c r="A99" s="306"/>
      <c r="B99" s="307"/>
      <c r="C99" s="55"/>
      <c r="E99" s="55"/>
      <c r="H99" s="88"/>
    </row>
    <row r="100" spans="1:8" ht="15.75" customHeight="1" x14ac:dyDescent="0.3">
      <c r="A100" s="306" t="s">
        <v>490</v>
      </c>
      <c r="B100" s="307">
        <f>(D97+D98)/D98*Vuvlo_on-Iuvlo1*D97</f>
        <v>19.68148148148148</v>
      </c>
      <c r="C100" s="55"/>
      <c r="E100" s="55"/>
      <c r="H100" s="88"/>
    </row>
    <row r="101" spans="1:8" ht="15.75" customHeight="1" x14ac:dyDescent="0.3">
      <c r="A101" s="306" t="s">
        <v>491</v>
      </c>
      <c r="B101" s="307">
        <f>(D97+D98)/D98*Vuvlo_off-Iuvlo2*D97</f>
        <v>19.182481481481481</v>
      </c>
      <c r="C101" s="55"/>
      <c r="E101" s="55"/>
      <c r="H101" s="88"/>
    </row>
    <row r="102" spans="1:8" ht="15.75" customHeight="1" x14ac:dyDescent="0.2">
      <c r="A102" s="306"/>
      <c r="B102" s="307"/>
      <c r="C102" s="55"/>
      <c r="E102" s="55"/>
      <c r="H102" s="88"/>
    </row>
    <row r="103" spans="1:8" ht="15.75" customHeight="1" x14ac:dyDescent="0.2">
      <c r="A103" s="306"/>
      <c r="B103" s="54"/>
      <c r="H103" s="88"/>
    </row>
    <row r="104" spans="1:8" ht="15.75" customHeight="1" x14ac:dyDescent="0.2">
      <c r="A104" s="306" t="s">
        <v>484</v>
      </c>
      <c r="B104" s="54">
        <v>1.2</v>
      </c>
      <c r="H104" s="88"/>
    </row>
    <row r="105" spans="1:8" ht="15.75" customHeight="1" x14ac:dyDescent="0.2">
      <c r="A105" s="306" t="s">
        <v>485</v>
      </c>
      <c r="B105" s="54">
        <v>1.2</v>
      </c>
      <c r="H105" s="88"/>
    </row>
    <row r="106" spans="1:8" ht="15.75" customHeight="1" x14ac:dyDescent="0.2">
      <c r="A106" s="306" t="s">
        <v>485</v>
      </c>
      <c r="B106" s="54">
        <f>B104-B105</f>
        <v>0</v>
      </c>
      <c r="H106" s="88"/>
    </row>
    <row r="107" spans="1:8" ht="15.75" customHeight="1" x14ac:dyDescent="0.2">
      <c r="A107" s="306" t="s">
        <v>488</v>
      </c>
      <c r="B107" s="54">
        <v>0</v>
      </c>
      <c r="H107" s="88"/>
    </row>
    <row r="108" spans="1:8" ht="15.75" customHeight="1" x14ac:dyDescent="0.2">
      <c r="A108" s="306" t="s">
        <v>486</v>
      </c>
      <c r="B108" s="54">
        <v>0.01</v>
      </c>
      <c r="H108" s="88"/>
    </row>
    <row r="109" spans="1:8" ht="15.75" customHeight="1" x14ac:dyDescent="0.2">
      <c r="A109" s="306" t="s">
        <v>487</v>
      </c>
      <c r="B109" s="54">
        <f>B108-B107</f>
        <v>0.01</v>
      </c>
      <c r="H109" s="88"/>
    </row>
    <row r="110" spans="1:8" ht="15.75" customHeight="1" x14ac:dyDescent="0.2">
      <c r="A110" s="306"/>
      <c r="B110" s="54"/>
      <c r="H110" s="88"/>
    </row>
    <row r="111" spans="1:8" ht="15.75" customHeight="1" x14ac:dyDescent="0.3">
      <c r="A111" s="87" t="s">
        <v>330</v>
      </c>
      <c r="B111" s="54"/>
      <c r="C111" s="309" t="s">
        <v>208</v>
      </c>
      <c r="H111" s="88"/>
    </row>
    <row r="112" spans="1:8" ht="15.75" customHeight="1" x14ac:dyDescent="0.3">
      <c r="A112" s="87" t="s">
        <v>331</v>
      </c>
      <c r="B112" s="54"/>
      <c r="C112" s="309" t="s">
        <v>208</v>
      </c>
      <c r="H112" s="88"/>
    </row>
    <row r="113" spans="1:8" ht="15.75" customHeight="1" x14ac:dyDescent="0.2">
      <c r="A113" s="87" t="s">
        <v>305</v>
      </c>
      <c r="B113" s="54"/>
      <c r="C113" s="309" t="s">
        <v>208</v>
      </c>
      <c r="H113" s="88"/>
    </row>
    <row r="114" spans="1:8" ht="15.75" customHeight="1" x14ac:dyDescent="0.2">
      <c r="A114" s="87" t="s">
        <v>428</v>
      </c>
      <c r="B114" s="54" t="e">
        <f>80700/(Totp+273)*398</f>
        <v>#NAME?</v>
      </c>
      <c r="C114" s="309" t="s">
        <v>208</v>
      </c>
      <c r="H114" s="88"/>
    </row>
    <row r="115" spans="1:8" ht="15.75" customHeight="1" x14ac:dyDescent="0.2">
      <c r="A115" s="87"/>
      <c r="B115" s="54"/>
      <c r="H115" s="88"/>
    </row>
    <row r="116" spans="1:8" x14ac:dyDescent="0.2">
      <c r="A116" s="87"/>
      <c r="B116" s="54"/>
      <c r="H116" s="88"/>
    </row>
    <row r="117" spans="1:8" x14ac:dyDescent="0.2">
      <c r="A117" s="87" t="s">
        <v>332</v>
      </c>
      <c r="B117" s="54">
        <v>100</v>
      </c>
      <c r="C117" s="171" t="s">
        <v>53</v>
      </c>
      <c r="H117" s="88"/>
    </row>
    <row r="118" spans="1:8" x14ac:dyDescent="0.2">
      <c r="A118" s="87"/>
      <c r="B118" s="54"/>
      <c r="H118" s="88"/>
    </row>
    <row r="119" spans="1:8" ht="13.5" thickBot="1" x14ac:dyDescent="0.25">
      <c r="A119" s="91"/>
      <c r="B119" s="111"/>
      <c r="C119" s="92"/>
      <c r="D119" s="92"/>
      <c r="E119" s="92"/>
      <c r="F119" s="92"/>
      <c r="G119" s="92"/>
      <c r="H119" s="93"/>
    </row>
    <row r="120" spans="1:8" x14ac:dyDescent="0.2">
      <c r="B120" s="54"/>
    </row>
    <row r="121" spans="1:8" ht="16.5" thickBot="1" x14ac:dyDescent="0.3">
      <c r="A121" s="133" t="s">
        <v>329</v>
      </c>
    </row>
    <row r="122" spans="1:8" x14ac:dyDescent="0.2">
      <c r="A122" s="134" t="s">
        <v>81</v>
      </c>
      <c r="B122" s="355">
        <v>10000</v>
      </c>
      <c r="C122" s="94" t="s">
        <v>49</v>
      </c>
      <c r="D122" s="174" t="s">
        <v>431</v>
      </c>
      <c r="E122" s="94"/>
      <c r="F122" s="94"/>
      <c r="G122" s="94"/>
      <c r="H122" s="95"/>
    </row>
    <row r="123" spans="1:8" x14ac:dyDescent="0.2">
      <c r="A123" s="87" t="s">
        <v>82</v>
      </c>
      <c r="B123" s="90">
        <v>5000000</v>
      </c>
      <c r="C123" t="s">
        <v>10</v>
      </c>
      <c r="D123" s="171" t="s">
        <v>432</v>
      </c>
      <c r="H123" s="88"/>
    </row>
    <row r="124" spans="1:8" x14ac:dyDescent="0.2">
      <c r="A124" s="306" t="s">
        <v>541</v>
      </c>
      <c r="B124" s="140">
        <f>'Design Regulator'!E61*1000</f>
        <v>30000</v>
      </c>
      <c r="C124" s="171" t="s">
        <v>10</v>
      </c>
      <c r="H124" s="88"/>
    </row>
    <row r="125" spans="1:8" x14ac:dyDescent="0.2">
      <c r="A125" s="87" t="s">
        <v>51</v>
      </c>
      <c r="B125" s="141">
        <f>Fcross/Fo/15</f>
        <v>0.21231608500036678</v>
      </c>
      <c r="C125" t="s">
        <v>49</v>
      </c>
      <c r="D125" s="171" t="s">
        <v>438</v>
      </c>
      <c r="H125" s="88">
        <v>1</v>
      </c>
    </row>
    <row r="126" spans="1:8" x14ac:dyDescent="0.2">
      <c r="A126" s="87" t="s">
        <v>52</v>
      </c>
      <c r="B126" s="112">
        <f>'Design Regulator'!E63*1000</f>
        <v>18000</v>
      </c>
      <c r="C126" s="309" t="s">
        <v>208</v>
      </c>
      <c r="D126" t="s">
        <v>260</v>
      </c>
      <c r="H126" s="88">
        <v>1</v>
      </c>
    </row>
    <row r="127" spans="1:8" x14ac:dyDescent="0.2">
      <c r="A127" s="99" t="s">
        <v>77</v>
      </c>
      <c r="B127" s="357">
        <f>IF(Vout=Vref,100000000,Vref/((Vout-Vref)/_Rfb1))</f>
        <v>3348.8372093023258</v>
      </c>
      <c r="C127" s="309" t="s">
        <v>208</v>
      </c>
      <c r="D127" s="171" t="s">
        <v>698</v>
      </c>
      <c r="H127" s="88"/>
    </row>
    <row r="128" spans="1:8" x14ac:dyDescent="0.2">
      <c r="A128" s="87" t="s">
        <v>271</v>
      </c>
      <c r="B128" s="103">
        <f>IF(Vout=Vref,"N/A",'Standard Value Calculator'!S11)</f>
        <v>3320</v>
      </c>
      <c r="C128" s="309" t="s">
        <v>208</v>
      </c>
      <c r="D128" s="171" t="s">
        <v>697</v>
      </c>
      <c r="H128" s="88"/>
    </row>
    <row r="129" spans="1:8" x14ac:dyDescent="0.2">
      <c r="A129" s="387" t="s">
        <v>689</v>
      </c>
      <c r="B129" s="461">
        <f>0.8/Rfb2_u*(Rfb2_u+_Rfb1)</f>
        <v>5.1373493975903619</v>
      </c>
      <c r="C129" t="s">
        <v>0</v>
      </c>
      <c r="D129" s="171" t="s">
        <v>690</v>
      </c>
      <c r="H129" s="88"/>
    </row>
    <row r="130" spans="1:8" x14ac:dyDescent="0.2">
      <c r="A130" s="387"/>
      <c r="C130" s="309"/>
      <c r="D130" s="171"/>
      <c r="H130" s="88"/>
    </row>
    <row r="131" spans="1:8" x14ac:dyDescent="0.2">
      <c r="A131" s="96" t="s">
        <v>74</v>
      </c>
      <c r="B131" s="391">
        <f>Vin/15</f>
        <v>1</v>
      </c>
      <c r="C131" t="s">
        <v>75</v>
      </c>
      <c r="D131" s="171" t="s">
        <v>555</v>
      </c>
      <c r="H131" s="88"/>
    </row>
    <row r="132" spans="1:8" x14ac:dyDescent="0.2">
      <c r="A132" s="96" t="s">
        <v>58</v>
      </c>
      <c r="B132" s="358">
        <f>Kmidband*_Rfb1</f>
        <v>3821.6895300066021</v>
      </c>
      <c r="C132" s="309" t="s">
        <v>208</v>
      </c>
      <c r="D132" s="171" t="s">
        <v>430</v>
      </c>
      <c r="H132" s="88">
        <v>1</v>
      </c>
    </row>
    <row r="133" spans="1:8" x14ac:dyDescent="0.2">
      <c r="A133" s="96" t="s">
        <v>54</v>
      </c>
      <c r="B133" s="359">
        <f>1/(Rcea1*('Design Regulator'!E67*1000)*2*Pi)</f>
        <v>4.1645178663553406E-8</v>
      </c>
      <c r="C133" t="s">
        <v>34</v>
      </c>
      <c r="D133" t="s">
        <v>261</v>
      </c>
      <c r="H133" s="88">
        <v>1</v>
      </c>
    </row>
    <row r="134" spans="1:8" x14ac:dyDescent="0.2">
      <c r="A134" s="96" t="s">
        <v>55</v>
      </c>
      <c r="B134" s="359">
        <f>1/((Rcea1*2*Pi*'Design Regulator'!E70*1000)-1/Cc1ea)</f>
        <v>1.6724971350824657E-10</v>
      </c>
      <c r="C134" t="s">
        <v>34</v>
      </c>
      <c r="H134" s="88">
        <v>1</v>
      </c>
    </row>
    <row r="135" spans="1:8" x14ac:dyDescent="0.2">
      <c r="A135" s="96" t="s">
        <v>56</v>
      </c>
      <c r="B135" s="357">
        <f>(1/(1000*2*Pi*'Design Regulator'!E69))*_Rfb1/(1/('Design Regulator'!E68*1000*2*Pi)-(1/(1000*2*Pi*'Design Regulator'!E69)))</f>
        <v>518.51851851851859</v>
      </c>
      <c r="C135" s="309" t="s">
        <v>208</v>
      </c>
      <c r="H135" s="88">
        <v>1</v>
      </c>
    </row>
    <row r="136" spans="1:8" x14ac:dyDescent="0.2">
      <c r="A136" s="96" t="s">
        <v>57</v>
      </c>
      <c r="B136" s="359">
        <f>(1/(1000*2*Pi*'Design Regulator'!E69))/Rcea2</f>
        <v>1.2277667052546919E-9</v>
      </c>
      <c r="C136" t="s">
        <v>34</v>
      </c>
      <c r="H136" s="88">
        <v>1</v>
      </c>
    </row>
    <row r="137" spans="1:8" x14ac:dyDescent="0.2">
      <c r="A137" s="96"/>
      <c r="B137" s="1"/>
      <c r="H137" s="88"/>
    </row>
    <row r="138" spans="1:8" x14ac:dyDescent="0.2">
      <c r="A138" s="99" t="s">
        <v>382</v>
      </c>
      <c r="H138" s="88"/>
    </row>
    <row r="139" spans="1:8" x14ac:dyDescent="0.2">
      <c r="A139" s="87" t="s">
        <v>59</v>
      </c>
      <c r="B139" s="166">
        <f>'Design Regulator'!D74*1000</f>
        <v>3830</v>
      </c>
      <c r="C139" s="309" t="s">
        <v>208</v>
      </c>
      <c r="H139" s="88">
        <v>2</v>
      </c>
    </row>
    <row r="140" spans="1:8" x14ac:dyDescent="0.2">
      <c r="A140" s="87" t="s">
        <v>60</v>
      </c>
      <c r="B140" s="106">
        <f>'Design Regulator'!D75*0.000000000001</f>
        <v>3.8999999999999998E-8</v>
      </c>
      <c r="C140" t="s">
        <v>34</v>
      </c>
      <c r="H140" s="88">
        <v>2</v>
      </c>
    </row>
    <row r="141" spans="1:8" x14ac:dyDescent="0.2">
      <c r="A141" s="87" t="s">
        <v>61</v>
      </c>
      <c r="B141" s="106">
        <f>'Design Regulator'!D76*0.000000000001</f>
        <v>1.8E-10</v>
      </c>
      <c r="C141" t="s">
        <v>34</v>
      </c>
      <c r="H141" s="88">
        <v>2</v>
      </c>
    </row>
    <row r="142" spans="1:8" x14ac:dyDescent="0.2">
      <c r="A142" s="87" t="s">
        <v>62</v>
      </c>
      <c r="B142" s="166">
        <f>'Design Regulator'!D77</f>
        <v>523</v>
      </c>
      <c r="C142" s="309" t="s">
        <v>208</v>
      </c>
      <c r="H142" s="88">
        <v>2</v>
      </c>
    </row>
    <row r="143" spans="1:8" x14ac:dyDescent="0.2">
      <c r="A143" s="87" t="s">
        <v>63</v>
      </c>
      <c r="B143" s="106">
        <f>'Design Regulator'!D78*0.000000000001</f>
        <v>1.2E-9</v>
      </c>
      <c r="C143" t="s">
        <v>34</v>
      </c>
      <c r="H143" s="88">
        <v>2</v>
      </c>
    </row>
    <row r="144" spans="1:8" x14ac:dyDescent="0.2">
      <c r="A144" s="87"/>
      <c r="H144" s="88"/>
    </row>
    <row r="145" spans="1:8" x14ac:dyDescent="0.2">
      <c r="A145" s="99" t="s">
        <v>343</v>
      </c>
      <c r="D145">
        <f>Cout</f>
        <v>1.9199999999999999E-5</v>
      </c>
      <c r="E145">
        <f>CoutEsr</f>
        <v>2E-3</v>
      </c>
      <c r="H145" s="88"/>
    </row>
    <row r="146" spans="1:8" x14ac:dyDescent="0.2">
      <c r="A146" s="96" t="s">
        <v>39</v>
      </c>
      <c r="B146" s="420">
        <f>SQRT((Rfets+Rdcr+Ro)/(Cout*Lout2*(CoutEsr+Ro)))/(2*Pi)</f>
        <v>9419.917478209647</v>
      </c>
      <c r="C146" t="s">
        <v>10</v>
      </c>
      <c r="D146" t="s">
        <v>40</v>
      </c>
      <c r="H146" s="88"/>
    </row>
    <row r="147" spans="1:8" x14ac:dyDescent="0.2">
      <c r="A147" s="96" t="s">
        <v>42</v>
      </c>
      <c r="B147" s="421">
        <f>(Rfets+Rdcr+Ro)/(Lout2+Cout*(Rdcr+Rfets)*(CoutEsr+Ro)+Cout*CoutEsr*Ro)/(Fo*2*Pi)</f>
        <v>2.667146936424476</v>
      </c>
      <c r="C147" t="s">
        <v>49</v>
      </c>
      <c r="D147" t="s">
        <v>43</v>
      </c>
      <c r="H147" s="88"/>
    </row>
    <row r="148" spans="1:8" x14ac:dyDescent="0.2">
      <c r="A148" s="96" t="s">
        <v>41</v>
      </c>
      <c r="B148" s="420">
        <f>1/(2*Pi*Cout*CoutEsr)</f>
        <v>4144659.9810874057</v>
      </c>
      <c r="C148" t="s">
        <v>10</v>
      </c>
      <c r="D148" s="171" t="s">
        <v>433</v>
      </c>
      <c r="H148" s="88"/>
    </row>
    <row r="149" spans="1:8" x14ac:dyDescent="0.2">
      <c r="A149" s="96" t="s">
        <v>64</v>
      </c>
      <c r="B149" s="420">
        <f>1/(2*Pi*Rcea1_u*Cc1ea_u)</f>
        <v>1065.5080891327334</v>
      </c>
      <c r="C149" t="s">
        <v>10</v>
      </c>
      <c r="D149" s="171" t="s">
        <v>543</v>
      </c>
      <c r="H149" s="88"/>
    </row>
    <row r="150" spans="1:8" x14ac:dyDescent="0.2">
      <c r="A150" s="96" t="s">
        <v>65</v>
      </c>
      <c r="B150" s="420">
        <f>1/(2*Pi*Cc3ea_u*(_Rfb1+Rcea2_u))</f>
        <v>7160.2396693190612</v>
      </c>
      <c r="C150" t="s">
        <v>10</v>
      </c>
      <c r="D150" s="171" t="s">
        <v>543</v>
      </c>
      <c r="H150" s="88"/>
    </row>
    <row r="151" spans="1:8" x14ac:dyDescent="0.2">
      <c r="A151" s="96" t="s">
        <v>66</v>
      </c>
      <c r="B151" s="420">
        <f>1/(2*Pi*Rcea2_u*Cc3ea_u)</f>
        <v>253592.96251395214</v>
      </c>
      <c r="C151" t="s">
        <v>10</v>
      </c>
      <c r="D151" t="s">
        <v>263</v>
      </c>
      <c r="H151" s="88"/>
    </row>
    <row r="152" spans="1:8" x14ac:dyDescent="0.2">
      <c r="A152" s="96" t="s">
        <v>67</v>
      </c>
      <c r="B152" s="420">
        <f>1/(2*Pi*Rcea1_u*(Cc1ea_u*Cc2ea_u/(Cc1ea_u+Cc2ea_u)))</f>
        <v>231925.59406789159</v>
      </c>
      <c r="C152" t="s">
        <v>10</v>
      </c>
      <c r="D152" t="s">
        <v>262</v>
      </c>
      <c r="H152" s="88"/>
    </row>
    <row r="153" spans="1:8" x14ac:dyDescent="0.2">
      <c r="A153" s="96" t="s">
        <v>80</v>
      </c>
      <c r="B153" s="421">
        <f>Vout/(Iout+Vref/_Rfb2)</f>
        <v>2.5496954530431086</v>
      </c>
      <c r="D153" s="171" t="s">
        <v>542</v>
      </c>
      <c r="H153" s="88"/>
    </row>
    <row r="154" spans="1:8" x14ac:dyDescent="0.2">
      <c r="A154" s="96" t="s">
        <v>70</v>
      </c>
      <c r="B154" s="421">
        <v>3.1415926500000002</v>
      </c>
      <c r="D154" t="s">
        <v>264</v>
      </c>
      <c r="H154" s="88"/>
    </row>
    <row r="155" spans="1:8" x14ac:dyDescent="0.2">
      <c r="A155" s="96" t="s">
        <v>327</v>
      </c>
      <c r="B155" s="1"/>
      <c r="H155" s="88"/>
    </row>
    <row r="156" spans="1:8" x14ac:dyDescent="0.2">
      <c r="A156" s="96" t="s">
        <v>336</v>
      </c>
      <c r="B156" s="1">
        <v>0</v>
      </c>
      <c r="C156" s="309" t="s">
        <v>208</v>
      </c>
      <c r="D156" s="171" t="s">
        <v>538</v>
      </c>
      <c r="G156">
        <f>_Don2*RdsonTop+Doff2*RdsonBot+B161*Vin^2*Fsw/2/(((Iripple1/SQRT(3))^2))</f>
        <v>4.0658907042489165</v>
      </c>
      <c r="H156" s="88"/>
    </row>
    <row r="157" spans="1:8" x14ac:dyDescent="0.2">
      <c r="A157" s="87"/>
      <c r="H157" s="88"/>
    </row>
    <row r="158" spans="1:8" x14ac:dyDescent="0.2">
      <c r="A158" s="96" t="s">
        <v>339</v>
      </c>
      <c r="B158" s="2">
        <f>0.00000002*Fsw*0.6*4/Iripple1</f>
        <v>5.2554683147815306E-2</v>
      </c>
      <c r="D158" s="2"/>
      <c r="H158" s="88"/>
    </row>
    <row r="159" spans="1:8" x14ac:dyDescent="0.2">
      <c r="A159" s="96" t="s">
        <v>338</v>
      </c>
      <c r="B159" s="2">
        <f>_Don2*RdsonTop+Doff2*RdsonBot</f>
        <v>0.02</v>
      </c>
      <c r="D159" s="2"/>
      <c r="H159" s="88"/>
    </row>
    <row r="160" spans="1:8" x14ac:dyDescent="0.2">
      <c r="A160" s="96" t="s">
        <v>337</v>
      </c>
      <c r="B160" s="2">
        <f>B161*Vin^2*Fsw/2/(((Iripple1/SQRT(3))^2))</f>
        <v>4.0458907042489169</v>
      </c>
      <c r="D160" s="2"/>
      <c r="H160" s="88"/>
    </row>
    <row r="161" spans="1:8" ht="13.5" thickBot="1" x14ac:dyDescent="0.25">
      <c r="A161" s="108" t="s">
        <v>340</v>
      </c>
      <c r="B161" s="113">
        <v>5.0000000000000001E-9</v>
      </c>
      <c r="C161" s="92"/>
      <c r="D161" s="113"/>
      <c r="E161" s="92"/>
      <c r="F161" s="92"/>
      <c r="G161" s="92"/>
      <c r="H161" s="93"/>
    </row>
    <row r="162" spans="1:8" x14ac:dyDescent="0.2">
      <c r="A162" s="1"/>
      <c r="B162" s="60"/>
      <c r="D162" s="60"/>
    </row>
    <row r="163" spans="1:8" x14ac:dyDescent="0.2">
      <c r="A163" s="1"/>
      <c r="B163" s="60"/>
      <c r="D163" s="60"/>
    </row>
    <row r="164" spans="1:8" ht="16.5" thickBot="1" x14ac:dyDescent="0.3">
      <c r="A164" s="139" t="s">
        <v>361</v>
      </c>
    </row>
    <row r="165" spans="1:8" x14ac:dyDescent="0.2">
      <c r="A165" s="134"/>
      <c r="B165" s="94"/>
      <c r="C165" s="94"/>
      <c r="D165" s="94"/>
      <c r="E165" s="94"/>
      <c r="F165" s="94"/>
      <c r="G165" s="94"/>
      <c r="H165" s="95"/>
    </row>
    <row r="166" spans="1:8" x14ac:dyDescent="0.2">
      <c r="A166" s="99" t="s">
        <v>125</v>
      </c>
      <c r="H166" s="88"/>
    </row>
    <row r="167" spans="1:8" x14ac:dyDescent="0.2">
      <c r="A167" s="87" t="s">
        <v>156</v>
      </c>
      <c r="B167" s="39">
        <v>25</v>
      </c>
      <c r="D167" t="s">
        <v>175</v>
      </c>
      <c r="H167" s="88"/>
    </row>
    <row r="168" spans="1:8" ht="15.75" x14ac:dyDescent="0.25">
      <c r="A168" s="477" t="s">
        <v>128</v>
      </c>
      <c r="H168" s="88"/>
    </row>
    <row r="169" spans="1:8" x14ac:dyDescent="0.2">
      <c r="A169" s="87" t="s">
        <v>155</v>
      </c>
      <c r="B169" s="90">
        <f>4000/1000000</f>
        <v>4.0000000000000001E-3</v>
      </c>
      <c r="C169" s="171" t="s">
        <v>556</v>
      </c>
      <c r="D169" t="s">
        <v>176</v>
      </c>
      <c r="H169" s="88"/>
    </row>
    <row r="170" spans="1:8" x14ac:dyDescent="0.2">
      <c r="A170" s="87" t="s">
        <v>250</v>
      </c>
      <c r="B170" s="90">
        <v>20</v>
      </c>
      <c r="C170" s="171" t="s">
        <v>380</v>
      </c>
      <c r="D170" t="s">
        <v>251</v>
      </c>
      <c r="H170" s="88"/>
    </row>
    <row r="171" spans="1:8" x14ac:dyDescent="0.2">
      <c r="A171" s="87" t="s">
        <v>159</v>
      </c>
      <c r="B171" s="39">
        <f>RCinEsr</f>
        <v>3.2000000000000002E-3</v>
      </c>
      <c r="C171" s="309" t="s">
        <v>208</v>
      </c>
      <c r="D171" t="s">
        <v>178</v>
      </c>
      <c r="H171" s="88"/>
    </row>
    <row r="172" spans="1:8" x14ac:dyDescent="0.2">
      <c r="A172" s="96" t="s">
        <v>268</v>
      </c>
      <c r="H172" s="88"/>
    </row>
    <row r="173" spans="1:8" x14ac:dyDescent="0.2">
      <c r="A173" s="306" t="s">
        <v>610</v>
      </c>
      <c r="B173" s="90">
        <v>7.5</v>
      </c>
      <c r="H173" s="88"/>
    </row>
    <row r="174" spans="1:8" x14ac:dyDescent="0.2">
      <c r="A174" s="99" t="s">
        <v>202</v>
      </c>
      <c r="H174" s="88"/>
    </row>
    <row r="175" spans="1:8" x14ac:dyDescent="0.2">
      <c r="A175" s="87" t="s">
        <v>132</v>
      </c>
      <c r="B175" s="90">
        <v>1</v>
      </c>
      <c r="C175" s="309" t="s">
        <v>208</v>
      </c>
      <c r="D175" t="s">
        <v>204</v>
      </c>
      <c r="H175" s="88"/>
    </row>
    <row r="176" spans="1:8" x14ac:dyDescent="0.2">
      <c r="A176" s="87" t="s">
        <v>239</v>
      </c>
      <c r="B176" s="90">
        <v>0.9</v>
      </c>
      <c r="C176" s="309" t="s">
        <v>208</v>
      </c>
      <c r="D176" t="s">
        <v>205</v>
      </c>
      <c r="H176" s="88"/>
    </row>
    <row r="177" spans="1:8" x14ac:dyDescent="0.2">
      <c r="A177" s="99" t="s">
        <v>203</v>
      </c>
      <c r="H177" s="88"/>
    </row>
    <row r="178" spans="1:8" x14ac:dyDescent="0.2">
      <c r="A178" s="87" t="s">
        <v>131</v>
      </c>
      <c r="B178" s="158">
        <v>1</v>
      </c>
      <c r="C178" s="309" t="s">
        <v>208</v>
      </c>
      <c r="D178" t="s">
        <v>204</v>
      </c>
      <c r="H178" s="88"/>
    </row>
    <row r="179" spans="1:8" x14ac:dyDescent="0.2">
      <c r="A179" s="87" t="s">
        <v>238</v>
      </c>
      <c r="B179" s="90">
        <v>0.9</v>
      </c>
      <c r="C179" s="309" t="s">
        <v>208</v>
      </c>
      <c r="D179" t="s">
        <v>205</v>
      </c>
      <c r="H179" s="88"/>
    </row>
    <row r="180" spans="1:8" x14ac:dyDescent="0.2">
      <c r="A180" s="99" t="s">
        <v>133</v>
      </c>
      <c r="D180" t="s">
        <v>199</v>
      </c>
      <c r="H180" s="88"/>
    </row>
    <row r="181" spans="1:8" x14ac:dyDescent="0.2">
      <c r="A181" s="87" t="s">
        <v>133</v>
      </c>
      <c r="B181" s="102">
        <v>2.9999999999999997E-8</v>
      </c>
      <c r="C181" t="s">
        <v>265</v>
      </c>
      <c r="D181" t="s">
        <v>179</v>
      </c>
      <c r="H181" s="88"/>
    </row>
    <row r="182" spans="1:8" x14ac:dyDescent="0.2">
      <c r="A182" s="99" t="s">
        <v>119</v>
      </c>
      <c r="H182" s="88"/>
    </row>
    <row r="183" spans="1:8" x14ac:dyDescent="0.2">
      <c r="A183" s="87" t="s">
        <v>249</v>
      </c>
      <c r="B183" s="90">
        <v>2E-3</v>
      </c>
      <c r="C183" t="s">
        <v>2</v>
      </c>
      <c r="D183" t="s">
        <v>259</v>
      </c>
      <c r="H183" s="88"/>
    </row>
    <row r="184" spans="1:8" ht="15.75" x14ac:dyDescent="0.25">
      <c r="A184" s="477" t="s">
        <v>129</v>
      </c>
      <c r="H184" s="88"/>
    </row>
    <row r="185" spans="1:8" x14ac:dyDescent="0.2">
      <c r="A185" s="87" t="s">
        <v>142</v>
      </c>
      <c r="B185" s="39">
        <f>'Design Regulator'!E85/1000</f>
        <v>0.02</v>
      </c>
      <c r="C185" s="309" t="s">
        <v>208</v>
      </c>
      <c r="D185" t="s">
        <v>194</v>
      </c>
      <c r="H185" s="88"/>
    </row>
    <row r="186" spans="1:8" x14ac:dyDescent="0.2">
      <c r="A186" s="87" t="s">
        <v>152</v>
      </c>
      <c r="B186" s="90">
        <f>4000/1000000</f>
        <v>4.0000000000000001E-3</v>
      </c>
      <c r="C186" s="171" t="s">
        <v>556</v>
      </c>
      <c r="D186" t="s">
        <v>193</v>
      </c>
      <c r="H186" s="88"/>
    </row>
    <row r="187" spans="1:8" x14ac:dyDescent="0.2">
      <c r="A187" s="87" t="s">
        <v>141</v>
      </c>
      <c r="B187" s="114">
        <f>'Design Regulator'!E86/1000000000</f>
        <v>8.9999999999999995E-9</v>
      </c>
      <c r="C187" t="s">
        <v>269</v>
      </c>
      <c r="D187" t="s">
        <v>180</v>
      </c>
      <c r="H187" s="88"/>
    </row>
    <row r="188" spans="1:8" x14ac:dyDescent="0.2">
      <c r="A188" s="87" t="s">
        <v>218</v>
      </c>
      <c r="B188" s="114">
        <f>'Design Regulator'!E87/1000000000</f>
        <v>2.6000000000000001E-9</v>
      </c>
      <c r="C188" t="s">
        <v>269</v>
      </c>
      <c r="D188" t="s">
        <v>219</v>
      </c>
      <c r="H188" s="88"/>
    </row>
    <row r="189" spans="1:8" x14ac:dyDescent="0.2">
      <c r="A189" s="87" t="s">
        <v>236</v>
      </c>
      <c r="B189" s="114">
        <f>'Design Regulator'!E88/1000000000</f>
        <v>1.5E-9</v>
      </c>
      <c r="C189" t="s">
        <v>269</v>
      </c>
      <c r="D189" t="s">
        <v>713</v>
      </c>
      <c r="H189" s="88"/>
    </row>
    <row r="190" spans="1:8" x14ac:dyDescent="0.2">
      <c r="A190" s="388" t="s">
        <v>720</v>
      </c>
      <c r="B190" s="114">
        <f>'Design Regulator'!E89/1000000000000</f>
        <v>2.4E-10</v>
      </c>
      <c r="C190" t="s">
        <v>34</v>
      </c>
      <c r="D190" t="s">
        <v>721</v>
      </c>
      <c r="H190" s="88"/>
    </row>
    <row r="191" spans="1:8" x14ac:dyDescent="0.2">
      <c r="A191" s="87" t="s">
        <v>168</v>
      </c>
      <c r="B191" s="39">
        <f>'Design Regulator'!E90</f>
        <v>1.2</v>
      </c>
      <c r="C191" s="309" t="s">
        <v>208</v>
      </c>
      <c r="D191" t="s">
        <v>722</v>
      </c>
      <c r="H191" s="88"/>
    </row>
    <row r="192" spans="1:8" x14ac:dyDescent="0.2">
      <c r="A192" s="87" t="s">
        <v>140</v>
      </c>
      <c r="B192" s="39">
        <f>'Design Regulator'!E91</f>
        <v>9.6</v>
      </c>
      <c r="C192" t="s">
        <v>137</v>
      </c>
      <c r="D192" t="s">
        <v>182</v>
      </c>
      <c r="H192" s="88"/>
    </row>
    <row r="193" spans="1:10" x14ac:dyDescent="0.2">
      <c r="A193" s="87" t="s">
        <v>170</v>
      </c>
      <c r="B193" s="39">
        <f>'Design Regulator'!E92</f>
        <v>3.2</v>
      </c>
      <c r="C193" t="s">
        <v>0</v>
      </c>
      <c r="D193" t="s">
        <v>183</v>
      </c>
      <c r="H193" s="88"/>
    </row>
    <row r="194" spans="1:10" x14ac:dyDescent="0.2">
      <c r="A194" s="87" t="s">
        <v>235</v>
      </c>
      <c r="B194" s="103">
        <f>VthTop+Iout/GmTop</f>
        <v>3.4083333333333337</v>
      </c>
      <c r="C194" t="s">
        <v>0</v>
      </c>
      <c r="D194" t="s">
        <v>266</v>
      </c>
      <c r="H194" s="88"/>
    </row>
    <row r="195" spans="1:10" x14ac:dyDescent="0.2">
      <c r="A195" s="87" t="s">
        <v>377</v>
      </c>
      <c r="B195" s="39">
        <f>'Design Regulator'!E93</f>
        <v>1</v>
      </c>
      <c r="C195" t="s">
        <v>0</v>
      </c>
      <c r="D195" t="s">
        <v>379</v>
      </c>
      <c r="H195" s="88"/>
    </row>
    <row r="196" spans="1:10" x14ac:dyDescent="0.2">
      <c r="A196" s="87" t="s">
        <v>161</v>
      </c>
      <c r="B196" s="39">
        <f>'Design Regulator'!E94</f>
        <v>45</v>
      </c>
      <c r="C196" s="171" t="s">
        <v>380</v>
      </c>
      <c r="D196" t="s">
        <v>184</v>
      </c>
      <c r="H196" s="88"/>
    </row>
    <row r="197" spans="1:10" ht="15.75" x14ac:dyDescent="0.25">
      <c r="A197" s="477" t="s">
        <v>130</v>
      </c>
      <c r="H197" s="88"/>
    </row>
    <row r="198" spans="1:10" x14ac:dyDescent="0.2">
      <c r="A198" s="87" t="s">
        <v>139</v>
      </c>
      <c r="B198" s="39">
        <f>'Design Regulator'!E97/1000</f>
        <v>0.02</v>
      </c>
      <c r="C198" s="309" t="s">
        <v>208</v>
      </c>
      <c r="D198" t="s">
        <v>192</v>
      </c>
      <c r="H198" s="88"/>
    </row>
    <row r="199" spans="1:10" x14ac:dyDescent="0.2">
      <c r="A199" s="87" t="s">
        <v>153</v>
      </c>
      <c r="B199" s="39">
        <f>4000/1000000</f>
        <v>4.0000000000000001E-3</v>
      </c>
      <c r="C199" s="171" t="s">
        <v>556</v>
      </c>
      <c r="D199" t="s">
        <v>185</v>
      </c>
      <c r="H199" s="88"/>
    </row>
    <row r="200" spans="1:10" x14ac:dyDescent="0.2">
      <c r="A200" s="87" t="s">
        <v>138</v>
      </c>
      <c r="B200" s="114">
        <f>'Design Regulator'!E98/1000000000</f>
        <v>8.9999999999999995E-9</v>
      </c>
      <c r="C200" t="s">
        <v>269</v>
      </c>
      <c r="D200" s="171" t="s">
        <v>716</v>
      </c>
      <c r="H200" s="88"/>
      <c r="J200">
        <f>RGateTop</f>
        <v>1.2</v>
      </c>
    </row>
    <row r="201" spans="1:10" x14ac:dyDescent="0.2">
      <c r="A201" s="388" t="s">
        <v>714</v>
      </c>
      <c r="B201" s="114">
        <f>'Design Regulator'!E99/1000000000</f>
        <v>6.9999999999999998E-9</v>
      </c>
      <c r="C201" t="s">
        <v>269</v>
      </c>
      <c r="D201" s="171" t="s">
        <v>715</v>
      </c>
      <c r="H201" s="88"/>
    </row>
    <row r="202" spans="1:10" x14ac:dyDescent="0.2">
      <c r="A202" s="388" t="s">
        <v>719</v>
      </c>
      <c r="B202" s="114">
        <f>'Design Regulator'!E100/1000000000000</f>
        <v>2.8999999999999998E-10</v>
      </c>
      <c r="C202" t="s">
        <v>34</v>
      </c>
      <c r="D202" s="171" t="s">
        <v>718</v>
      </c>
      <c r="H202" s="88"/>
    </row>
    <row r="203" spans="1:10" x14ac:dyDescent="0.2">
      <c r="A203" s="87" t="s">
        <v>169</v>
      </c>
      <c r="B203" s="39">
        <v>1</v>
      </c>
      <c r="C203" s="309" t="s">
        <v>208</v>
      </c>
      <c r="D203" t="s">
        <v>181</v>
      </c>
      <c r="H203" s="88"/>
    </row>
    <row r="204" spans="1:10" x14ac:dyDescent="0.2">
      <c r="A204" s="87" t="s">
        <v>144</v>
      </c>
      <c r="B204" s="39">
        <f>'Design Regulator'!E101</f>
        <v>1.3</v>
      </c>
      <c r="C204" t="s">
        <v>0</v>
      </c>
      <c r="D204" t="s">
        <v>186</v>
      </c>
      <c r="H204" s="88"/>
    </row>
    <row r="205" spans="1:10" x14ac:dyDescent="0.2">
      <c r="A205" s="87" t="s">
        <v>145</v>
      </c>
      <c r="B205" s="114">
        <f>'Design Regulator'!E102/1000000000</f>
        <v>4.0000000000000002E-9</v>
      </c>
      <c r="C205" t="s">
        <v>269</v>
      </c>
      <c r="D205" t="s">
        <v>196</v>
      </c>
      <c r="H205" s="88"/>
    </row>
    <row r="206" spans="1:10" x14ac:dyDescent="0.2">
      <c r="A206" s="87" t="s">
        <v>146</v>
      </c>
      <c r="B206" s="114">
        <v>4.0000000000000001E-8</v>
      </c>
      <c r="C206" t="s">
        <v>265</v>
      </c>
      <c r="D206" t="s">
        <v>187</v>
      </c>
      <c r="H206" s="88"/>
    </row>
    <row r="207" spans="1:10" x14ac:dyDescent="0.2">
      <c r="A207" s="87" t="s">
        <v>160</v>
      </c>
      <c r="B207" s="39">
        <f>'Design Regulator'!E103</f>
        <v>40</v>
      </c>
      <c r="C207" s="171" t="s">
        <v>380</v>
      </c>
      <c r="D207" t="s">
        <v>184</v>
      </c>
      <c r="H207" s="88"/>
    </row>
    <row r="208" spans="1:10" ht="15.75" x14ac:dyDescent="0.25">
      <c r="A208" s="477" t="s">
        <v>427</v>
      </c>
      <c r="B208" s="39"/>
      <c r="H208" s="88"/>
    </row>
    <row r="209" spans="1:8" x14ac:dyDescent="0.2">
      <c r="A209" s="87" t="s">
        <v>364</v>
      </c>
      <c r="B209" s="39">
        <f>'Design Regulator'!E105</f>
        <v>0</v>
      </c>
      <c r="C209" t="s">
        <v>0</v>
      </c>
      <c r="D209" t="s">
        <v>367</v>
      </c>
      <c r="H209" s="88"/>
    </row>
    <row r="210" spans="1:8" x14ac:dyDescent="0.2">
      <c r="A210" s="87" t="s">
        <v>365</v>
      </c>
      <c r="B210" s="39">
        <v>0</v>
      </c>
      <c r="C210" t="s">
        <v>269</v>
      </c>
      <c r="D210" t="s">
        <v>368</v>
      </c>
      <c r="H210" s="88"/>
    </row>
    <row r="211" spans="1:8" x14ac:dyDescent="0.2">
      <c r="A211" s="87" t="s">
        <v>366</v>
      </c>
      <c r="B211" s="39">
        <v>0</v>
      </c>
      <c r="C211" t="s">
        <v>2</v>
      </c>
      <c r="D211" t="s">
        <v>369</v>
      </c>
      <c r="H211" s="88"/>
    </row>
    <row r="212" spans="1:8" x14ac:dyDescent="0.2">
      <c r="A212" s="99" t="s">
        <v>209</v>
      </c>
      <c r="H212" s="88"/>
    </row>
    <row r="213" spans="1:8" x14ac:dyDescent="0.2">
      <c r="A213" s="87" t="s">
        <v>267</v>
      </c>
      <c r="B213" s="39">
        <v>30</v>
      </c>
      <c r="H213" s="88"/>
    </row>
    <row r="214" spans="1:8" x14ac:dyDescent="0.2">
      <c r="A214" s="99" t="s">
        <v>149</v>
      </c>
      <c r="H214" s="88"/>
    </row>
    <row r="215" spans="1:8" x14ac:dyDescent="0.2">
      <c r="A215" s="87" t="s">
        <v>129</v>
      </c>
      <c r="H215" s="88"/>
    </row>
    <row r="216" spans="1:8" x14ac:dyDescent="0.2">
      <c r="A216" s="87" t="s">
        <v>166</v>
      </c>
      <c r="B216" s="106">
        <f>(QgdTop+QgsTop/2)*(RdsonDRT+RGateTop)/(Vdd-VspTop)</f>
        <v>1.8012219959266803E-9</v>
      </c>
      <c r="C216" t="s">
        <v>265</v>
      </c>
      <c r="H216" s="88"/>
    </row>
    <row r="217" spans="1:8" x14ac:dyDescent="0.2">
      <c r="A217" s="87" t="s">
        <v>167</v>
      </c>
      <c r="B217" s="106">
        <f>(QgdTop+QgsTop/2)*(RdsonDRT+RGateTop)/(VspTop)</f>
        <v>2.1623471882640587E-9</v>
      </c>
      <c r="C217" t="s">
        <v>265</v>
      </c>
      <c r="H217" s="88"/>
    </row>
    <row r="218" spans="1:8" x14ac:dyDescent="0.2">
      <c r="A218" s="87"/>
      <c r="H218" s="88"/>
    </row>
    <row r="219" spans="1:8" x14ac:dyDescent="0.2">
      <c r="A219" s="87"/>
      <c r="H219" s="88"/>
    </row>
    <row r="220" spans="1:8" x14ac:dyDescent="0.2">
      <c r="A220" s="99" t="s">
        <v>391</v>
      </c>
      <c r="B220" s="2" t="s">
        <v>8</v>
      </c>
      <c r="C220" s="2" t="s">
        <v>148</v>
      </c>
      <c r="H220" s="88"/>
    </row>
    <row r="221" spans="1:8" x14ac:dyDescent="0.2">
      <c r="A221" s="89" t="s">
        <v>207</v>
      </c>
      <c r="B221" s="410">
        <f>'Power Calculations'!AN9</f>
        <v>0.16500000000000001</v>
      </c>
      <c r="C221" s="3" t="s">
        <v>208</v>
      </c>
      <c r="H221" s="88"/>
    </row>
    <row r="222" spans="1:8" x14ac:dyDescent="0.2">
      <c r="A222" s="89" t="s">
        <v>211</v>
      </c>
      <c r="B222" s="411">
        <f>B221*ThetaJaCtrl</f>
        <v>4.95</v>
      </c>
      <c r="C222" s="171" t="s">
        <v>441</v>
      </c>
      <c r="H222" s="88"/>
    </row>
    <row r="223" spans="1:8" x14ac:dyDescent="0.2">
      <c r="A223" s="89" t="s">
        <v>387</v>
      </c>
      <c r="B223" s="413">
        <f>(QgBot+QgTop)*Fsw+Iq</f>
        <v>1.0999999999999999E-2</v>
      </c>
      <c r="C223" t="s">
        <v>2</v>
      </c>
      <c r="H223" s="88"/>
    </row>
    <row r="224" spans="1:8" x14ac:dyDescent="0.2">
      <c r="A224" s="89" t="s">
        <v>388</v>
      </c>
      <c r="B224" s="412">
        <f>QrrBot*Fsw</f>
        <v>2E-3</v>
      </c>
      <c r="C224" t="s">
        <v>2</v>
      </c>
      <c r="H224" s="88"/>
    </row>
    <row r="225" spans="1:8" x14ac:dyDescent="0.2">
      <c r="A225" s="89" t="s">
        <v>389</v>
      </c>
      <c r="B225" s="412">
        <f>C225/Vin</f>
        <v>7.5557300000000005E-4</v>
      </c>
      <c r="C225">
        <f>Deadtime*Fsw*(Ipp/2)*(VsdTop+VsdBot)</f>
        <v>1.1333595E-2</v>
      </c>
      <c r="H225" s="88"/>
    </row>
    <row r="226" spans="1:8" x14ac:dyDescent="0.2">
      <c r="A226" s="89" t="s">
        <v>392</v>
      </c>
      <c r="B226" s="412">
        <f>SUM(B223:B225)</f>
        <v>1.3755573E-2</v>
      </c>
      <c r="C226" t="s">
        <v>2</v>
      </c>
      <c r="H226" s="88"/>
    </row>
    <row r="227" spans="1:8" x14ac:dyDescent="0.2">
      <c r="A227" s="87"/>
      <c r="H227" s="88"/>
    </row>
    <row r="228" spans="1:8" x14ac:dyDescent="0.2">
      <c r="A228" s="87"/>
      <c r="H228" s="88"/>
    </row>
    <row r="229" spans="1:8" x14ac:dyDescent="0.2">
      <c r="A229" s="87"/>
      <c r="H229" s="88"/>
    </row>
    <row r="230" spans="1:8" x14ac:dyDescent="0.2">
      <c r="A230" s="87"/>
      <c r="H230" s="88"/>
    </row>
    <row r="231" spans="1:8" x14ac:dyDescent="0.2">
      <c r="A231" s="87"/>
      <c r="H231" s="88"/>
    </row>
    <row r="232" spans="1:8" x14ac:dyDescent="0.2">
      <c r="A232" s="99" t="s">
        <v>150</v>
      </c>
      <c r="H232" s="88"/>
    </row>
    <row r="233" spans="1:8" x14ac:dyDescent="0.2">
      <c r="A233" s="87" t="s">
        <v>206</v>
      </c>
      <c r="H233" s="88"/>
    </row>
    <row r="234" spans="1:8" ht="13.5" thickBot="1" x14ac:dyDescent="0.25">
      <c r="A234" s="91" t="s">
        <v>207</v>
      </c>
      <c r="B234" s="92"/>
      <c r="C234" s="92"/>
      <c r="D234" s="92"/>
      <c r="E234" s="92"/>
      <c r="F234" s="92"/>
      <c r="G234" s="92"/>
      <c r="H234" s="93"/>
    </row>
    <row r="235" spans="1:8" x14ac:dyDescent="0.2">
      <c r="A235" s="1"/>
      <c r="B235" s="1"/>
    </row>
    <row r="236" spans="1:8" ht="21.75" customHeight="1" thickBot="1" x14ac:dyDescent="0.3">
      <c r="A236" s="133" t="s">
        <v>381</v>
      </c>
    </row>
    <row r="237" spans="1:8" x14ac:dyDescent="0.2">
      <c r="A237" s="134" t="str">
        <f>"RC1 = "&amp;'Design Regulator'!D74&amp;"kΩ"</f>
        <v>RC1 = 3.83kΩ</v>
      </c>
      <c r="B237" s="94" t="str">
        <f>'Design Regulator'!D74&amp;"kΩ"</f>
        <v>3.83kΩ</v>
      </c>
      <c r="C237" s="94"/>
      <c r="D237" s="94"/>
      <c r="E237" s="94"/>
      <c r="F237" s="94"/>
      <c r="G237" s="94"/>
      <c r="H237" s="95"/>
    </row>
    <row r="238" spans="1:8" x14ac:dyDescent="0.2">
      <c r="A238" s="87" t="str">
        <f>"LOUT = "&amp;'Design Regulator'!E17&amp;"uH"</f>
        <v>LOUT = 15uH</v>
      </c>
      <c r="B238" t="str">
        <f>'Design Regulator'!E17&amp;"µH"</f>
        <v>15µH</v>
      </c>
      <c r="H238" s="88"/>
    </row>
    <row r="239" spans="1:8" x14ac:dyDescent="0.2">
      <c r="A239" s="87" t="str">
        <f>"Rdcr = "&amp;'Design Regulator'!E18&amp;"mΩ"</f>
        <v>Rdcr = 24.7mΩ</v>
      </c>
      <c r="B239" t="str">
        <f>'Design Regulator'!E18&amp;"mΩ"</f>
        <v>24.7mΩ</v>
      </c>
      <c r="H239" s="88"/>
    </row>
    <row r="240" spans="1:8" x14ac:dyDescent="0.2">
      <c r="A240" s="387"/>
      <c r="H240" s="88"/>
    </row>
    <row r="241" spans="1:8" x14ac:dyDescent="0.2">
      <c r="A241" s="87" t="str">
        <f>"VOUT = "&amp;'Design Regulator'!E9&amp;"V"</f>
        <v>VOUT = 5.1V</v>
      </c>
      <c r="B241" t="str">
        <f>'Design Regulator'!E9&amp;"V"</f>
        <v>5.1V</v>
      </c>
      <c r="H241" s="88"/>
    </row>
    <row r="242" spans="1:8" x14ac:dyDescent="0.2">
      <c r="A242" s="87"/>
      <c r="C242" s="173" t="str">
        <f>M44</f>
        <v>47</v>
      </c>
      <c r="D242" s="173">
        <f>ROUNDUP('Design Regulator'!$E$33/C242,0)</f>
        <v>1</v>
      </c>
      <c r="H242" s="88"/>
    </row>
    <row r="243" spans="1:8" x14ac:dyDescent="0.2">
      <c r="A243" s="87" t="str">
        <f>"COUT = "&amp;'Design Regulator'!$E$33&amp;"uF"</f>
        <v>COUT = 19.2uF</v>
      </c>
      <c r="B243" t="str">
        <f>'Design Regulator'!$E$33&amp;"µF"</f>
        <v>19.2µF</v>
      </c>
      <c r="C243" s="173" t="str">
        <f>C242</f>
        <v>47</v>
      </c>
      <c r="D243" s="173" t="str">
        <f>IF(D242=1, "",B245)</f>
        <v/>
      </c>
      <c r="E243" t="str">
        <f>D243&amp;C243&amp;"µF"</f>
        <v>47µF</v>
      </c>
      <c r="F243" t="str">
        <f>C243&amp;"µF"</f>
        <v>47µF</v>
      </c>
      <c r="G243" t="str">
        <f>L66</f>
        <v>10V</v>
      </c>
      <c r="H243" s="88"/>
    </row>
    <row r="244" spans="1:8" x14ac:dyDescent="0.2">
      <c r="A244" s="306" t="s">
        <v>527</v>
      </c>
      <c r="B244" t="str">
        <f>C242&amp;"µF"</f>
        <v>47µF</v>
      </c>
      <c r="H244" s="88"/>
    </row>
    <row r="245" spans="1:8" x14ac:dyDescent="0.2">
      <c r="A245" s="306" t="s">
        <v>528</v>
      </c>
      <c r="B245" s="173" t="str">
        <f>D242&amp;" x "</f>
        <v xml:space="preserve">1 x </v>
      </c>
      <c r="H245" s="88"/>
    </row>
    <row r="246" spans="1:8" x14ac:dyDescent="0.2">
      <c r="A246" s="388"/>
      <c r="H246" s="88"/>
    </row>
    <row r="247" spans="1:8" x14ac:dyDescent="0.2">
      <c r="A247" s="387"/>
      <c r="H247" s="88"/>
    </row>
    <row r="248" spans="1:8" x14ac:dyDescent="0.2">
      <c r="A248" s="87" t="s">
        <v>409</v>
      </c>
      <c r="B248" t="str">
        <f>Cin*1000000&amp;"µF"</f>
        <v>19.2µF</v>
      </c>
      <c r="H248" s="88"/>
    </row>
    <row r="249" spans="1:8" x14ac:dyDescent="0.2">
      <c r="A249" s="306" t="s">
        <v>526</v>
      </c>
      <c r="B249" t="str">
        <f>"4.7µF"</f>
        <v>4.7µF</v>
      </c>
      <c r="H249" s="88"/>
    </row>
    <row r="250" spans="1:8" x14ac:dyDescent="0.2">
      <c r="A250" s="306" t="s">
        <v>525</v>
      </c>
      <c r="B250" s="173" t="str">
        <f>ROUNDUP(Cin*1000000/4.7,0)&amp;" x "</f>
        <v xml:space="preserve">5 x </v>
      </c>
      <c r="E250" t="str">
        <f>B250&amp;B249</f>
        <v>5 x 4.7µF</v>
      </c>
      <c r="H250" s="88"/>
    </row>
    <row r="251" spans="1:8" x14ac:dyDescent="0.2">
      <c r="A251" s="388"/>
      <c r="B251" s="173"/>
      <c r="H251" s="88"/>
    </row>
    <row r="252" spans="1:8" x14ac:dyDescent="0.2">
      <c r="A252" s="306"/>
      <c r="B252" s="173"/>
      <c r="H252" s="88"/>
    </row>
    <row r="253" spans="1:8" x14ac:dyDescent="0.2">
      <c r="A253" s="87" t="str">
        <f>"RC1 = "&amp;Rcea1_u/1000&amp;"kΩ"</f>
        <v>RC1 = 3.83kΩ</v>
      </c>
      <c r="B253" t="str">
        <f>ROUND(Rcea1_u/1000,2)&amp;"kΩ"</f>
        <v>3.83kΩ</v>
      </c>
      <c r="H253" s="88"/>
    </row>
    <row r="254" spans="1:8" x14ac:dyDescent="0.2">
      <c r="A254" s="87" t="str">
        <f>"CC1 = "&amp;Cc1ea_u*10^9&amp;"nF"</f>
        <v>CC1 = 39nF</v>
      </c>
      <c r="B254" t="str">
        <f>ROUND(Cc1ea_u*10^9,1)&amp;"nF"</f>
        <v>39nF</v>
      </c>
      <c r="H254" s="88"/>
    </row>
    <row r="255" spans="1:8" x14ac:dyDescent="0.2">
      <c r="A255" s="87" t="str">
        <f>"CC2 = "&amp;Cc2ea_u*10^12&amp;"pF"</f>
        <v>CC2 = 180pF</v>
      </c>
      <c r="B255" t="str">
        <f>ROUND(Cc2ea_u*10^12,0)&amp;"pF"</f>
        <v>180pF</v>
      </c>
      <c r="H255" s="88"/>
    </row>
    <row r="256" spans="1:8" x14ac:dyDescent="0.2">
      <c r="A256" s="87" t="str">
        <f>"RC2 = "&amp;Rcea2_u&amp;"Ω"</f>
        <v>RC2 = 523Ω</v>
      </c>
      <c r="B256" t="str">
        <f>ROUND(Rcea2_u,2)&amp;"Ω"</f>
        <v>523Ω</v>
      </c>
      <c r="H256" s="88"/>
    </row>
    <row r="257" spans="1:8" x14ac:dyDescent="0.2">
      <c r="A257" s="87" t="str">
        <f>"CC3 = "&amp;Cc3ea_u*10^12&amp;"pF"</f>
        <v>CC3 = 1200pF</v>
      </c>
      <c r="B257" t="str">
        <f>ROUND(Cc3ea_u*10^12,0)&amp;"pF"</f>
        <v>1200pF</v>
      </c>
      <c r="H257" s="88"/>
    </row>
    <row r="258" spans="1:8" x14ac:dyDescent="0.2">
      <c r="A258" s="87" t="str">
        <f>"RFB1 = "&amp;'Design Regulator'!E63&amp;"kΩ"</f>
        <v>RFB1 = 18kΩ</v>
      </c>
      <c r="B258" t="str">
        <f>'Design Regulator'!E63&amp;"kΩ"</f>
        <v>18kΩ</v>
      </c>
      <c r="H258" s="88"/>
    </row>
    <row r="259" spans="1:8" x14ac:dyDescent="0.2">
      <c r="A259" s="87" t="str">
        <f>"RFB2 = "&amp;IF(Vout=Vref,"OPEN",'Design Regulator'!E64&amp;"kΩ")</f>
        <v>RFB2 = 3.32kΩ</v>
      </c>
      <c r="B259" t="str">
        <f>IF(Vout=Vref,"OPEN",Rfb2_u/1000&amp;"kΩ")</f>
        <v>3.32kΩ</v>
      </c>
      <c r="H259" s="88"/>
    </row>
    <row r="260" spans="1:8" x14ac:dyDescent="0.2">
      <c r="A260" s="87" t="str">
        <f>"Crossover Frequency = "&amp;ROUND('Bode Plots Calculations'!BK5,0)&amp;" kHz"</f>
        <v>Crossover Frequency = 41 kHz</v>
      </c>
      <c r="B260" t="str">
        <f>ROUND('Bode Plots Calculations'!BK5,0)&amp;" kHz"</f>
        <v>41 kHz</v>
      </c>
      <c r="C260" s="172">
        <f>'Bode Plots Calculations'!BK5</f>
        <v>40.5</v>
      </c>
      <c r="H260" s="88"/>
    </row>
    <row r="261" spans="1:8" x14ac:dyDescent="0.2">
      <c r="A261" s="87" t="str">
        <f>"Phase Margin = "&amp;ROUND('Bode Plots Calculations'!BK6,0)&amp;"°"</f>
        <v>Phase Margin = 64°</v>
      </c>
      <c r="B261" s="173" t="str">
        <f>ROUND('Bode Plots Calculations'!BK6,0)&amp;"°"</f>
        <v>64°</v>
      </c>
      <c r="D261" s="309"/>
      <c r="H261" s="88"/>
    </row>
    <row r="262" spans="1:8" x14ac:dyDescent="0.2">
      <c r="A262" s="387"/>
      <c r="B262" s="173"/>
      <c r="D262" s="309"/>
      <c r="H262" s="88"/>
    </row>
    <row r="263" spans="1:8" x14ac:dyDescent="0.2">
      <c r="A263" s="87"/>
      <c r="H263" s="88"/>
    </row>
    <row r="264" spans="1:8" x14ac:dyDescent="0.2">
      <c r="A264" s="87" t="str">
        <f>"Rilim(Rdson) = "&amp;Rilim_Rdson&amp;"Ω"</f>
        <v>Rilim(Rdson) = 237Ω</v>
      </c>
      <c r="B264" t="str">
        <f>IF(Rilim_Rdson&gt;999,Rilim_Rdson/1000&amp;"kΩ", Rilim_Rdson&amp;"Ω")</f>
        <v>237Ω</v>
      </c>
      <c r="C264">
        <f>IF(Rilim_Rdson&gt;999,Rilim_Rdson/1000, Rilim_Rdson)</f>
        <v>237</v>
      </c>
      <c r="H264" s="88"/>
    </row>
    <row r="265" spans="1:8" x14ac:dyDescent="0.2">
      <c r="A265" s="87" t="str">
        <f>"Rilim(shunt) = "&amp;Rilim_shunt&amp;"Ω"</f>
        <v>Rilim(shunt) = 78.7Ω</v>
      </c>
      <c r="B265" t="str">
        <f>IF('Standard Value Calculator'!S22&gt;999, 'Standard Value Calculator'!S22/1000&amp;"kΩ", 'Standard Value Calculator'!S22&amp;"Ω")</f>
        <v>78.7Ω</v>
      </c>
      <c r="C265">
        <f>IF('Standard Value Calculator'!S22&gt;999, 'Standard Value Calculator'!S22/1000, 'Standard Value Calculator'!S22)</f>
        <v>78.7</v>
      </c>
      <c r="H265" s="88"/>
    </row>
    <row r="266" spans="1:8" x14ac:dyDescent="0.2">
      <c r="A266" s="87" t="s">
        <v>692</v>
      </c>
      <c r="B266" t="str">
        <f>Cilim_ideal&amp;"pF"</f>
        <v>22pF</v>
      </c>
      <c r="C266" s="462">
        <f>Cilim_ideal</f>
        <v>22</v>
      </c>
      <c r="H266" s="88"/>
    </row>
    <row r="267" spans="1:8" x14ac:dyDescent="0.2">
      <c r="A267" s="387"/>
      <c r="H267" s="88"/>
    </row>
    <row r="268" spans="1:8" x14ac:dyDescent="0.2">
      <c r="A268" s="388" t="s">
        <v>594</v>
      </c>
      <c r="B268" t="str">
        <f>IF(RDSON_sense=1, 'Variable Management'!B264,'Variable Management'!B265)</f>
        <v>237Ω</v>
      </c>
      <c r="C268">
        <f>IF(RDSON_sense=1, 'Variable Management'!C264,'Variable Management'!C265)</f>
        <v>237</v>
      </c>
      <c r="H268" s="88"/>
    </row>
    <row r="269" spans="1:8" x14ac:dyDescent="0.2">
      <c r="A269" s="388" t="str">
        <f>IF(RDSON_sense=1, "", "Rs")</f>
        <v/>
      </c>
      <c r="B269" t="str">
        <f>IF(RDSON_sense=1, "", Rshunt*1000&amp;"mΩ")</f>
        <v/>
      </c>
      <c r="D269" t="s">
        <v>694</v>
      </c>
      <c r="H269" s="88"/>
    </row>
    <row r="270" spans="1:8" x14ac:dyDescent="0.2">
      <c r="A270" s="388" t="str">
        <f>IF(RDSON_sense=1, "Cilim", "")</f>
        <v>Cilim</v>
      </c>
      <c r="B270" t="str">
        <f>IF(RDSON_sense=1, IF(Cilim_ideal&lt;3.3, "N/A", Cilim_ideal&amp;"pF"), "")</f>
        <v>22pF</v>
      </c>
      <c r="C270" s="427" t="str">
        <f>IF(RDSON_sense=1, IF(Cilim_ideal&lt;3.3, "N/A", Cilim_ideal&amp;""), "")</f>
        <v>22</v>
      </c>
      <c r="D270" t="s">
        <v>695</v>
      </c>
      <c r="H270" s="88"/>
    </row>
    <row r="271" spans="1:8" x14ac:dyDescent="0.2">
      <c r="A271" s="387"/>
      <c r="H271" s="88"/>
    </row>
    <row r="272" spans="1:8" x14ac:dyDescent="0.2">
      <c r="A272" s="387"/>
      <c r="H272" s="88"/>
    </row>
    <row r="273" spans="1:8" x14ac:dyDescent="0.2">
      <c r="A273" s="87" t="s">
        <v>428</v>
      </c>
      <c r="B273" t="str">
        <f>'Standard Value Calculator'!S24/1000&amp;"kΩ"</f>
        <v>0kΩ</v>
      </c>
      <c r="C273">
        <f>'Standard Value Calculator'!S24/1000</f>
        <v>0</v>
      </c>
      <c r="H273" s="88"/>
    </row>
    <row r="274" spans="1:8" x14ac:dyDescent="0.2">
      <c r="A274" s="306" t="s">
        <v>520</v>
      </c>
      <c r="B274" s="171" t="s">
        <v>521</v>
      </c>
      <c r="H274" s="88"/>
    </row>
    <row r="275" spans="1:8" x14ac:dyDescent="0.2">
      <c r="A275" s="87" t="s">
        <v>295</v>
      </c>
      <c r="B275" t="str">
        <f>'Standard Value Calculator'!S4/1000&amp;"kΩ"</f>
        <v>20kΩ</v>
      </c>
      <c r="H275" s="88"/>
    </row>
    <row r="276" spans="1:8" x14ac:dyDescent="0.2">
      <c r="A276" s="87" t="s">
        <v>294</v>
      </c>
      <c r="B276" t="str">
        <f>'Standard Value Calculator'!B4*1000000000 &amp;"nF"</f>
        <v>56nF</v>
      </c>
      <c r="H276" s="88"/>
    </row>
    <row r="277" spans="1:8" x14ac:dyDescent="0.2">
      <c r="A277" s="306" t="s">
        <v>522</v>
      </c>
      <c r="B277" s="171" t="s">
        <v>557</v>
      </c>
      <c r="H277" s="88"/>
    </row>
    <row r="278" spans="1:8" x14ac:dyDescent="0.2">
      <c r="A278" s="87" t="s">
        <v>357</v>
      </c>
      <c r="B278" t="str">
        <f>IF(B47="y","","|")</f>
        <v>|</v>
      </c>
      <c r="H278" s="88"/>
    </row>
    <row r="279" spans="1:8" x14ac:dyDescent="0.2">
      <c r="A279" s="87" t="s">
        <v>384</v>
      </c>
      <c r="B279" t="str">
        <f>'Design Regulator'!$E$10&amp;"A"</f>
        <v>2A</v>
      </c>
      <c r="H279" s="88"/>
    </row>
    <row r="280" spans="1:8" x14ac:dyDescent="0.2">
      <c r="A280" s="87" t="s">
        <v>281</v>
      </c>
      <c r="B280" t="str">
        <f>Vin&amp;"V"</f>
        <v>15V</v>
      </c>
      <c r="H280" s="88"/>
    </row>
    <row r="281" spans="1:8" x14ac:dyDescent="0.2">
      <c r="A281" s="388" t="s">
        <v>700</v>
      </c>
      <c r="B281" t="str">
        <f>Vinmin&amp;"V to "&amp;Vinmax&amp;"V"</f>
        <v>14V to 16V</v>
      </c>
      <c r="H281" s="88"/>
    </row>
    <row r="282" spans="1:8" x14ac:dyDescent="0.2">
      <c r="A282" s="388"/>
      <c r="H282" s="88"/>
    </row>
    <row r="283" spans="1:8" x14ac:dyDescent="0.2">
      <c r="A283" s="87"/>
      <c r="H283" s="88"/>
    </row>
    <row r="284" spans="1:8" x14ac:dyDescent="0.2">
      <c r="A284" s="87" t="s">
        <v>393</v>
      </c>
      <c r="B284">
        <v>12</v>
      </c>
      <c r="H284" s="88"/>
    </row>
    <row r="285" spans="1:8" x14ac:dyDescent="0.2">
      <c r="A285" s="87" t="s">
        <v>394</v>
      </c>
      <c r="B285">
        <v>18</v>
      </c>
      <c r="H285" s="88"/>
    </row>
    <row r="286" spans="1:8" x14ac:dyDescent="0.2">
      <c r="A286" s="87" t="s">
        <v>395</v>
      </c>
      <c r="B286">
        <v>14</v>
      </c>
      <c r="H286" s="88"/>
    </row>
    <row r="287" spans="1:8" x14ac:dyDescent="0.2">
      <c r="A287" s="87" t="s">
        <v>396</v>
      </c>
      <c r="B287">
        <v>6</v>
      </c>
      <c r="H287" s="88"/>
    </row>
    <row r="288" spans="1:8" x14ac:dyDescent="0.2">
      <c r="A288" s="87" t="s">
        <v>397</v>
      </c>
      <c r="B288">
        <v>7</v>
      </c>
      <c r="H288" s="88"/>
    </row>
    <row r="289" spans="1:8" x14ac:dyDescent="0.2">
      <c r="A289" s="87" t="s">
        <v>398</v>
      </c>
      <c r="B289">
        <v>11</v>
      </c>
      <c r="H289" s="88"/>
    </row>
    <row r="290" spans="1:8" x14ac:dyDescent="0.2">
      <c r="A290" s="87" t="s">
        <v>399</v>
      </c>
      <c r="B290">
        <v>1</v>
      </c>
      <c r="H290" s="88"/>
    </row>
    <row r="291" spans="1:8" x14ac:dyDescent="0.2">
      <c r="A291" s="87" t="s">
        <v>400</v>
      </c>
      <c r="B291">
        <v>5</v>
      </c>
      <c r="H291" s="88"/>
    </row>
    <row r="292" spans="1:8" x14ac:dyDescent="0.2">
      <c r="A292" s="87" t="s">
        <v>401</v>
      </c>
      <c r="B292">
        <v>13</v>
      </c>
      <c r="H292" s="88"/>
    </row>
    <row r="293" spans="1:8" x14ac:dyDescent="0.2">
      <c r="A293" s="87" t="s">
        <v>402</v>
      </c>
      <c r="B293">
        <v>4</v>
      </c>
      <c r="H293" s="88"/>
    </row>
    <row r="294" spans="1:8" x14ac:dyDescent="0.2">
      <c r="A294" s="87" t="s">
        <v>403</v>
      </c>
      <c r="B294">
        <v>3</v>
      </c>
      <c r="H294" s="88"/>
    </row>
    <row r="295" spans="1:8" x14ac:dyDescent="0.2">
      <c r="A295" s="87" t="s">
        <v>404</v>
      </c>
      <c r="B295">
        <v>24</v>
      </c>
      <c r="H295" s="88"/>
    </row>
    <row r="296" spans="1:8" x14ac:dyDescent="0.2">
      <c r="A296" s="87" t="s">
        <v>405</v>
      </c>
      <c r="B296">
        <v>23</v>
      </c>
      <c r="H296" s="88"/>
    </row>
    <row r="297" spans="1:8" x14ac:dyDescent="0.2">
      <c r="A297" s="87" t="s">
        <v>406</v>
      </c>
      <c r="B297">
        <v>15</v>
      </c>
      <c r="H297" s="88"/>
    </row>
    <row r="298" spans="1:8" x14ac:dyDescent="0.2">
      <c r="A298" s="87" t="s">
        <v>407</v>
      </c>
      <c r="B298">
        <v>16</v>
      </c>
      <c r="H298" s="88"/>
    </row>
    <row r="299" spans="1:8" x14ac:dyDescent="0.2">
      <c r="A299" s="87" t="s">
        <v>408</v>
      </c>
      <c r="B299">
        <v>17</v>
      </c>
      <c r="H299" s="88"/>
    </row>
    <row r="300" spans="1:8" x14ac:dyDescent="0.2">
      <c r="A300" t="s">
        <v>426</v>
      </c>
      <c r="B300">
        <v>2</v>
      </c>
      <c r="H300" s="88"/>
    </row>
    <row r="301" spans="1:8" x14ac:dyDescent="0.2">
      <c r="A301" s="87" t="s">
        <v>423</v>
      </c>
      <c r="B301">
        <v>8</v>
      </c>
      <c r="H301" s="88"/>
    </row>
    <row r="302" spans="1:8" x14ac:dyDescent="0.2">
      <c r="A302" s="87" t="s">
        <v>424</v>
      </c>
      <c r="B302">
        <v>9</v>
      </c>
      <c r="H302" s="88"/>
    </row>
    <row r="303" spans="1:8" ht="13.5" thickBot="1" x14ac:dyDescent="0.25">
      <c r="A303" s="91" t="s">
        <v>425</v>
      </c>
      <c r="B303" s="92">
        <v>10</v>
      </c>
      <c r="C303" s="92"/>
      <c r="D303" s="92"/>
      <c r="E303" s="92"/>
      <c r="F303" s="92"/>
      <c r="G303" s="92"/>
      <c r="H303" s="93"/>
    </row>
    <row r="307" spans="1:2" x14ac:dyDescent="0.2">
      <c r="A307" s="167"/>
    </row>
    <row r="308" spans="1:2" x14ac:dyDescent="0.2">
      <c r="A308" s="460" t="s">
        <v>687</v>
      </c>
      <c r="B308" s="54" t="str">
        <f>ROUND('Power Calculations'!AU209*1,1)&amp;"%"</f>
        <v>93.2%</v>
      </c>
    </row>
    <row r="309" spans="1:2" x14ac:dyDescent="0.2">
      <c r="A309" s="460" t="s">
        <v>688</v>
      </c>
      <c r="B309" s="54" t="str">
        <f>ROUND('Power Calculations'!AU109*1,1)&amp;"%"</f>
        <v>90.3%</v>
      </c>
    </row>
    <row r="346" spans="1:1" x14ac:dyDescent="0.2">
      <c r="A346" t="s">
        <v>315</v>
      </c>
    </row>
    <row r="347" spans="1:1" x14ac:dyDescent="0.2">
      <c r="A347" t="s">
        <v>316</v>
      </c>
    </row>
    <row r="348" spans="1:1" x14ac:dyDescent="0.2">
      <c r="A348" t="s">
        <v>317</v>
      </c>
    </row>
    <row r="349" spans="1:1" x14ac:dyDescent="0.2">
      <c r="A349" t="s">
        <v>318</v>
      </c>
    </row>
  </sheetData>
  <sheetProtection selectLockedCells="1"/>
  <mergeCells count="2">
    <mergeCell ref="D5:G5"/>
    <mergeCell ref="A1:H1"/>
  </mergeCells>
  <phoneticPr fontId="5" type="noConversion"/>
  <pageMargins left="0.75" right="0.75" top="1" bottom="1" header="0.5" footer="0.5"/>
  <pageSetup orientation="portrait" r:id="rId1"/>
  <headerFooter alignWithMargins="0"/>
  <ignoredErrors>
    <ignoredError sqref="L69:L73" numberStoredAsText="1"/>
  </ignoredErrors>
  <drawing r:id="rId2"/>
  <legacyDrawing r:id="rId3"/>
  <oleObjects>
    <mc:AlternateContent xmlns:mc="http://schemas.openxmlformats.org/markup-compatibility/2006">
      <mc:Choice Requires="x14">
        <oleObject progId="Visio.Drawing.11" shapeId="3073" r:id="rId4">
          <objectPr defaultSize="0" autoPict="0" r:id="rId5">
            <anchor moveWithCells="1">
              <from>
                <xdr:col>9</xdr:col>
                <xdr:colOff>219075</xdr:colOff>
                <xdr:row>10</xdr:row>
                <xdr:rowOff>114300</xdr:rowOff>
              </from>
              <to>
                <xdr:col>16</xdr:col>
                <xdr:colOff>28575</xdr:colOff>
                <xdr:row>31</xdr:row>
                <xdr:rowOff>123825</xdr:rowOff>
              </to>
            </anchor>
          </objectPr>
        </oleObject>
      </mc:Choice>
      <mc:Fallback>
        <oleObject progId="Visio.Drawing.11" shapeId="3073" r:id="rId4"/>
      </mc:Fallback>
    </mc:AlternateContent>
  </oleObjec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2:T159"/>
  <sheetViews>
    <sheetView workbookViewId="0">
      <selection activeCell="S4" sqref="S4"/>
    </sheetView>
  </sheetViews>
  <sheetFormatPr defaultRowHeight="12.75" x14ac:dyDescent="0.2"/>
  <cols>
    <col min="1" max="1" width="17.28515625" customWidth="1"/>
    <col min="2" max="2" width="12" bestFit="1" customWidth="1"/>
    <col min="3" max="5" width="12.42578125" bestFit="1" customWidth="1"/>
    <col min="8" max="8" width="12.42578125" bestFit="1" customWidth="1"/>
    <col min="14" max="14" width="11.85546875" customWidth="1"/>
    <col min="17" max="17" width="12.140625" customWidth="1"/>
    <col min="18" max="18" width="12.42578125" bestFit="1" customWidth="1"/>
    <col min="19" max="19" width="15.42578125" customWidth="1"/>
  </cols>
  <sheetData>
    <row r="2" spans="1:20" x14ac:dyDescent="0.2">
      <c r="A2" t="s">
        <v>306</v>
      </c>
      <c r="B2" t="s">
        <v>294</v>
      </c>
      <c r="C2" t="s">
        <v>54</v>
      </c>
      <c r="D2" t="s">
        <v>55</v>
      </c>
      <c r="E2" t="s">
        <v>57</v>
      </c>
      <c r="F2" t="s">
        <v>36</v>
      </c>
      <c r="G2" t="s">
        <v>127</v>
      </c>
      <c r="H2" t="s">
        <v>692</v>
      </c>
      <c r="I2" t="s">
        <v>320</v>
      </c>
      <c r="J2" t="s">
        <v>304</v>
      </c>
      <c r="K2" t="s">
        <v>324</v>
      </c>
      <c r="L2" t="s">
        <v>303</v>
      </c>
      <c r="M2" t="s">
        <v>314</v>
      </c>
      <c r="N2" t="s">
        <v>358</v>
      </c>
    </row>
    <row r="3" spans="1:20" x14ac:dyDescent="0.2">
      <c r="A3" t="s">
        <v>309</v>
      </c>
      <c r="B3">
        <f>Css</f>
        <v>5.6249999999999997E-8</v>
      </c>
      <c r="C3">
        <f>Cc1ea</f>
        <v>4.1645178663553406E-8</v>
      </c>
      <c r="D3">
        <f>Cc2ea</f>
        <v>1.6724971350824657E-10</v>
      </c>
      <c r="E3">
        <f>Cc3ea</f>
        <v>1.2277667052546919E-9</v>
      </c>
      <c r="F3">
        <f>Cout</f>
        <v>1.9199999999999999E-5</v>
      </c>
      <c r="G3">
        <f>Cin</f>
        <v>1.9199999999999999E-5</v>
      </c>
      <c r="H3">
        <f>Cilim</f>
        <v>2.3298667637235997E-11</v>
      </c>
      <c r="I3">
        <f>Cdd</f>
        <v>0</v>
      </c>
      <c r="J3">
        <f>Csb</f>
        <v>0</v>
      </c>
      <c r="K3">
        <f>Csby</f>
        <v>100</v>
      </c>
      <c r="L3">
        <f>Cby</f>
        <v>0</v>
      </c>
      <c r="M3">
        <f>Cb</f>
        <v>0</v>
      </c>
      <c r="N3" t="e">
        <f>'Variable Management'!#REF!</f>
        <v>#REF!</v>
      </c>
      <c r="Q3" t="s">
        <v>311</v>
      </c>
      <c r="R3" t="s">
        <v>313</v>
      </c>
      <c r="S3" s="2" t="s">
        <v>308</v>
      </c>
    </row>
    <row r="4" spans="1:20" x14ac:dyDescent="0.2">
      <c r="A4" s="7" t="s">
        <v>308</v>
      </c>
      <c r="B4" s="7">
        <f>SUM(B6:B158)/1000000000000</f>
        <v>5.5999999999999999E-8</v>
      </c>
      <c r="C4" s="7">
        <f t="shared" ref="C4:H4" si="0">SUM(C6:C158)/1000000000000</f>
        <v>3.8999999999999998E-8</v>
      </c>
      <c r="D4" s="7">
        <f t="shared" si="0"/>
        <v>1.8E-10</v>
      </c>
      <c r="E4" s="7">
        <f t="shared" si="0"/>
        <v>1.2E-9</v>
      </c>
      <c r="F4" s="7">
        <f t="shared" si="0"/>
        <v>1.8E-5</v>
      </c>
      <c r="G4" s="7">
        <f t="shared" si="0"/>
        <v>1.8E-5</v>
      </c>
      <c r="H4" s="7">
        <f t="shared" si="0"/>
        <v>2.2000000000000002E-11</v>
      </c>
      <c r="I4" s="7">
        <f t="shared" ref="I4:N4" si="1">IF(I3="OPEN","OPEN",SUM(I6:I158)/1000000000000)</f>
        <v>0</v>
      </c>
      <c r="J4" s="7">
        <f t="shared" si="1"/>
        <v>0</v>
      </c>
      <c r="K4" s="7">
        <f t="shared" si="1"/>
        <v>0</v>
      </c>
      <c r="L4" s="7">
        <f t="shared" si="1"/>
        <v>0</v>
      </c>
      <c r="M4" s="7">
        <f t="shared" si="1"/>
        <v>0</v>
      </c>
      <c r="N4" s="7" t="e">
        <f t="shared" si="1"/>
        <v>#REF!</v>
      </c>
      <c r="Q4" t="s">
        <v>312</v>
      </c>
      <c r="R4">
        <f>Rfadj</f>
        <v>20000</v>
      </c>
      <c r="S4" s="2">
        <f t="shared" ref="S4:S6" si="2">IF(R4&gt;(INT(0.5+100*POWER(10,IF(96*(LOG(R4)-INT(LOG(R4)))-ROUND(96*(LOG(R4)-INT(LOG(R4))),0)&lt;0,ROUND(96*(LOG(R4)-INT(LOG(R4))),0)-1,ROUND(96*(LOG(R4)-INT(LOG(R4))),0))/96))*POWER(10,INT(LOG(R4))-2)+INT(0.5+100*POWER(10,(IF(96*(LOG(R4)-INT(LOG(R4)))-ROUND(96*(LOG(R4)-INT(LOG(R4))),0)&lt;0,ROUND(96*(LOG(R4)-INT(LOG(R4))),0)-1,ROUND(96*(LOG(R4)-INT(LOG(R4))),0))+1)/96))*POWER(10,INT(LOG(R4))-2))/2,INT(0.5+100*POWER(10,(IF(96*(LOG(R4)-INT(LOG(R4)))-ROUND(96*(LOG(R4)-INT(LOG(R4))),0)&lt;0,ROUND(96*(LOG(R4)-INT(LOG(R4))),0)-1,ROUND(96*(LOG(R4)-INT(LOG(R4))),0))+1)/96))*POWER(10,INT(LOG(R4))-2),INT(0.5+100*POWER(10,IF(96*(LOG(R4)-INT(LOG(R4)))-ROUND(96*(LOG(R4)-INT(LOG(R4))),0)&lt;0,ROUND(96*(LOG(R4)-INT(LOG(R4))),0)-1,ROUND(96*(LOG(R4)-INT(LOG(R4))),0))/96))*POWER(10,INT(LOG(R4))-2))</f>
        <v>20000</v>
      </c>
      <c r="T4" s="55" t="s">
        <v>535</v>
      </c>
    </row>
    <row r="5" spans="1:20" x14ac:dyDescent="0.2">
      <c r="A5" t="s">
        <v>307</v>
      </c>
      <c r="Q5" s="171" t="s">
        <v>587</v>
      </c>
      <c r="R5">
        <f>Rilim_Rdson_ideal</f>
        <v>237.16664</v>
      </c>
      <c r="S5" s="2">
        <f t="shared" si="2"/>
        <v>237</v>
      </c>
      <c r="T5" s="55" t="s">
        <v>535</v>
      </c>
    </row>
    <row r="6" spans="1:20" x14ac:dyDescent="0.2">
      <c r="A6">
        <v>0.47</v>
      </c>
      <c r="B6">
        <f>IF(IF((B$3*10^12-$A7)*(B$3*10^12-$A6)*-1&lt;0,0,1)*IF(ABS(B$3*10^12-$A7)&gt;(B$3*10^12-$A6),$A6,$A7)=B7,0,IF((B$3*10^12-$A7)*(B$3*10^12-$A6)*-1&lt;0,0,1)*IF(ABS(B$3*10^12-$A7)&gt;(B$3*10^12-$A6),$A6,$A7))</f>
        <v>0</v>
      </c>
      <c r="C6">
        <f>IF(IF((C$3*10^12-$A7)*(C$3*10^12-$A6)*-1&lt;0,0,1)*IF(ABS(C$3*10^12-$A7)&gt;(C$3*10^12-$A6),$A6,$A7)=C7,0,IF((C$3*10^12-$A7)*(C$3*10^12-$A6)*-1&lt;0,0,1)*IF(ABS(C$3*10^12-$A7)&gt;(C$3*10^12-$A6),$A6,$A7))</f>
        <v>0</v>
      </c>
      <c r="D6">
        <f t="shared" ref="D6:D69" si="3">IF(IF((D$3*10^12-$A7)*(D$3*10^12-$A6)*-1&lt;0,0,1)*IF(ABS(D$3*10^12-$A7)&gt;(D$3*10^12-$A6),$A6,$A7)=D7,0,IF((D$3*10^12-$A7)*(D$3*10^12-$A6)*-1&lt;0,0,1)*IF(ABS(D$3*10^12-$A7)&gt;(D$3*10^12-$A6),$A6,$A7))</f>
        <v>0</v>
      </c>
      <c r="E6">
        <f t="shared" ref="E6:E69" si="4">IF(IF((E$3*10^12-$A7)*(E$3*10^12-$A6)*-1&lt;0,0,1)*IF(ABS(E$3*10^12-$A7)&gt;(E$3*10^12-$A6),$A6,$A7)=E7,0,IF((E$3*10^12-$A7)*(E$3*10^12-$A6)*-1&lt;0,0,1)*IF(ABS(E$3*10^12-$A7)&gt;(E$3*10^12-$A6),$A6,$A7))</f>
        <v>0</v>
      </c>
      <c r="F6">
        <f t="shared" ref="F6:F69" si="5">IF(IF((F$3*10^12-$A7)*(F$3*10^12-$A6)*-1&lt;0,0,1)*IF(ABS(F$3*10^12-$A7)&gt;(F$3*10^12-$A6),$A6,$A7)=F7,0,IF((F$3*10^12-$A7)*(F$3*10^12-$A6)*-1&lt;0,0,1)*IF(ABS(F$3*10^12-$A7)&gt;(F$3*10^12-$A6),$A6,$A7))</f>
        <v>0</v>
      </c>
      <c r="G6">
        <f t="shared" ref="G6:G69" si="6">IF(IF((G$3*10^12-$A7)*(G$3*10^12-$A6)*-1&lt;0,0,1)*IF(ABS(G$3*10^12-$A7)&gt;(G$3*10^12-$A6),$A6,$A7)=G7,0,IF((G$3*10^12-$A7)*(G$3*10^12-$A6)*-1&lt;0,0,1)*IF(ABS(G$3*10^12-$A7)&gt;(G$3*10^12-$A6),$A6,$A7))</f>
        <v>0</v>
      </c>
      <c r="H6">
        <f t="shared" ref="H6:K69" si="7">IF(IF((H$3*10^12-$A7)*(H$3*10^12-$A6)*-1&lt;0,0,1)*IF(ABS(H$3*10^12-$A7)&gt;(H$3*10^12-$A6),$A6,$A7)=H7,0,IF((H$3*10^12-$A7)*(H$3*10^12-$A6)*-1&lt;0,0,1)*IF(ABS(H$3*10^12-$A7)&gt;(H$3*10^12-$A6),$A6,$A7))</f>
        <v>0</v>
      </c>
      <c r="I6">
        <f t="shared" si="7"/>
        <v>0</v>
      </c>
      <c r="J6">
        <f t="shared" si="7"/>
        <v>0</v>
      </c>
      <c r="K6">
        <f t="shared" si="7"/>
        <v>0</v>
      </c>
      <c r="L6">
        <f t="shared" ref="L6:L69" si="8">IF(IF((L$3*10^12-$A7)*(L$3*10^12-$A6)*-1&lt;0,0,1)*IF(ABS(L$3*10^12-$A7)&gt;(L$3*10^12-$A6),$A6,$A7)=L7,0,IF((L$3*10^12-$A7)*(L$3*10^12-$A6)*-1&lt;0,0,1)*IF(ABS(L$3*10^12-$A7)&gt;(L$3*10^12-$A6),$A6,$A7))</f>
        <v>0</v>
      </c>
      <c r="M6">
        <f t="shared" ref="M6:M37" si="9">IF(IF((M$3*10^12-$A7)*(M$3*10^12-$A6)*-1&lt;0,0,1)*IF(ABS(M$3*10^12-$A7)&gt;(M$3*10^12-$A6),$A6,$A7)=M7,0,IF((M$3*10^12-$A7)*(M$3*10^12-$A6)*-1&lt;0,0,1)*IF(ABS(M$3*10^12-$A7)&gt;(M$3*10^12-$A6),$A6,$A7))</f>
        <v>0</v>
      </c>
      <c r="N6" t="e">
        <f t="shared" ref="N6:N37" si="10">IF(IF((N$3*10^12-$A7)*(N$3*10^12-$A6)*-1&lt;0,0,1)*IF(ABS(N$3*10^12-$A7)&gt;(N$3*10^12-$A6),$A6,$A7)=N7,0,IF((N$3*10^12-$A7)*(N$3*10^12-$A6)*-1&lt;0,0,1)*IF(ABS(N$3*10^12-$A7)&gt;(N$3*10^12-$A6),$A6,$A7))</f>
        <v>#REF!</v>
      </c>
      <c r="Q6" s="171" t="s">
        <v>587</v>
      </c>
      <c r="R6">
        <f>Rilim_Rdson_ideal</f>
        <v>237.16664</v>
      </c>
      <c r="S6" s="2">
        <f t="shared" si="2"/>
        <v>237</v>
      </c>
      <c r="T6" s="55" t="s">
        <v>535</v>
      </c>
    </row>
    <row r="7" spans="1:20" x14ac:dyDescent="0.2">
      <c r="A7">
        <v>0.56000000000000005</v>
      </c>
      <c r="B7">
        <f t="shared" ref="B7:B70" si="11">IF(IF((B$3*10^12-$A8)*(B$3*10^12-$A7)*-1&lt;0,0,1)*IF(ABS(B$3*10^12-$A8)&gt;(B$3*10^12-$A7),$A7,$A8)=B8,0,IF((B$3*10^12-$A8)*(B$3*10^12-$A7)*-1&lt;0,0,1)*IF(ABS(B$3*10^12-$A8)&gt;(B$3*10^12-$A7),$A7,$A8))</f>
        <v>0</v>
      </c>
      <c r="C7">
        <f t="shared" ref="C7:C38" si="12">IF(IF((C$3*10^12-$A8)*(C$3*10^12-$A7)*-1&lt;0,0,1)*IF(ABS(C$3*10^12-$A8)&gt;(C$3*10^12-$A7),$A7,$A8)=C8,0,IF((C$3*10^12-$A8)*(C$3*10^12-$A7)*-1&lt;0,0,1)*IF(ABS(C$3*10^12-$A8)&gt;(C$3*10^12-$A7),$A7,$A8))</f>
        <v>0</v>
      </c>
      <c r="D7">
        <f t="shared" si="3"/>
        <v>0</v>
      </c>
      <c r="E7">
        <f t="shared" si="4"/>
        <v>0</v>
      </c>
      <c r="F7">
        <f t="shared" si="5"/>
        <v>0</v>
      </c>
      <c r="G7">
        <f t="shared" si="6"/>
        <v>0</v>
      </c>
      <c r="H7">
        <f t="shared" si="7"/>
        <v>0</v>
      </c>
      <c r="I7">
        <f t="shared" si="7"/>
        <v>0</v>
      </c>
      <c r="J7">
        <f t="shared" si="7"/>
        <v>0</v>
      </c>
      <c r="K7">
        <f t="shared" si="7"/>
        <v>0</v>
      </c>
      <c r="L7">
        <f t="shared" si="8"/>
        <v>0</v>
      </c>
      <c r="M7">
        <f t="shared" si="9"/>
        <v>0</v>
      </c>
      <c r="N7" t="e">
        <f t="shared" si="10"/>
        <v>#REF!</v>
      </c>
    </row>
    <row r="8" spans="1:20" x14ac:dyDescent="0.2">
      <c r="A8">
        <v>0.68</v>
      </c>
      <c r="B8">
        <f t="shared" si="11"/>
        <v>0</v>
      </c>
      <c r="C8">
        <f t="shared" si="12"/>
        <v>0</v>
      </c>
      <c r="D8">
        <f t="shared" si="3"/>
        <v>0</v>
      </c>
      <c r="E8">
        <f t="shared" si="4"/>
        <v>0</v>
      </c>
      <c r="F8">
        <f t="shared" si="5"/>
        <v>0</v>
      </c>
      <c r="G8">
        <f t="shared" si="6"/>
        <v>0</v>
      </c>
      <c r="H8">
        <f t="shared" si="7"/>
        <v>0</v>
      </c>
      <c r="I8">
        <f t="shared" si="7"/>
        <v>0</v>
      </c>
      <c r="J8">
        <f t="shared" si="7"/>
        <v>0</v>
      </c>
      <c r="K8">
        <f t="shared" si="7"/>
        <v>0</v>
      </c>
      <c r="L8">
        <f t="shared" si="8"/>
        <v>0</v>
      </c>
      <c r="M8">
        <f t="shared" si="9"/>
        <v>0</v>
      </c>
      <c r="N8" t="e">
        <f t="shared" si="10"/>
        <v>#REF!</v>
      </c>
      <c r="Q8" t="s">
        <v>344</v>
      </c>
      <c r="R8">
        <f>Rcea1</f>
        <v>3821.6895300066021</v>
      </c>
      <c r="S8" s="2">
        <f>IF(R8&gt;(INT(0.5+100*POWER(10,IF(96*(LOG(R8)-INT(LOG(R8)))-ROUND(96*(LOG(R8)-INT(LOG(R8))),0)&lt;0,ROUND(96*(LOG(R8)-INT(LOG(R8))),0)-1,ROUND(96*(LOG(R8)-INT(LOG(R8))),0))/96))*POWER(10,INT(LOG(R8))-2)+INT(0.5+100*POWER(10,(IF(96*(LOG(R8)-INT(LOG(R8)))-ROUND(96*(LOG(R8)-INT(LOG(R8))),0)&lt;0,ROUND(96*(LOG(R8)-INT(LOG(R8))),0)-1,ROUND(96*(LOG(R8)-INT(LOG(R8))),0))+1)/96))*POWER(10,INT(LOG(R8))-2))/2,INT(0.5+100*POWER(10,(IF(96*(LOG(R8)-INT(LOG(R8)))-ROUND(96*(LOG(R8)-INT(LOG(R8))),0)&lt;0,ROUND(96*(LOG(R8)-INT(LOG(R8))),0)-1,ROUND(96*(LOG(R8)-INT(LOG(R8))),0))+1)/96))*POWER(10,INT(LOG(R8))-2),INT(0.5+100*POWER(10,IF(96*(LOG(R8)-INT(LOG(R8)))-ROUND(96*(LOG(R8)-INT(LOG(R8))),0)&lt;0,ROUND(96*(LOG(R8)-INT(LOG(R8))),0)-1,ROUND(96*(LOG(R8)-INT(LOG(R8))),0))/96))*POWER(10,INT(LOG(R8))-2))</f>
        <v>3830</v>
      </c>
      <c r="T8" s="55" t="s">
        <v>535</v>
      </c>
    </row>
    <row r="9" spans="1:20" x14ac:dyDescent="0.2">
      <c r="A9">
        <v>0.82</v>
      </c>
      <c r="B9">
        <f t="shared" si="11"/>
        <v>0</v>
      </c>
      <c r="C9">
        <f t="shared" si="12"/>
        <v>0</v>
      </c>
      <c r="D9">
        <f t="shared" si="3"/>
        <v>0</v>
      </c>
      <c r="E9">
        <f t="shared" si="4"/>
        <v>0</v>
      </c>
      <c r="F9">
        <f t="shared" si="5"/>
        <v>0</v>
      </c>
      <c r="G9">
        <f t="shared" si="6"/>
        <v>0</v>
      </c>
      <c r="H9">
        <f t="shared" si="7"/>
        <v>0</v>
      </c>
      <c r="I9">
        <f t="shared" si="7"/>
        <v>0</v>
      </c>
      <c r="J9">
        <f t="shared" si="7"/>
        <v>0</v>
      </c>
      <c r="K9">
        <f t="shared" si="7"/>
        <v>0</v>
      </c>
      <c r="L9">
        <f t="shared" si="8"/>
        <v>0</v>
      </c>
      <c r="M9">
        <f t="shared" si="9"/>
        <v>0</v>
      </c>
      <c r="N9" t="e">
        <f t="shared" si="10"/>
        <v>#REF!</v>
      </c>
      <c r="Q9" t="s">
        <v>345</v>
      </c>
      <c r="R9">
        <f>Rcea2</f>
        <v>518.51851851851859</v>
      </c>
      <c r="S9" s="2">
        <f>IF(R9&gt;(INT(0.5+100*POWER(10,IF(96*(LOG(R9)-INT(LOG(R9)))-ROUND(96*(LOG(R9)-INT(LOG(R9))),0)&lt;0,ROUND(96*(LOG(R9)-INT(LOG(R9))),0)-1,ROUND(96*(LOG(R9)-INT(LOG(R9))),0))/96))*POWER(10,INT(LOG(R9))-2)+INT(0.5+100*POWER(10,(IF(96*(LOG(R9)-INT(LOG(R9)))-ROUND(96*(LOG(R9)-INT(LOG(R9))),0)&lt;0,ROUND(96*(LOG(R9)-INT(LOG(R9))),0)-1,ROUND(96*(LOG(R9)-INT(LOG(R9))),0))+1)/96))*POWER(10,INT(LOG(R9))-2))/2,INT(0.5+100*POWER(10,(IF(96*(LOG(R9)-INT(LOG(R9)))-ROUND(96*(LOG(R9)-INT(LOG(R9))),0)&lt;0,ROUND(96*(LOG(R9)-INT(LOG(R9))),0)-1,ROUND(96*(LOG(R9)-INT(LOG(R9))),0))+1)/96))*POWER(10,INT(LOG(R9))-2),INT(0.5+100*POWER(10,IF(96*(LOG(R9)-INT(LOG(R9)))-ROUND(96*(LOG(R9)-INT(LOG(R9))),0)&lt;0,ROUND(96*(LOG(R9)-INT(LOG(R9))),0)-1,ROUND(96*(LOG(R9)-INT(LOG(R9))),0))/96))*POWER(10,INT(LOG(R9))-2))</f>
        <v>523</v>
      </c>
      <c r="T9" s="55" t="s">
        <v>535</v>
      </c>
    </row>
    <row r="10" spans="1:20" x14ac:dyDescent="0.2">
      <c r="A10">
        <v>1</v>
      </c>
      <c r="B10">
        <f t="shared" si="11"/>
        <v>0</v>
      </c>
      <c r="C10">
        <f t="shared" si="12"/>
        <v>0</v>
      </c>
      <c r="D10">
        <f t="shared" si="3"/>
        <v>0</v>
      </c>
      <c r="E10">
        <f t="shared" si="4"/>
        <v>0</v>
      </c>
      <c r="F10">
        <f t="shared" si="5"/>
        <v>0</v>
      </c>
      <c r="G10">
        <f t="shared" si="6"/>
        <v>0</v>
      </c>
      <c r="H10">
        <f t="shared" si="7"/>
        <v>0</v>
      </c>
      <c r="I10">
        <f t="shared" si="7"/>
        <v>0</v>
      </c>
      <c r="J10">
        <f t="shared" si="7"/>
        <v>0</v>
      </c>
      <c r="K10">
        <f t="shared" si="7"/>
        <v>0</v>
      </c>
      <c r="L10">
        <f t="shared" si="8"/>
        <v>0</v>
      </c>
      <c r="M10">
        <f t="shared" si="9"/>
        <v>0</v>
      </c>
      <c r="N10" t="e">
        <f t="shared" si="10"/>
        <v>#REF!</v>
      </c>
      <c r="Q10" t="s">
        <v>52</v>
      </c>
      <c r="R10">
        <f>_Rfb1</f>
        <v>18000</v>
      </c>
      <c r="S10" s="2">
        <f>IF(R10&gt;(INT(0.5+100*POWER(10,IF(96*(LOG(R10)-INT(LOG(R10)))-ROUND(96*(LOG(R10)-INT(LOG(R10))),0)&lt;0,ROUND(96*(LOG(R10)-INT(LOG(R10))),0)-1,ROUND(96*(LOG(R10)-INT(LOG(R10))),0))/96))*POWER(10,INT(LOG(R10))-2)+INT(0.5+100*POWER(10,(IF(96*(LOG(R10)-INT(LOG(R10)))-ROUND(96*(LOG(R10)-INT(LOG(R10))),0)&lt;0,ROUND(96*(LOG(R10)-INT(LOG(R10))),0)-1,ROUND(96*(LOG(R10)-INT(LOG(R10))),0))+1)/96))*POWER(10,INT(LOG(R10))-2))/2,INT(0.5+100*POWER(10,(IF(96*(LOG(R10)-INT(LOG(R10)))-ROUND(96*(LOG(R10)-INT(LOG(R10))),0)&lt;0,ROUND(96*(LOG(R10)-INT(LOG(R10))),0)-1,ROUND(96*(LOG(R10)-INT(LOG(R10))),0))+1)/96))*POWER(10,INT(LOG(R10))-2),INT(0.5+100*POWER(10,IF(96*(LOG(R10)-INT(LOG(R10)))-ROUND(96*(LOG(R10)-INT(LOG(R10))),0)&lt;0,ROUND(96*(LOG(R10)-INT(LOG(R10))),0)-1,ROUND(96*(LOG(R10)-INT(LOG(R10))),0))/96))*POWER(10,INT(LOG(R10))-2))</f>
        <v>17800</v>
      </c>
      <c r="T10" s="55" t="s">
        <v>535</v>
      </c>
    </row>
    <row r="11" spans="1:20" x14ac:dyDescent="0.2">
      <c r="A11">
        <v>1.2</v>
      </c>
      <c r="B11">
        <f t="shared" si="11"/>
        <v>0</v>
      </c>
      <c r="C11">
        <f t="shared" si="12"/>
        <v>0</v>
      </c>
      <c r="D11">
        <f t="shared" si="3"/>
        <v>0</v>
      </c>
      <c r="E11">
        <f t="shared" si="4"/>
        <v>0</v>
      </c>
      <c r="F11">
        <f t="shared" si="5"/>
        <v>0</v>
      </c>
      <c r="G11">
        <f t="shared" si="6"/>
        <v>0</v>
      </c>
      <c r="H11">
        <f t="shared" si="7"/>
        <v>0</v>
      </c>
      <c r="I11">
        <f t="shared" si="7"/>
        <v>0</v>
      </c>
      <c r="J11">
        <f t="shared" si="7"/>
        <v>0</v>
      </c>
      <c r="K11">
        <f t="shared" si="7"/>
        <v>0</v>
      </c>
      <c r="L11">
        <f t="shared" si="8"/>
        <v>0</v>
      </c>
      <c r="M11">
        <f t="shared" si="9"/>
        <v>0</v>
      </c>
      <c r="N11" t="e">
        <f t="shared" si="10"/>
        <v>#REF!</v>
      </c>
      <c r="Q11" t="s">
        <v>77</v>
      </c>
      <c r="R11">
        <f>_Rfb2</f>
        <v>3348.8372093023258</v>
      </c>
      <c r="S11" s="2">
        <f>IF(R11="OPEN","OPEN",IF(R11&gt;(INT(0.5+100*POWER(10,IF(96*(LOG(R11)-INT(LOG(R11)))-ROUND(96*(LOG(R11)-INT(LOG(R11))),0)&lt;0,ROUND(96*(LOG(R11)-INT(LOG(R11))),0)-1,ROUND(96*(LOG(R11)-INT(LOG(R11))),0))/96))*POWER(10,INT(LOG(R11))-2)+INT(0.5+100*POWER(10,(IF(96*(LOG(R11)-INT(LOG(R11)))-ROUND(96*(LOG(R11)-INT(LOG(R11))),0)&lt;0,ROUND(96*(LOG(R11)-INT(LOG(R11))),0)-1,ROUND(96*(LOG(R11)-INT(LOG(R11))),0))+1)/96))*POWER(10,INT(LOG(R11))-2))/2,INT(0.5+100*POWER(10,(IF(96*(LOG(R11)-INT(LOG(R11)))-ROUND(96*(LOG(R11)-INT(LOG(R11))),0)&lt;0,ROUND(96*(LOG(R11)-INT(LOG(R11))),0)-1,ROUND(96*(LOG(R11)-INT(LOG(R11))),0))+1)/96))*POWER(10,INT(LOG(R11))-2),INT(0.5+100*POWER(10,IF(96*(LOG(R11)-INT(LOG(R11)))-ROUND(96*(LOG(R11)-INT(LOG(R11))),0)&lt;0,ROUND(96*(LOG(R11)-INT(LOG(R11))),0)-1,ROUND(96*(LOG(R11)-INT(LOG(R11))),0))/96))*POWER(10,INT(LOG(R11))-2)))</f>
        <v>3320</v>
      </c>
      <c r="T11" s="55" t="s">
        <v>535</v>
      </c>
    </row>
    <row r="12" spans="1:20" x14ac:dyDescent="0.2">
      <c r="A12">
        <v>1.5</v>
      </c>
      <c r="B12">
        <f t="shared" si="11"/>
        <v>0</v>
      </c>
      <c r="C12">
        <f t="shared" si="12"/>
        <v>0</v>
      </c>
      <c r="D12">
        <f t="shared" si="3"/>
        <v>0</v>
      </c>
      <c r="E12">
        <f t="shared" si="4"/>
        <v>0</v>
      </c>
      <c r="F12">
        <f t="shared" si="5"/>
        <v>0</v>
      </c>
      <c r="G12">
        <f t="shared" si="6"/>
        <v>0</v>
      </c>
      <c r="H12">
        <f t="shared" si="7"/>
        <v>0</v>
      </c>
      <c r="I12">
        <f t="shared" si="7"/>
        <v>0</v>
      </c>
      <c r="J12">
        <f t="shared" si="7"/>
        <v>0</v>
      </c>
      <c r="K12">
        <f t="shared" si="7"/>
        <v>0</v>
      </c>
      <c r="L12">
        <f t="shared" si="8"/>
        <v>0</v>
      </c>
      <c r="M12">
        <f t="shared" si="9"/>
        <v>0</v>
      </c>
      <c r="N12" t="e">
        <f t="shared" si="10"/>
        <v>#REF!</v>
      </c>
      <c r="Q12" t="s">
        <v>315</v>
      </c>
      <c r="R12">
        <f>_Rs1</f>
        <v>22</v>
      </c>
      <c r="S12" s="2"/>
    </row>
    <row r="13" spans="1:20" x14ac:dyDescent="0.2">
      <c r="A13">
        <v>1.8</v>
      </c>
      <c r="B13">
        <f t="shared" si="11"/>
        <v>0</v>
      </c>
      <c r="C13">
        <f t="shared" si="12"/>
        <v>0</v>
      </c>
      <c r="D13">
        <f t="shared" si="3"/>
        <v>0</v>
      </c>
      <c r="E13">
        <f t="shared" si="4"/>
        <v>0</v>
      </c>
      <c r="F13">
        <f t="shared" si="5"/>
        <v>0</v>
      </c>
      <c r="G13">
        <f t="shared" si="6"/>
        <v>0</v>
      </c>
      <c r="H13">
        <f t="shared" si="7"/>
        <v>0</v>
      </c>
      <c r="I13">
        <f t="shared" si="7"/>
        <v>0</v>
      </c>
      <c r="J13">
        <f t="shared" si="7"/>
        <v>0</v>
      </c>
      <c r="K13">
        <f t="shared" si="7"/>
        <v>0</v>
      </c>
      <c r="L13">
        <f t="shared" si="8"/>
        <v>0</v>
      </c>
      <c r="M13">
        <f t="shared" si="9"/>
        <v>0</v>
      </c>
      <c r="N13" t="e">
        <f t="shared" si="10"/>
        <v>#REF!</v>
      </c>
      <c r="Q13" t="s">
        <v>316</v>
      </c>
      <c r="R13">
        <f>_Rs2</f>
        <v>2.3298667637235997E-11</v>
      </c>
      <c r="S13" s="2"/>
    </row>
    <row r="14" spans="1:20" x14ac:dyDescent="0.2">
      <c r="A14">
        <v>2.2000000000000002</v>
      </c>
      <c r="B14">
        <f t="shared" si="11"/>
        <v>0</v>
      </c>
      <c r="C14">
        <f t="shared" si="12"/>
        <v>0</v>
      </c>
      <c r="D14">
        <f t="shared" si="3"/>
        <v>0</v>
      </c>
      <c r="E14">
        <f t="shared" si="4"/>
        <v>0</v>
      </c>
      <c r="F14">
        <f t="shared" si="5"/>
        <v>0</v>
      </c>
      <c r="G14">
        <f t="shared" si="6"/>
        <v>0</v>
      </c>
      <c r="H14">
        <f t="shared" si="7"/>
        <v>0</v>
      </c>
      <c r="I14">
        <f t="shared" si="7"/>
        <v>0</v>
      </c>
      <c r="J14">
        <f t="shared" si="7"/>
        <v>0</v>
      </c>
      <c r="K14">
        <f t="shared" si="7"/>
        <v>0</v>
      </c>
      <c r="L14">
        <f t="shared" si="8"/>
        <v>0</v>
      </c>
      <c r="M14">
        <f t="shared" si="9"/>
        <v>0</v>
      </c>
      <c r="N14" t="e">
        <f t="shared" si="10"/>
        <v>#REF!</v>
      </c>
      <c r="Q14" t="s">
        <v>317</v>
      </c>
      <c r="R14">
        <f>_Rs3</f>
        <v>0.01</v>
      </c>
      <c r="S14" s="2"/>
    </row>
    <row r="15" spans="1:20" x14ac:dyDescent="0.2">
      <c r="A15">
        <v>2.7</v>
      </c>
      <c r="B15">
        <f t="shared" si="11"/>
        <v>0</v>
      </c>
      <c r="C15">
        <f t="shared" si="12"/>
        <v>0</v>
      </c>
      <c r="D15">
        <f t="shared" si="3"/>
        <v>0</v>
      </c>
      <c r="E15">
        <f t="shared" si="4"/>
        <v>0</v>
      </c>
      <c r="F15">
        <f t="shared" si="5"/>
        <v>0</v>
      </c>
      <c r="G15">
        <f t="shared" si="6"/>
        <v>0</v>
      </c>
      <c r="H15">
        <f t="shared" si="7"/>
        <v>0</v>
      </c>
      <c r="I15">
        <f t="shared" si="7"/>
        <v>0</v>
      </c>
      <c r="J15">
        <f t="shared" si="7"/>
        <v>0</v>
      </c>
      <c r="K15">
        <f t="shared" si="7"/>
        <v>0</v>
      </c>
      <c r="L15">
        <f t="shared" si="8"/>
        <v>0</v>
      </c>
      <c r="M15">
        <f t="shared" si="9"/>
        <v>0</v>
      </c>
      <c r="N15" t="e">
        <f t="shared" si="10"/>
        <v>#REF!</v>
      </c>
      <c r="S15" s="2"/>
    </row>
    <row r="16" spans="1:20" x14ac:dyDescent="0.2">
      <c r="A16">
        <v>3.3</v>
      </c>
      <c r="B16">
        <f t="shared" si="11"/>
        <v>0</v>
      </c>
      <c r="C16">
        <f t="shared" si="12"/>
        <v>0</v>
      </c>
      <c r="D16">
        <f t="shared" si="3"/>
        <v>0</v>
      </c>
      <c r="E16">
        <f t="shared" si="4"/>
        <v>0</v>
      </c>
      <c r="F16">
        <f t="shared" si="5"/>
        <v>0</v>
      </c>
      <c r="G16">
        <f t="shared" si="6"/>
        <v>0</v>
      </c>
      <c r="H16">
        <f t="shared" si="7"/>
        <v>0</v>
      </c>
      <c r="I16">
        <f t="shared" si="7"/>
        <v>0</v>
      </c>
      <c r="J16">
        <f t="shared" si="7"/>
        <v>0</v>
      </c>
      <c r="K16">
        <f t="shared" si="7"/>
        <v>0</v>
      </c>
      <c r="L16">
        <f t="shared" si="8"/>
        <v>0</v>
      </c>
      <c r="M16">
        <f t="shared" si="9"/>
        <v>0</v>
      </c>
      <c r="N16" t="e">
        <f t="shared" si="10"/>
        <v>#REF!</v>
      </c>
      <c r="Q16" s="171" t="s">
        <v>523</v>
      </c>
      <c r="R16">
        <f>Ruvlo1</f>
        <v>50</v>
      </c>
      <c r="S16" s="2">
        <f t="shared" ref="S16:S17" si="13">IF(R16="OPEN","OPEN",IF(R16&gt;(INT(0.5+100*POWER(10,IF(96*(LOG(R16)-INT(LOG(R16)))-ROUND(96*(LOG(R16)-INT(LOG(R16))),0)&lt;0,ROUND(96*(LOG(R16)-INT(LOG(R16))),0)-1,ROUND(96*(LOG(R16)-INT(LOG(R16))),0))/96))*POWER(10,INT(LOG(R16))-2)+INT(0.5+100*POWER(10,(IF(96*(LOG(R16)-INT(LOG(R16)))-ROUND(96*(LOG(R16)-INT(LOG(R16))),0)&lt;0,ROUND(96*(LOG(R16)-INT(LOG(R16))),0)-1,ROUND(96*(LOG(R16)-INT(LOG(R16))),0))+1)/96))*POWER(10,INT(LOG(R16))-2))/2,INT(0.5+100*POWER(10,(IF(96*(LOG(R16)-INT(LOG(R16)))-ROUND(96*(LOG(R16)-INT(LOG(R16))),0)&lt;0,ROUND(96*(LOG(R16)-INT(LOG(R16))),0)-1,ROUND(96*(LOG(R16)-INT(LOG(R16))),0))+1)/96))*POWER(10,INT(LOG(R16))-2),INT(0.5+100*POWER(10,IF(96*(LOG(R16)-INT(LOG(R16)))-ROUND(96*(LOG(R16)-INT(LOG(R16))),0)&lt;0,ROUND(96*(LOG(R16)-INT(LOG(R16))),0)-1,ROUND(96*(LOG(R16)-INT(LOG(R16))),0))/96))*POWER(10,INT(LOG(R16))-2)))</f>
        <v>49.900000000000006</v>
      </c>
      <c r="T16" s="55" t="s">
        <v>489</v>
      </c>
    </row>
    <row r="17" spans="1:20" x14ac:dyDescent="0.2">
      <c r="A17">
        <v>3.9</v>
      </c>
      <c r="B17">
        <f t="shared" si="11"/>
        <v>0</v>
      </c>
      <c r="C17">
        <f t="shared" si="12"/>
        <v>0</v>
      </c>
      <c r="D17">
        <f t="shared" si="3"/>
        <v>0</v>
      </c>
      <c r="E17">
        <f t="shared" si="4"/>
        <v>0</v>
      </c>
      <c r="F17">
        <f t="shared" si="5"/>
        <v>0</v>
      </c>
      <c r="G17">
        <f t="shared" si="6"/>
        <v>0</v>
      </c>
      <c r="H17">
        <f t="shared" si="7"/>
        <v>0</v>
      </c>
      <c r="I17">
        <f t="shared" si="7"/>
        <v>0</v>
      </c>
      <c r="J17">
        <f t="shared" si="7"/>
        <v>0</v>
      </c>
      <c r="K17">
        <f t="shared" si="7"/>
        <v>0</v>
      </c>
      <c r="L17">
        <f t="shared" si="8"/>
        <v>0</v>
      </c>
      <c r="M17">
        <f t="shared" si="9"/>
        <v>0</v>
      </c>
      <c r="N17" t="e">
        <f t="shared" si="10"/>
        <v>#REF!</v>
      </c>
      <c r="Q17" s="171" t="s">
        <v>524</v>
      </c>
      <c r="R17">
        <f>Ruvlo2</f>
        <v>3.2721311475409838</v>
      </c>
      <c r="S17" s="2">
        <f t="shared" si="13"/>
        <v>3.24</v>
      </c>
      <c r="T17" s="55" t="s">
        <v>489</v>
      </c>
    </row>
    <row r="18" spans="1:20" x14ac:dyDescent="0.2">
      <c r="A18">
        <v>4.7</v>
      </c>
      <c r="B18">
        <f t="shared" si="11"/>
        <v>0</v>
      </c>
      <c r="C18">
        <f t="shared" si="12"/>
        <v>0</v>
      </c>
      <c r="D18">
        <f t="shared" si="3"/>
        <v>0</v>
      </c>
      <c r="E18">
        <f t="shared" si="4"/>
        <v>0</v>
      </c>
      <c r="F18">
        <f t="shared" si="5"/>
        <v>0</v>
      </c>
      <c r="G18">
        <f t="shared" si="6"/>
        <v>0</v>
      </c>
      <c r="H18">
        <f t="shared" si="7"/>
        <v>0</v>
      </c>
      <c r="I18">
        <f t="shared" si="7"/>
        <v>0</v>
      </c>
      <c r="J18">
        <f t="shared" si="7"/>
        <v>0</v>
      </c>
      <c r="K18">
        <f t="shared" si="7"/>
        <v>0</v>
      </c>
      <c r="L18">
        <f t="shared" si="8"/>
        <v>0</v>
      </c>
      <c r="M18">
        <f t="shared" si="9"/>
        <v>0</v>
      </c>
      <c r="N18" t="e">
        <f t="shared" si="10"/>
        <v>#REF!</v>
      </c>
      <c r="S18" s="2"/>
    </row>
    <row r="19" spans="1:20" x14ac:dyDescent="0.2">
      <c r="A19">
        <v>5.6</v>
      </c>
      <c r="B19">
        <f t="shared" si="11"/>
        <v>0</v>
      </c>
      <c r="C19">
        <f t="shared" si="12"/>
        <v>0</v>
      </c>
      <c r="D19">
        <f t="shared" si="3"/>
        <v>0</v>
      </c>
      <c r="E19">
        <f t="shared" si="4"/>
        <v>0</v>
      </c>
      <c r="F19">
        <f t="shared" si="5"/>
        <v>0</v>
      </c>
      <c r="G19">
        <f t="shared" si="6"/>
        <v>0</v>
      </c>
      <c r="H19">
        <f t="shared" si="7"/>
        <v>0</v>
      </c>
      <c r="I19">
        <f t="shared" si="7"/>
        <v>0</v>
      </c>
      <c r="J19">
        <f t="shared" si="7"/>
        <v>0</v>
      </c>
      <c r="K19">
        <f t="shared" si="7"/>
        <v>0</v>
      </c>
      <c r="L19">
        <f t="shared" si="8"/>
        <v>0</v>
      </c>
      <c r="M19">
        <f t="shared" si="9"/>
        <v>0</v>
      </c>
      <c r="N19" t="e">
        <f t="shared" si="10"/>
        <v>#REF!</v>
      </c>
      <c r="S19" s="2"/>
    </row>
    <row r="20" spans="1:20" x14ac:dyDescent="0.2">
      <c r="A20">
        <v>6.8</v>
      </c>
      <c r="B20">
        <f t="shared" si="11"/>
        <v>0</v>
      </c>
      <c r="C20">
        <f t="shared" si="12"/>
        <v>0</v>
      </c>
      <c r="D20">
        <f t="shared" si="3"/>
        <v>0</v>
      </c>
      <c r="E20">
        <f t="shared" si="4"/>
        <v>0</v>
      </c>
      <c r="F20">
        <f t="shared" si="5"/>
        <v>0</v>
      </c>
      <c r="G20">
        <f t="shared" si="6"/>
        <v>0</v>
      </c>
      <c r="H20">
        <f t="shared" si="7"/>
        <v>0</v>
      </c>
      <c r="I20">
        <f t="shared" si="7"/>
        <v>0</v>
      </c>
      <c r="J20">
        <f t="shared" si="7"/>
        <v>0</v>
      </c>
      <c r="K20">
        <f t="shared" si="7"/>
        <v>0</v>
      </c>
      <c r="L20">
        <f t="shared" si="8"/>
        <v>0</v>
      </c>
      <c r="M20">
        <f t="shared" si="9"/>
        <v>0</v>
      </c>
      <c r="N20" t="e">
        <f t="shared" si="10"/>
        <v>#REF!</v>
      </c>
      <c r="S20" s="2"/>
    </row>
    <row r="21" spans="1:20" x14ac:dyDescent="0.2">
      <c r="A21">
        <v>8.1999999999999993</v>
      </c>
      <c r="B21">
        <f t="shared" si="11"/>
        <v>0</v>
      </c>
      <c r="C21">
        <f t="shared" si="12"/>
        <v>0</v>
      </c>
      <c r="D21">
        <f t="shared" si="3"/>
        <v>0</v>
      </c>
      <c r="E21">
        <f t="shared" si="4"/>
        <v>0</v>
      </c>
      <c r="F21">
        <f t="shared" si="5"/>
        <v>0</v>
      </c>
      <c r="G21">
        <f t="shared" si="6"/>
        <v>0</v>
      </c>
      <c r="H21">
        <f t="shared" si="7"/>
        <v>0</v>
      </c>
      <c r="I21">
        <f t="shared" si="7"/>
        <v>0</v>
      </c>
      <c r="J21">
        <f t="shared" si="7"/>
        <v>0</v>
      </c>
      <c r="K21">
        <f t="shared" si="7"/>
        <v>0</v>
      </c>
      <c r="L21">
        <f t="shared" si="8"/>
        <v>0</v>
      </c>
      <c r="M21">
        <f t="shared" si="9"/>
        <v>0</v>
      </c>
      <c r="N21" t="e">
        <f t="shared" si="10"/>
        <v>#REF!</v>
      </c>
      <c r="Q21" s="171"/>
      <c r="S21" s="2"/>
      <c r="T21" s="55"/>
    </row>
    <row r="22" spans="1:20" x14ac:dyDescent="0.2">
      <c r="A22">
        <v>10</v>
      </c>
      <c r="B22">
        <f t="shared" si="11"/>
        <v>0</v>
      </c>
      <c r="C22">
        <f t="shared" si="12"/>
        <v>0</v>
      </c>
      <c r="D22">
        <f t="shared" si="3"/>
        <v>0</v>
      </c>
      <c r="E22">
        <f t="shared" si="4"/>
        <v>0</v>
      </c>
      <c r="F22">
        <f t="shared" si="5"/>
        <v>0</v>
      </c>
      <c r="G22">
        <f t="shared" si="6"/>
        <v>0</v>
      </c>
      <c r="H22">
        <f t="shared" si="7"/>
        <v>0</v>
      </c>
      <c r="I22">
        <f t="shared" si="7"/>
        <v>0</v>
      </c>
      <c r="J22">
        <f t="shared" si="7"/>
        <v>0</v>
      </c>
      <c r="K22">
        <f t="shared" si="7"/>
        <v>0</v>
      </c>
      <c r="L22">
        <f t="shared" si="8"/>
        <v>0</v>
      </c>
      <c r="M22">
        <f t="shared" si="9"/>
        <v>0</v>
      </c>
      <c r="N22" t="e">
        <f t="shared" si="10"/>
        <v>#REF!</v>
      </c>
      <c r="Q22" s="171" t="s">
        <v>588</v>
      </c>
      <c r="R22" s="407">
        <f>Rilim_shunt_ideal</f>
        <v>78.264991199999997</v>
      </c>
      <c r="S22" s="2">
        <f>IF(R22=0,0,IF(R22&gt;(INT(0.5+100*POWER(10,IF(96*(LOG(R22)-INT(LOG(R22)))-ROUND(96*(LOG(R22)-INT(LOG(R22))),0)&lt;0,ROUND(96*(LOG(R22)-INT(LOG(R22))),0)-1,ROUND(96*(LOG(R22)-INT(LOG(R22))),0))/96))*POWER(10,INT(LOG(R22))-2)+INT(0.5+100*POWER(10,(IF(96*(LOG(R22)-INT(LOG(R22)))-ROUND(96*(LOG(R22)-INT(LOG(R22))),0)&lt;0,ROUND(96*(LOG(R22)-INT(LOG(R22))),0)-1,ROUND(96*(LOG(R22)-INT(LOG(R22))),0))+1)/96))*POWER(10,INT(LOG(R22))-2))/2,INT(0.5+100*POWER(10,(IF(96*(LOG(R22)-INT(LOG(R22)))-ROUND(96*(LOG(R22)-INT(LOG(R22))),0)&lt;0,ROUND(96*(LOG(R22)-INT(LOG(R22))),0)-1,ROUND(96*(LOG(R22)-INT(LOG(R22))),0))+1)/96))*POWER(10,INT(LOG(R22))-2),INT(0.5+100*POWER(10,IF(96*(LOG(R22)-INT(LOG(R22)))-ROUND(96*(LOG(R22)-INT(LOG(R22))),0)&lt;0,ROUND(96*(LOG(R22)-INT(LOG(R22))),0)-1,ROUND(96*(LOG(R22)-INT(LOG(R22))),0))/96))*POWER(10,INT(LOG(R22))-2)))</f>
        <v>78.7</v>
      </c>
      <c r="T22" s="55" t="s">
        <v>535</v>
      </c>
    </row>
    <row r="23" spans="1:20" x14ac:dyDescent="0.2">
      <c r="A23">
        <v>12</v>
      </c>
      <c r="B23">
        <f t="shared" si="11"/>
        <v>0</v>
      </c>
      <c r="C23">
        <f t="shared" si="12"/>
        <v>0</v>
      </c>
      <c r="D23">
        <f t="shared" si="3"/>
        <v>0</v>
      </c>
      <c r="E23">
        <f t="shared" si="4"/>
        <v>0</v>
      </c>
      <c r="F23">
        <f t="shared" si="5"/>
        <v>0</v>
      </c>
      <c r="G23">
        <f t="shared" si="6"/>
        <v>0</v>
      </c>
      <c r="H23">
        <f t="shared" si="7"/>
        <v>0</v>
      </c>
      <c r="I23">
        <f t="shared" si="7"/>
        <v>0</v>
      </c>
      <c r="J23">
        <f t="shared" si="7"/>
        <v>0</v>
      </c>
      <c r="K23">
        <f t="shared" si="7"/>
        <v>0</v>
      </c>
      <c r="L23">
        <f t="shared" si="8"/>
        <v>0</v>
      </c>
      <c r="M23">
        <f t="shared" si="9"/>
        <v>0</v>
      </c>
      <c r="N23" t="e">
        <f t="shared" si="10"/>
        <v>#REF!</v>
      </c>
      <c r="Q23" t="s">
        <v>692</v>
      </c>
      <c r="R23" s="40">
        <f>Cilim</f>
        <v>2.3298667637235997E-11</v>
      </c>
      <c r="S23" s="2">
        <f>H4*1000000000000</f>
        <v>22</v>
      </c>
      <c r="T23" t="s">
        <v>53</v>
      </c>
    </row>
    <row r="24" spans="1:20" x14ac:dyDescent="0.2">
      <c r="A24">
        <v>15</v>
      </c>
      <c r="B24">
        <f t="shared" si="11"/>
        <v>0</v>
      </c>
      <c r="C24">
        <f t="shared" si="12"/>
        <v>0</v>
      </c>
      <c r="D24">
        <f t="shared" si="3"/>
        <v>0</v>
      </c>
      <c r="E24">
        <f t="shared" si="4"/>
        <v>0</v>
      </c>
      <c r="F24">
        <f t="shared" si="5"/>
        <v>0</v>
      </c>
      <c r="G24">
        <f t="shared" si="6"/>
        <v>0</v>
      </c>
      <c r="H24">
        <f t="shared" si="7"/>
        <v>0</v>
      </c>
      <c r="I24">
        <f t="shared" si="7"/>
        <v>0</v>
      </c>
      <c r="J24">
        <f t="shared" si="7"/>
        <v>0</v>
      </c>
      <c r="K24">
        <f t="shared" si="7"/>
        <v>0</v>
      </c>
      <c r="L24">
        <f t="shared" si="8"/>
        <v>0</v>
      </c>
      <c r="M24">
        <f t="shared" si="9"/>
        <v>0</v>
      </c>
      <c r="N24" t="e">
        <f t="shared" si="10"/>
        <v>#REF!</v>
      </c>
      <c r="Q24" s="171"/>
      <c r="S24" s="2"/>
      <c r="T24" s="55"/>
    </row>
    <row r="25" spans="1:20" x14ac:dyDescent="0.2">
      <c r="A25">
        <v>18</v>
      </c>
      <c r="B25">
        <f t="shared" si="11"/>
        <v>0</v>
      </c>
      <c r="C25">
        <f t="shared" si="12"/>
        <v>0</v>
      </c>
      <c r="D25">
        <f t="shared" si="3"/>
        <v>0</v>
      </c>
      <c r="E25">
        <f t="shared" si="4"/>
        <v>0</v>
      </c>
      <c r="F25">
        <f t="shared" si="5"/>
        <v>0</v>
      </c>
      <c r="G25">
        <f t="shared" si="6"/>
        <v>0</v>
      </c>
      <c r="H25">
        <f t="shared" si="7"/>
        <v>0</v>
      </c>
      <c r="I25">
        <f t="shared" si="7"/>
        <v>0</v>
      </c>
      <c r="J25">
        <f t="shared" si="7"/>
        <v>0</v>
      </c>
      <c r="K25">
        <f t="shared" si="7"/>
        <v>0</v>
      </c>
      <c r="L25">
        <f t="shared" si="8"/>
        <v>0</v>
      </c>
      <c r="M25">
        <f t="shared" si="9"/>
        <v>0</v>
      </c>
      <c r="N25" t="e">
        <f t="shared" si="10"/>
        <v>#REF!</v>
      </c>
    </row>
    <row r="26" spans="1:20" x14ac:dyDescent="0.2">
      <c r="A26">
        <v>22</v>
      </c>
      <c r="B26">
        <f t="shared" si="11"/>
        <v>0</v>
      </c>
      <c r="C26">
        <f t="shared" si="12"/>
        <v>0</v>
      </c>
      <c r="D26">
        <f t="shared" si="3"/>
        <v>0</v>
      </c>
      <c r="E26">
        <f t="shared" si="4"/>
        <v>0</v>
      </c>
      <c r="F26">
        <f t="shared" si="5"/>
        <v>0</v>
      </c>
      <c r="G26">
        <f t="shared" si="6"/>
        <v>0</v>
      </c>
      <c r="H26">
        <f t="shared" si="7"/>
        <v>22</v>
      </c>
      <c r="I26">
        <f t="shared" si="7"/>
        <v>0</v>
      </c>
      <c r="J26">
        <f t="shared" si="7"/>
        <v>0</v>
      </c>
      <c r="K26">
        <f t="shared" si="7"/>
        <v>0</v>
      </c>
      <c r="L26">
        <f t="shared" si="8"/>
        <v>0</v>
      </c>
      <c r="M26">
        <f t="shared" si="9"/>
        <v>0</v>
      </c>
      <c r="N26" t="e">
        <f t="shared" si="10"/>
        <v>#REF!</v>
      </c>
    </row>
    <row r="27" spans="1:20" x14ac:dyDescent="0.2">
      <c r="A27">
        <v>27</v>
      </c>
      <c r="B27">
        <f t="shared" si="11"/>
        <v>0</v>
      </c>
      <c r="C27">
        <f t="shared" si="12"/>
        <v>0</v>
      </c>
      <c r="D27">
        <f t="shared" si="3"/>
        <v>0</v>
      </c>
      <c r="E27">
        <f t="shared" si="4"/>
        <v>0</v>
      </c>
      <c r="F27">
        <f t="shared" si="5"/>
        <v>0</v>
      </c>
      <c r="G27">
        <f t="shared" si="6"/>
        <v>0</v>
      </c>
      <c r="H27">
        <f t="shared" si="7"/>
        <v>0</v>
      </c>
      <c r="I27">
        <f t="shared" si="7"/>
        <v>0</v>
      </c>
      <c r="J27">
        <f t="shared" si="7"/>
        <v>0</v>
      </c>
      <c r="K27">
        <f t="shared" si="7"/>
        <v>0</v>
      </c>
      <c r="L27">
        <f t="shared" si="8"/>
        <v>0</v>
      </c>
      <c r="M27">
        <f t="shared" si="9"/>
        <v>0</v>
      </c>
      <c r="N27" t="e">
        <f t="shared" si="10"/>
        <v>#REF!</v>
      </c>
      <c r="Q27" s="3" t="s">
        <v>325</v>
      </c>
      <c r="R27" t="str">
        <f>S8/1000&amp;" kΩ"</f>
        <v>3.83 kΩ</v>
      </c>
      <c r="S27">
        <f>S8/1000</f>
        <v>3.83</v>
      </c>
      <c r="T27" s="55" t="s">
        <v>489</v>
      </c>
    </row>
    <row r="28" spans="1:20" x14ac:dyDescent="0.2">
      <c r="A28">
        <v>33</v>
      </c>
      <c r="B28">
        <f t="shared" si="11"/>
        <v>0</v>
      </c>
      <c r="C28">
        <f t="shared" si="12"/>
        <v>0</v>
      </c>
      <c r="D28">
        <f t="shared" si="3"/>
        <v>0</v>
      </c>
      <c r="E28">
        <f t="shared" si="4"/>
        <v>0</v>
      </c>
      <c r="F28">
        <f t="shared" si="5"/>
        <v>0</v>
      </c>
      <c r="G28">
        <f t="shared" si="6"/>
        <v>0</v>
      </c>
      <c r="H28">
        <f t="shared" si="7"/>
        <v>0</v>
      </c>
      <c r="I28">
        <f t="shared" si="7"/>
        <v>0</v>
      </c>
      <c r="J28">
        <f t="shared" si="7"/>
        <v>0</v>
      </c>
      <c r="K28">
        <f t="shared" si="7"/>
        <v>0</v>
      </c>
      <c r="L28">
        <f t="shared" si="8"/>
        <v>0</v>
      </c>
      <c r="M28">
        <f t="shared" si="9"/>
        <v>0</v>
      </c>
      <c r="N28" t="e">
        <f t="shared" si="10"/>
        <v>#REF!</v>
      </c>
      <c r="Q28" s="3" t="s">
        <v>321</v>
      </c>
      <c r="R28" t="str">
        <f>C4*1000000000000&amp;" pF"</f>
        <v>39000 pF</v>
      </c>
      <c r="S28">
        <f>C4*1000000000000</f>
        <v>39000</v>
      </c>
      <c r="T28" s="171" t="s">
        <v>53</v>
      </c>
    </row>
    <row r="29" spans="1:20" x14ac:dyDescent="0.2">
      <c r="A29">
        <v>39</v>
      </c>
      <c r="B29">
        <f t="shared" si="11"/>
        <v>0</v>
      </c>
      <c r="C29">
        <f t="shared" si="12"/>
        <v>0</v>
      </c>
      <c r="D29">
        <f t="shared" si="3"/>
        <v>0</v>
      </c>
      <c r="E29">
        <f t="shared" si="4"/>
        <v>0</v>
      </c>
      <c r="F29">
        <f t="shared" si="5"/>
        <v>0</v>
      </c>
      <c r="G29">
        <f t="shared" si="6"/>
        <v>0</v>
      </c>
      <c r="H29">
        <f t="shared" si="7"/>
        <v>0</v>
      </c>
      <c r="I29">
        <f t="shared" si="7"/>
        <v>0</v>
      </c>
      <c r="J29">
        <f t="shared" si="7"/>
        <v>0</v>
      </c>
      <c r="K29">
        <f t="shared" si="7"/>
        <v>0</v>
      </c>
      <c r="L29">
        <f t="shared" si="8"/>
        <v>0</v>
      </c>
      <c r="M29">
        <f t="shared" si="9"/>
        <v>0</v>
      </c>
      <c r="N29" t="e">
        <f t="shared" si="10"/>
        <v>#REF!</v>
      </c>
      <c r="Q29" s="3" t="s">
        <v>322</v>
      </c>
      <c r="R29" t="str">
        <f>D4*1000000000000&amp;" pF"</f>
        <v>180 pF</v>
      </c>
      <c r="S29">
        <f>D4*1000000000000</f>
        <v>180</v>
      </c>
      <c r="T29" s="171" t="s">
        <v>53</v>
      </c>
    </row>
    <row r="30" spans="1:20" x14ac:dyDescent="0.2">
      <c r="A30">
        <v>47</v>
      </c>
      <c r="B30">
        <f t="shared" si="11"/>
        <v>0</v>
      </c>
      <c r="C30">
        <f t="shared" si="12"/>
        <v>0</v>
      </c>
      <c r="D30">
        <f t="shared" si="3"/>
        <v>0</v>
      </c>
      <c r="E30">
        <f t="shared" si="4"/>
        <v>0</v>
      </c>
      <c r="F30">
        <f t="shared" si="5"/>
        <v>0</v>
      </c>
      <c r="G30">
        <f t="shared" si="6"/>
        <v>0</v>
      </c>
      <c r="H30">
        <f t="shared" si="7"/>
        <v>0</v>
      </c>
      <c r="I30">
        <f t="shared" si="7"/>
        <v>0</v>
      </c>
      <c r="J30">
        <f t="shared" si="7"/>
        <v>0</v>
      </c>
      <c r="K30">
        <f t="shared" si="7"/>
        <v>0</v>
      </c>
      <c r="L30">
        <f t="shared" si="8"/>
        <v>0</v>
      </c>
      <c r="M30">
        <f t="shared" si="9"/>
        <v>0</v>
      </c>
      <c r="N30" t="e">
        <f t="shared" si="10"/>
        <v>#REF!</v>
      </c>
      <c r="Q30" s="3" t="s">
        <v>326</v>
      </c>
      <c r="R30" t="str">
        <f>S9&amp;" Ω"</f>
        <v>523 Ω</v>
      </c>
      <c r="S30">
        <f>S9</f>
        <v>523</v>
      </c>
      <c r="T30" s="55" t="s">
        <v>535</v>
      </c>
    </row>
    <row r="31" spans="1:20" x14ac:dyDescent="0.2">
      <c r="A31">
        <v>56</v>
      </c>
      <c r="B31">
        <f t="shared" si="11"/>
        <v>0</v>
      </c>
      <c r="C31">
        <f t="shared" si="12"/>
        <v>0</v>
      </c>
      <c r="D31">
        <f t="shared" si="3"/>
        <v>0</v>
      </c>
      <c r="E31">
        <f t="shared" si="4"/>
        <v>0</v>
      </c>
      <c r="F31">
        <f t="shared" si="5"/>
        <v>0</v>
      </c>
      <c r="G31">
        <f t="shared" si="6"/>
        <v>0</v>
      </c>
      <c r="H31">
        <f t="shared" si="7"/>
        <v>0</v>
      </c>
      <c r="I31">
        <f t="shared" si="7"/>
        <v>0</v>
      </c>
      <c r="J31">
        <f t="shared" si="7"/>
        <v>0</v>
      </c>
      <c r="K31">
        <f t="shared" si="7"/>
        <v>0</v>
      </c>
      <c r="L31">
        <f t="shared" si="8"/>
        <v>0</v>
      </c>
      <c r="M31">
        <f t="shared" si="9"/>
        <v>0</v>
      </c>
      <c r="N31" t="e">
        <f t="shared" si="10"/>
        <v>#REF!</v>
      </c>
      <c r="Q31" s="3" t="s">
        <v>323</v>
      </c>
      <c r="R31" t="str">
        <f>E4*1000000000000&amp;" pF"</f>
        <v>1200 pF</v>
      </c>
      <c r="S31">
        <f>E4*1000000000000</f>
        <v>1200</v>
      </c>
      <c r="T31" s="171" t="s">
        <v>53</v>
      </c>
    </row>
    <row r="32" spans="1:20" x14ac:dyDescent="0.2">
      <c r="A32">
        <v>68</v>
      </c>
      <c r="B32">
        <f t="shared" si="11"/>
        <v>0</v>
      </c>
      <c r="C32">
        <f t="shared" si="12"/>
        <v>0</v>
      </c>
      <c r="D32">
        <f t="shared" si="3"/>
        <v>0</v>
      </c>
      <c r="E32">
        <f t="shared" si="4"/>
        <v>0</v>
      </c>
      <c r="F32">
        <f t="shared" si="5"/>
        <v>0</v>
      </c>
      <c r="G32">
        <f t="shared" si="6"/>
        <v>0</v>
      </c>
      <c r="H32">
        <f t="shared" si="7"/>
        <v>0</v>
      </c>
      <c r="I32">
        <f t="shared" si="7"/>
        <v>0</v>
      </c>
      <c r="J32">
        <f t="shared" si="7"/>
        <v>0</v>
      </c>
      <c r="K32">
        <f t="shared" si="7"/>
        <v>0</v>
      </c>
      <c r="L32">
        <f t="shared" si="8"/>
        <v>0</v>
      </c>
      <c r="M32">
        <f t="shared" si="9"/>
        <v>0</v>
      </c>
      <c r="N32" t="e">
        <f t="shared" si="10"/>
        <v>#REF!</v>
      </c>
    </row>
    <row r="33" spans="1:17" x14ac:dyDescent="0.2">
      <c r="A33">
        <v>82</v>
      </c>
      <c r="B33">
        <f t="shared" si="11"/>
        <v>0</v>
      </c>
      <c r="C33">
        <f t="shared" si="12"/>
        <v>0</v>
      </c>
      <c r="D33">
        <f t="shared" si="3"/>
        <v>0</v>
      </c>
      <c r="E33">
        <f t="shared" si="4"/>
        <v>0</v>
      </c>
      <c r="F33">
        <f t="shared" si="5"/>
        <v>0</v>
      </c>
      <c r="G33">
        <f t="shared" si="6"/>
        <v>0</v>
      </c>
      <c r="H33">
        <f t="shared" si="7"/>
        <v>0</v>
      </c>
      <c r="I33">
        <f t="shared" si="7"/>
        <v>0</v>
      </c>
      <c r="J33">
        <f t="shared" si="7"/>
        <v>0</v>
      </c>
      <c r="K33">
        <f t="shared" si="7"/>
        <v>0</v>
      </c>
      <c r="L33">
        <f t="shared" si="8"/>
        <v>0</v>
      </c>
      <c r="M33">
        <f t="shared" si="9"/>
        <v>0</v>
      </c>
      <c r="N33" t="e">
        <f t="shared" si="10"/>
        <v>#REF!</v>
      </c>
    </row>
    <row r="34" spans="1:17" x14ac:dyDescent="0.2">
      <c r="A34">
        <f>A22*10</f>
        <v>100</v>
      </c>
      <c r="B34">
        <f t="shared" si="11"/>
        <v>0</v>
      </c>
      <c r="C34">
        <f t="shared" si="12"/>
        <v>0</v>
      </c>
      <c r="D34">
        <f t="shared" si="3"/>
        <v>0</v>
      </c>
      <c r="E34">
        <f t="shared" si="4"/>
        <v>0</v>
      </c>
      <c r="F34">
        <f t="shared" si="5"/>
        <v>0</v>
      </c>
      <c r="G34">
        <f t="shared" si="6"/>
        <v>0</v>
      </c>
      <c r="H34">
        <f t="shared" si="7"/>
        <v>0</v>
      </c>
      <c r="I34">
        <f t="shared" si="7"/>
        <v>0</v>
      </c>
      <c r="J34">
        <f t="shared" si="7"/>
        <v>0</v>
      </c>
      <c r="K34">
        <f t="shared" si="7"/>
        <v>0</v>
      </c>
      <c r="L34">
        <f t="shared" si="8"/>
        <v>0</v>
      </c>
      <c r="M34">
        <f t="shared" si="9"/>
        <v>0</v>
      </c>
      <c r="N34" t="e">
        <f t="shared" si="10"/>
        <v>#REF!</v>
      </c>
      <c r="Q34" s="171"/>
    </row>
    <row r="35" spans="1:17" x14ac:dyDescent="0.2">
      <c r="A35">
        <f t="shared" ref="A35:A98" si="14">A23*10</f>
        <v>120</v>
      </c>
      <c r="B35">
        <f t="shared" si="11"/>
        <v>0</v>
      </c>
      <c r="C35">
        <f t="shared" si="12"/>
        <v>0</v>
      </c>
      <c r="D35">
        <f t="shared" si="3"/>
        <v>0</v>
      </c>
      <c r="E35">
        <f t="shared" si="4"/>
        <v>0</v>
      </c>
      <c r="F35">
        <f t="shared" si="5"/>
        <v>0</v>
      </c>
      <c r="G35">
        <f t="shared" si="6"/>
        <v>0</v>
      </c>
      <c r="H35">
        <f t="shared" si="7"/>
        <v>0</v>
      </c>
      <c r="I35">
        <f t="shared" si="7"/>
        <v>0</v>
      </c>
      <c r="J35">
        <f t="shared" si="7"/>
        <v>0</v>
      </c>
      <c r="K35">
        <f t="shared" si="7"/>
        <v>0</v>
      </c>
      <c r="L35">
        <f t="shared" si="8"/>
        <v>0</v>
      </c>
      <c r="M35">
        <f t="shared" si="9"/>
        <v>0</v>
      </c>
      <c r="N35" t="e">
        <f t="shared" si="10"/>
        <v>#REF!</v>
      </c>
      <c r="Q35" s="171"/>
    </row>
    <row r="36" spans="1:17" x14ac:dyDescent="0.2">
      <c r="A36">
        <f t="shared" si="14"/>
        <v>150</v>
      </c>
      <c r="B36">
        <f t="shared" si="11"/>
        <v>0</v>
      </c>
      <c r="C36">
        <f t="shared" si="12"/>
        <v>0</v>
      </c>
      <c r="D36">
        <f t="shared" si="3"/>
        <v>180</v>
      </c>
      <c r="E36">
        <f t="shared" si="4"/>
        <v>0</v>
      </c>
      <c r="F36">
        <f t="shared" si="5"/>
        <v>0</v>
      </c>
      <c r="G36">
        <f t="shared" si="6"/>
        <v>0</v>
      </c>
      <c r="H36">
        <f t="shared" si="7"/>
        <v>0</v>
      </c>
      <c r="I36">
        <f t="shared" si="7"/>
        <v>0</v>
      </c>
      <c r="J36">
        <f t="shared" si="7"/>
        <v>0</v>
      </c>
      <c r="K36">
        <f t="shared" si="7"/>
        <v>0</v>
      </c>
      <c r="L36">
        <f t="shared" si="8"/>
        <v>0</v>
      </c>
      <c r="M36">
        <f t="shared" si="9"/>
        <v>0</v>
      </c>
      <c r="N36" t="e">
        <f t="shared" si="10"/>
        <v>#REF!</v>
      </c>
    </row>
    <row r="37" spans="1:17" x14ac:dyDescent="0.2">
      <c r="A37">
        <f t="shared" si="14"/>
        <v>180</v>
      </c>
      <c r="B37">
        <f t="shared" si="11"/>
        <v>0</v>
      </c>
      <c r="C37">
        <f t="shared" si="12"/>
        <v>0</v>
      </c>
      <c r="D37">
        <f t="shared" si="3"/>
        <v>0</v>
      </c>
      <c r="E37">
        <f t="shared" si="4"/>
        <v>0</v>
      </c>
      <c r="F37">
        <f t="shared" si="5"/>
        <v>0</v>
      </c>
      <c r="G37">
        <f t="shared" si="6"/>
        <v>0</v>
      </c>
      <c r="H37">
        <f t="shared" si="7"/>
        <v>0</v>
      </c>
      <c r="I37">
        <f t="shared" si="7"/>
        <v>0</v>
      </c>
      <c r="J37">
        <f t="shared" si="7"/>
        <v>0</v>
      </c>
      <c r="K37">
        <f t="shared" si="7"/>
        <v>0</v>
      </c>
      <c r="L37">
        <f t="shared" si="8"/>
        <v>0</v>
      </c>
      <c r="M37">
        <f t="shared" si="9"/>
        <v>0</v>
      </c>
      <c r="N37" t="e">
        <f t="shared" si="10"/>
        <v>#REF!</v>
      </c>
    </row>
    <row r="38" spans="1:17" x14ac:dyDescent="0.2">
      <c r="A38">
        <f t="shared" si="14"/>
        <v>220</v>
      </c>
      <c r="B38">
        <f t="shared" si="11"/>
        <v>0</v>
      </c>
      <c r="C38">
        <f t="shared" si="12"/>
        <v>0</v>
      </c>
      <c r="D38">
        <f t="shared" si="3"/>
        <v>0</v>
      </c>
      <c r="E38">
        <f t="shared" si="4"/>
        <v>0</v>
      </c>
      <c r="F38">
        <f t="shared" si="5"/>
        <v>0</v>
      </c>
      <c r="G38">
        <f t="shared" si="6"/>
        <v>0</v>
      </c>
      <c r="H38">
        <f t="shared" si="7"/>
        <v>0</v>
      </c>
      <c r="I38">
        <f t="shared" si="7"/>
        <v>0</v>
      </c>
      <c r="J38">
        <f t="shared" si="7"/>
        <v>0</v>
      </c>
      <c r="K38">
        <f t="shared" si="7"/>
        <v>0</v>
      </c>
      <c r="L38">
        <f t="shared" si="8"/>
        <v>0</v>
      </c>
      <c r="M38">
        <f t="shared" ref="M38:M69" si="15">IF(IF((M$3*10^12-$A39)*(M$3*10^12-$A38)*-1&lt;0,0,1)*IF(ABS(M$3*10^12-$A39)&gt;(M$3*10^12-$A38),$A38,$A39)=M39,0,IF((M$3*10^12-$A39)*(M$3*10^12-$A38)*-1&lt;0,0,1)*IF(ABS(M$3*10^12-$A39)&gt;(M$3*10^12-$A38),$A38,$A39))</f>
        <v>0</v>
      </c>
      <c r="N38" t="e">
        <f t="shared" ref="N38:N69" si="16">IF(IF((N$3*10^12-$A39)*(N$3*10^12-$A38)*-1&lt;0,0,1)*IF(ABS(N$3*10^12-$A39)&gt;(N$3*10^12-$A38),$A38,$A39)=N39,0,IF((N$3*10^12-$A39)*(N$3*10^12-$A38)*-1&lt;0,0,1)*IF(ABS(N$3*10^12-$A39)&gt;(N$3*10^12-$A38),$A38,$A39))</f>
        <v>#REF!</v>
      </c>
    </row>
    <row r="39" spans="1:17" x14ac:dyDescent="0.2">
      <c r="A39">
        <f t="shared" si="14"/>
        <v>270</v>
      </c>
      <c r="B39">
        <f t="shared" si="11"/>
        <v>0</v>
      </c>
      <c r="C39">
        <f t="shared" ref="C39:C70" si="17">IF(IF((C$3*10^12-$A40)*(C$3*10^12-$A39)*-1&lt;0,0,1)*IF(ABS(C$3*10^12-$A40)&gt;(C$3*10^12-$A39),$A39,$A40)=C40,0,IF((C$3*10^12-$A40)*(C$3*10^12-$A39)*-1&lt;0,0,1)*IF(ABS(C$3*10^12-$A40)&gt;(C$3*10^12-$A39),$A39,$A40))</f>
        <v>0</v>
      </c>
      <c r="D39">
        <f t="shared" si="3"/>
        <v>0</v>
      </c>
      <c r="E39">
        <f t="shared" si="4"/>
        <v>0</v>
      </c>
      <c r="F39">
        <f t="shared" si="5"/>
        <v>0</v>
      </c>
      <c r="G39">
        <f t="shared" si="6"/>
        <v>0</v>
      </c>
      <c r="H39">
        <f t="shared" si="7"/>
        <v>0</v>
      </c>
      <c r="I39">
        <f t="shared" si="7"/>
        <v>0</v>
      </c>
      <c r="J39">
        <f t="shared" si="7"/>
        <v>0</v>
      </c>
      <c r="K39">
        <f t="shared" si="7"/>
        <v>0</v>
      </c>
      <c r="L39">
        <f t="shared" si="8"/>
        <v>0</v>
      </c>
      <c r="M39">
        <f t="shared" si="15"/>
        <v>0</v>
      </c>
      <c r="N39" t="e">
        <f t="shared" si="16"/>
        <v>#REF!</v>
      </c>
    </row>
    <row r="40" spans="1:17" x14ac:dyDescent="0.2">
      <c r="A40">
        <f t="shared" si="14"/>
        <v>330</v>
      </c>
      <c r="B40">
        <f t="shared" si="11"/>
        <v>0</v>
      </c>
      <c r="C40">
        <f t="shared" si="17"/>
        <v>0</v>
      </c>
      <c r="D40">
        <f t="shared" si="3"/>
        <v>0</v>
      </c>
      <c r="E40">
        <f t="shared" si="4"/>
        <v>0</v>
      </c>
      <c r="F40">
        <f t="shared" si="5"/>
        <v>0</v>
      </c>
      <c r="G40">
        <f t="shared" si="6"/>
        <v>0</v>
      </c>
      <c r="H40">
        <f t="shared" si="7"/>
        <v>0</v>
      </c>
      <c r="I40">
        <f t="shared" si="7"/>
        <v>0</v>
      </c>
      <c r="J40">
        <f t="shared" si="7"/>
        <v>0</v>
      </c>
      <c r="K40">
        <f t="shared" si="7"/>
        <v>0</v>
      </c>
      <c r="L40">
        <f t="shared" si="8"/>
        <v>0</v>
      </c>
      <c r="M40">
        <f t="shared" si="15"/>
        <v>0</v>
      </c>
      <c r="N40" t="e">
        <f t="shared" si="16"/>
        <v>#REF!</v>
      </c>
    </row>
    <row r="41" spans="1:17" x14ac:dyDescent="0.2">
      <c r="A41">
        <f t="shared" si="14"/>
        <v>390</v>
      </c>
      <c r="B41">
        <f t="shared" si="11"/>
        <v>0</v>
      </c>
      <c r="C41">
        <f t="shared" si="17"/>
        <v>0</v>
      </c>
      <c r="D41">
        <f t="shared" si="3"/>
        <v>0</v>
      </c>
      <c r="E41">
        <f t="shared" si="4"/>
        <v>0</v>
      </c>
      <c r="F41">
        <f t="shared" si="5"/>
        <v>0</v>
      </c>
      <c r="G41">
        <f t="shared" si="6"/>
        <v>0</v>
      </c>
      <c r="H41">
        <f t="shared" si="7"/>
        <v>0</v>
      </c>
      <c r="I41">
        <f t="shared" si="7"/>
        <v>0</v>
      </c>
      <c r="J41">
        <f t="shared" si="7"/>
        <v>0</v>
      </c>
      <c r="K41">
        <f t="shared" si="7"/>
        <v>0</v>
      </c>
      <c r="L41">
        <f t="shared" si="8"/>
        <v>0</v>
      </c>
      <c r="M41">
        <f t="shared" si="15"/>
        <v>0</v>
      </c>
      <c r="N41" t="e">
        <f t="shared" si="16"/>
        <v>#REF!</v>
      </c>
    </row>
    <row r="42" spans="1:17" x14ac:dyDescent="0.2">
      <c r="A42">
        <f t="shared" si="14"/>
        <v>470</v>
      </c>
      <c r="B42">
        <f t="shared" si="11"/>
        <v>0</v>
      </c>
      <c r="C42">
        <f t="shared" si="17"/>
        <v>0</v>
      </c>
      <c r="D42">
        <f t="shared" si="3"/>
        <v>0</v>
      </c>
      <c r="E42">
        <f t="shared" si="4"/>
        <v>0</v>
      </c>
      <c r="F42">
        <f t="shared" si="5"/>
        <v>0</v>
      </c>
      <c r="G42">
        <f t="shared" si="6"/>
        <v>0</v>
      </c>
      <c r="H42">
        <f t="shared" si="7"/>
        <v>0</v>
      </c>
      <c r="I42">
        <f t="shared" si="7"/>
        <v>0</v>
      </c>
      <c r="J42">
        <f t="shared" si="7"/>
        <v>0</v>
      </c>
      <c r="K42">
        <f t="shared" si="7"/>
        <v>0</v>
      </c>
      <c r="L42">
        <f t="shared" si="8"/>
        <v>0</v>
      </c>
      <c r="M42">
        <f t="shared" si="15"/>
        <v>0</v>
      </c>
      <c r="N42" t="e">
        <f t="shared" si="16"/>
        <v>#REF!</v>
      </c>
    </row>
    <row r="43" spans="1:17" x14ac:dyDescent="0.2">
      <c r="A43">
        <f t="shared" si="14"/>
        <v>560</v>
      </c>
      <c r="B43">
        <f t="shared" si="11"/>
        <v>0</v>
      </c>
      <c r="C43">
        <f t="shared" si="17"/>
        <v>0</v>
      </c>
      <c r="D43">
        <f t="shared" si="3"/>
        <v>0</v>
      </c>
      <c r="E43">
        <f t="shared" si="4"/>
        <v>0</v>
      </c>
      <c r="F43">
        <f t="shared" si="5"/>
        <v>0</v>
      </c>
      <c r="G43">
        <f t="shared" si="6"/>
        <v>0</v>
      </c>
      <c r="H43">
        <f t="shared" si="7"/>
        <v>0</v>
      </c>
      <c r="I43">
        <f t="shared" si="7"/>
        <v>0</v>
      </c>
      <c r="J43">
        <f t="shared" si="7"/>
        <v>0</v>
      </c>
      <c r="K43">
        <f t="shared" si="7"/>
        <v>0</v>
      </c>
      <c r="L43">
        <f t="shared" si="8"/>
        <v>0</v>
      </c>
      <c r="M43">
        <f t="shared" si="15"/>
        <v>0</v>
      </c>
      <c r="N43" t="e">
        <f t="shared" si="16"/>
        <v>#REF!</v>
      </c>
    </row>
    <row r="44" spans="1:17" x14ac:dyDescent="0.2">
      <c r="A44">
        <f t="shared" si="14"/>
        <v>680</v>
      </c>
      <c r="B44">
        <f t="shared" si="11"/>
        <v>0</v>
      </c>
      <c r="C44">
        <f t="shared" si="17"/>
        <v>0</v>
      </c>
      <c r="D44">
        <f t="shared" si="3"/>
        <v>0</v>
      </c>
      <c r="E44">
        <f t="shared" si="4"/>
        <v>0</v>
      </c>
      <c r="F44">
        <f t="shared" si="5"/>
        <v>0</v>
      </c>
      <c r="G44">
        <f t="shared" si="6"/>
        <v>0</v>
      </c>
      <c r="H44">
        <f t="shared" si="7"/>
        <v>0</v>
      </c>
      <c r="I44">
        <f t="shared" si="7"/>
        <v>0</v>
      </c>
      <c r="J44">
        <f t="shared" si="7"/>
        <v>0</v>
      </c>
      <c r="K44">
        <f t="shared" si="7"/>
        <v>0</v>
      </c>
      <c r="L44">
        <f t="shared" si="8"/>
        <v>0</v>
      </c>
      <c r="M44">
        <f t="shared" si="15"/>
        <v>0</v>
      </c>
      <c r="N44" t="e">
        <f t="shared" si="16"/>
        <v>#REF!</v>
      </c>
    </row>
    <row r="45" spans="1:17" x14ac:dyDescent="0.2">
      <c r="A45">
        <f>A33*10</f>
        <v>820</v>
      </c>
      <c r="B45">
        <f t="shared" si="11"/>
        <v>0</v>
      </c>
      <c r="C45">
        <f t="shared" si="17"/>
        <v>0</v>
      </c>
      <c r="D45">
        <f t="shared" si="3"/>
        <v>0</v>
      </c>
      <c r="E45">
        <f t="shared" si="4"/>
        <v>0</v>
      </c>
      <c r="F45">
        <f t="shared" si="5"/>
        <v>0</v>
      </c>
      <c r="G45">
        <f t="shared" si="6"/>
        <v>0</v>
      </c>
      <c r="H45">
        <f t="shared" si="7"/>
        <v>0</v>
      </c>
      <c r="I45">
        <f t="shared" si="7"/>
        <v>0</v>
      </c>
      <c r="J45">
        <f t="shared" si="7"/>
        <v>0</v>
      </c>
      <c r="K45">
        <f t="shared" si="7"/>
        <v>0</v>
      </c>
      <c r="L45">
        <f t="shared" si="8"/>
        <v>0</v>
      </c>
      <c r="M45">
        <f t="shared" si="15"/>
        <v>0</v>
      </c>
      <c r="N45" t="e">
        <f t="shared" si="16"/>
        <v>#REF!</v>
      </c>
    </row>
    <row r="46" spans="1:17" x14ac:dyDescent="0.2">
      <c r="A46">
        <f t="shared" si="14"/>
        <v>1000</v>
      </c>
      <c r="B46">
        <f t="shared" si="11"/>
        <v>0</v>
      </c>
      <c r="C46">
        <f t="shared" si="17"/>
        <v>0</v>
      </c>
      <c r="D46">
        <f t="shared" si="3"/>
        <v>0</v>
      </c>
      <c r="E46">
        <f t="shared" si="4"/>
        <v>0</v>
      </c>
      <c r="F46">
        <f t="shared" si="5"/>
        <v>0</v>
      </c>
      <c r="G46">
        <f t="shared" si="6"/>
        <v>0</v>
      </c>
      <c r="H46">
        <f t="shared" si="7"/>
        <v>0</v>
      </c>
      <c r="I46">
        <f t="shared" si="7"/>
        <v>0</v>
      </c>
      <c r="J46">
        <f t="shared" si="7"/>
        <v>0</v>
      </c>
      <c r="K46">
        <f t="shared" si="7"/>
        <v>0</v>
      </c>
      <c r="L46">
        <f t="shared" si="8"/>
        <v>0</v>
      </c>
      <c r="M46">
        <f t="shared" si="15"/>
        <v>0</v>
      </c>
      <c r="N46" t="e">
        <f t="shared" si="16"/>
        <v>#REF!</v>
      </c>
    </row>
    <row r="47" spans="1:17" x14ac:dyDescent="0.2">
      <c r="A47">
        <f t="shared" si="14"/>
        <v>1200</v>
      </c>
      <c r="B47">
        <f t="shared" si="11"/>
        <v>0</v>
      </c>
      <c r="C47">
        <f t="shared" si="17"/>
        <v>0</v>
      </c>
      <c r="D47">
        <f t="shared" si="3"/>
        <v>0</v>
      </c>
      <c r="E47">
        <f t="shared" si="4"/>
        <v>1200</v>
      </c>
      <c r="F47">
        <f t="shared" si="5"/>
        <v>0</v>
      </c>
      <c r="G47">
        <f t="shared" si="6"/>
        <v>0</v>
      </c>
      <c r="H47">
        <f t="shared" si="7"/>
        <v>0</v>
      </c>
      <c r="I47">
        <f t="shared" si="7"/>
        <v>0</v>
      </c>
      <c r="J47">
        <f t="shared" si="7"/>
        <v>0</v>
      </c>
      <c r="K47">
        <f t="shared" si="7"/>
        <v>0</v>
      </c>
      <c r="L47">
        <f t="shared" si="8"/>
        <v>0</v>
      </c>
      <c r="M47">
        <f t="shared" si="15"/>
        <v>0</v>
      </c>
      <c r="N47" t="e">
        <f t="shared" si="16"/>
        <v>#REF!</v>
      </c>
    </row>
    <row r="48" spans="1:17" x14ac:dyDescent="0.2">
      <c r="A48">
        <f t="shared" si="14"/>
        <v>1500</v>
      </c>
      <c r="B48">
        <f t="shared" si="11"/>
        <v>0</v>
      </c>
      <c r="C48">
        <f t="shared" si="17"/>
        <v>0</v>
      </c>
      <c r="D48">
        <f t="shared" si="3"/>
        <v>0</v>
      </c>
      <c r="E48">
        <f t="shared" si="4"/>
        <v>0</v>
      </c>
      <c r="F48">
        <f t="shared" si="5"/>
        <v>0</v>
      </c>
      <c r="G48">
        <f t="shared" si="6"/>
        <v>0</v>
      </c>
      <c r="H48">
        <f t="shared" si="7"/>
        <v>0</v>
      </c>
      <c r="I48">
        <f t="shared" si="7"/>
        <v>0</v>
      </c>
      <c r="J48">
        <f t="shared" si="7"/>
        <v>0</v>
      </c>
      <c r="K48">
        <f t="shared" si="7"/>
        <v>0</v>
      </c>
      <c r="L48">
        <f t="shared" si="8"/>
        <v>0</v>
      </c>
      <c r="M48">
        <f t="shared" si="15"/>
        <v>0</v>
      </c>
      <c r="N48" t="e">
        <f t="shared" si="16"/>
        <v>#REF!</v>
      </c>
    </row>
    <row r="49" spans="1:14" x14ac:dyDescent="0.2">
      <c r="A49">
        <f t="shared" si="14"/>
        <v>1800</v>
      </c>
      <c r="B49">
        <f t="shared" si="11"/>
        <v>0</v>
      </c>
      <c r="C49">
        <f t="shared" si="17"/>
        <v>0</v>
      </c>
      <c r="D49">
        <f t="shared" si="3"/>
        <v>0</v>
      </c>
      <c r="E49">
        <f t="shared" si="4"/>
        <v>0</v>
      </c>
      <c r="F49">
        <f t="shared" si="5"/>
        <v>0</v>
      </c>
      <c r="G49">
        <f t="shared" si="6"/>
        <v>0</v>
      </c>
      <c r="H49">
        <f t="shared" si="7"/>
        <v>0</v>
      </c>
      <c r="I49">
        <f t="shared" si="7"/>
        <v>0</v>
      </c>
      <c r="J49">
        <f t="shared" si="7"/>
        <v>0</v>
      </c>
      <c r="K49">
        <f t="shared" si="7"/>
        <v>0</v>
      </c>
      <c r="L49">
        <f t="shared" si="8"/>
        <v>0</v>
      </c>
      <c r="M49">
        <f t="shared" si="15"/>
        <v>0</v>
      </c>
      <c r="N49" t="e">
        <f t="shared" si="16"/>
        <v>#REF!</v>
      </c>
    </row>
    <row r="50" spans="1:14" x14ac:dyDescent="0.2">
      <c r="A50">
        <f t="shared" si="14"/>
        <v>2200</v>
      </c>
      <c r="B50">
        <f t="shared" si="11"/>
        <v>0</v>
      </c>
      <c r="C50">
        <f t="shared" si="17"/>
        <v>0</v>
      </c>
      <c r="D50">
        <f t="shared" si="3"/>
        <v>0</v>
      </c>
      <c r="E50">
        <f t="shared" si="4"/>
        <v>0</v>
      </c>
      <c r="F50">
        <f t="shared" si="5"/>
        <v>0</v>
      </c>
      <c r="G50">
        <f t="shared" si="6"/>
        <v>0</v>
      </c>
      <c r="H50">
        <f t="shared" si="7"/>
        <v>0</v>
      </c>
      <c r="I50">
        <f t="shared" si="7"/>
        <v>0</v>
      </c>
      <c r="J50">
        <f t="shared" si="7"/>
        <v>0</v>
      </c>
      <c r="K50">
        <f t="shared" si="7"/>
        <v>0</v>
      </c>
      <c r="L50">
        <f t="shared" si="8"/>
        <v>0</v>
      </c>
      <c r="M50">
        <f t="shared" si="15"/>
        <v>0</v>
      </c>
      <c r="N50" t="e">
        <f t="shared" si="16"/>
        <v>#REF!</v>
      </c>
    </row>
    <row r="51" spans="1:14" x14ac:dyDescent="0.2">
      <c r="A51">
        <f t="shared" si="14"/>
        <v>2700</v>
      </c>
      <c r="B51">
        <f t="shared" si="11"/>
        <v>0</v>
      </c>
      <c r="C51">
        <f t="shared" si="17"/>
        <v>0</v>
      </c>
      <c r="D51">
        <f t="shared" si="3"/>
        <v>0</v>
      </c>
      <c r="E51">
        <f t="shared" si="4"/>
        <v>0</v>
      </c>
      <c r="F51">
        <f t="shared" si="5"/>
        <v>0</v>
      </c>
      <c r="G51">
        <f t="shared" si="6"/>
        <v>0</v>
      </c>
      <c r="H51">
        <f t="shared" si="7"/>
        <v>0</v>
      </c>
      <c r="I51">
        <f t="shared" si="7"/>
        <v>0</v>
      </c>
      <c r="J51">
        <f t="shared" si="7"/>
        <v>0</v>
      </c>
      <c r="K51">
        <f t="shared" si="7"/>
        <v>0</v>
      </c>
      <c r="L51">
        <f t="shared" si="8"/>
        <v>0</v>
      </c>
      <c r="M51">
        <f t="shared" si="15"/>
        <v>0</v>
      </c>
      <c r="N51" t="e">
        <f t="shared" si="16"/>
        <v>#REF!</v>
      </c>
    </row>
    <row r="52" spans="1:14" x14ac:dyDescent="0.2">
      <c r="A52">
        <f t="shared" si="14"/>
        <v>3300</v>
      </c>
      <c r="B52">
        <f t="shared" si="11"/>
        <v>0</v>
      </c>
      <c r="C52">
        <f t="shared" si="17"/>
        <v>0</v>
      </c>
      <c r="D52">
        <f t="shared" si="3"/>
        <v>0</v>
      </c>
      <c r="E52">
        <f t="shared" si="4"/>
        <v>0</v>
      </c>
      <c r="F52">
        <f t="shared" si="5"/>
        <v>0</v>
      </c>
      <c r="G52">
        <f t="shared" si="6"/>
        <v>0</v>
      </c>
      <c r="H52">
        <f t="shared" si="7"/>
        <v>0</v>
      </c>
      <c r="I52">
        <f t="shared" si="7"/>
        <v>0</v>
      </c>
      <c r="J52">
        <f t="shared" si="7"/>
        <v>0</v>
      </c>
      <c r="K52">
        <f t="shared" si="7"/>
        <v>0</v>
      </c>
      <c r="L52">
        <f t="shared" si="8"/>
        <v>0</v>
      </c>
      <c r="M52">
        <f t="shared" si="15"/>
        <v>0</v>
      </c>
      <c r="N52" t="e">
        <f t="shared" si="16"/>
        <v>#REF!</v>
      </c>
    </row>
    <row r="53" spans="1:14" x14ac:dyDescent="0.2">
      <c r="A53">
        <f t="shared" si="14"/>
        <v>3900</v>
      </c>
      <c r="B53">
        <f t="shared" si="11"/>
        <v>0</v>
      </c>
      <c r="C53">
        <f t="shared" si="17"/>
        <v>0</v>
      </c>
      <c r="D53">
        <f t="shared" si="3"/>
        <v>0</v>
      </c>
      <c r="E53">
        <f t="shared" si="4"/>
        <v>0</v>
      </c>
      <c r="F53">
        <f t="shared" si="5"/>
        <v>0</v>
      </c>
      <c r="G53">
        <f t="shared" si="6"/>
        <v>0</v>
      </c>
      <c r="H53">
        <f t="shared" si="7"/>
        <v>0</v>
      </c>
      <c r="I53">
        <f t="shared" si="7"/>
        <v>0</v>
      </c>
      <c r="J53">
        <f t="shared" si="7"/>
        <v>0</v>
      </c>
      <c r="K53">
        <f t="shared" si="7"/>
        <v>0</v>
      </c>
      <c r="L53">
        <f t="shared" si="8"/>
        <v>0</v>
      </c>
      <c r="M53">
        <f t="shared" si="15"/>
        <v>0</v>
      </c>
      <c r="N53" t="e">
        <f t="shared" si="16"/>
        <v>#REF!</v>
      </c>
    </row>
    <row r="54" spans="1:14" x14ac:dyDescent="0.2">
      <c r="A54">
        <f t="shared" si="14"/>
        <v>4700</v>
      </c>
      <c r="B54">
        <f t="shared" si="11"/>
        <v>0</v>
      </c>
      <c r="C54">
        <f t="shared" si="17"/>
        <v>0</v>
      </c>
      <c r="D54">
        <f t="shared" si="3"/>
        <v>0</v>
      </c>
      <c r="E54">
        <f t="shared" si="4"/>
        <v>0</v>
      </c>
      <c r="F54">
        <f t="shared" si="5"/>
        <v>0</v>
      </c>
      <c r="G54">
        <f t="shared" si="6"/>
        <v>0</v>
      </c>
      <c r="H54">
        <f t="shared" si="7"/>
        <v>0</v>
      </c>
      <c r="I54">
        <f t="shared" si="7"/>
        <v>0</v>
      </c>
      <c r="J54">
        <f t="shared" si="7"/>
        <v>0</v>
      </c>
      <c r="K54">
        <f t="shared" si="7"/>
        <v>0</v>
      </c>
      <c r="L54">
        <f t="shared" si="8"/>
        <v>0</v>
      </c>
      <c r="M54">
        <f t="shared" si="15"/>
        <v>0</v>
      </c>
      <c r="N54" t="e">
        <f t="shared" si="16"/>
        <v>#REF!</v>
      </c>
    </row>
    <row r="55" spans="1:14" x14ac:dyDescent="0.2">
      <c r="A55">
        <f t="shared" si="14"/>
        <v>5600</v>
      </c>
      <c r="B55">
        <f t="shared" si="11"/>
        <v>0</v>
      </c>
      <c r="C55">
        <f t="shared" si="17"/>
        <v>0</v>
      </c>
      <c r="D55">
        <f t="shared" si="3"/>
        <v>0</v>
      </c>
      <c r="E55">
        <f t="shared" si="4"/>
        <v>0</v>
      </c>
      <c r="F55">
        <f t="shared" si="5"/>
        <v>0</v>
      </c>
      <c r="G55">
        <f t="shared" si="6"/>
        <v>0</v>
      </c>
      <c r="H55">
        <f t="shared" si="7"/>
        <v>0</v>
      </c>
      <c r="I55">
        <f t="shared" si="7"/>
        <v>0</v>
      </c>
      <c r="J55">
        <f t="shared" si="7"/>
        <v>0</v>
      </c>
      <c r="K55">
        <f t="shared" si="7"/>
        <v>0</v>
      </c>
      <c r="L55">
        <f t="shared" si="8"/>
        <v>0</v>
      </c>
      <c r="M55">
        <f t="shared" si="15"/>
        <v>0</v>
      </c>
      <c r="N55" t="e">
        <f t="shared" si="16"/>
        <v>#REF!</v>
      </c>
    </row>
    <row r="56" spans="1:14" x14ac:dyDescent="0.2">
      <c r="A56">
        <f t="shared" si="14"/>
        <v>6800</v>
      </c>
      <c r="B56">
        <f t="shared" si="11"/>
        <v>0</v>
      </c>
      <c r="C56">
        <f t="shared" si="17"/>
        <v>0</v>
      </c>
      <c r="D56">
        <f t="shared" si="3"/>
        <v>0</v>
      </c>
      <c r="E56">
        <f t="shared" si="4"/>
        <v>0</v>
      </c>
      <c r="F56">
        <f t="shared" si="5"/>
        <v>0</v>
      </c>
      <c r="G56">
        <f t="shared" si="6"/>
        <v>0</v>
      </c>
      <c r="H56">
        <f t="shared" si="7"/>
        <v>0</v>
      </c>
      <c r="I56">
        <f t="shared" si="7"/>
        <v>0</v>
      </c>
      <c r="J56">
        <f t="shared" si="7"/>
        <v>0</v>
      </c>
      <c r="K56">
        <f t="shared" si="7"/>
        <v>0</v>
      </c>
      <c r="L56">
        <f t="shared" si="8"/>
        <v>0</v>
      </c>
      <c r="M56">
        <f t="shared" si="15"/>
        <v>0</v>
      </c>
      <c r="N56" t="e">
        <f t="shared" si="16"/>
        <v>#REF!</v>
      </c>
    </row>
    <row r="57" spans="1:14" x14ac:dyDescent="0.2">
      <c r="A57">
        <f t="shared" si="14"/>
        <v>8200</v>
      </c>
      <c r="B57">
        <f t="shared" si="11"/>
        <v>0</v>
      </c>
      <c r="C57">
        <f t="shared" si="17"/>
        <v>0</v>
      </c>
      <c r="D57">
        <f t="shared" si="3"/>
        <v>0</v>
      </c>
      <c r="E57">
        <f t="shared" si="4"/>
        <v>0</v>
      </c>
      <c r="F57">
        <f t="shared" si="5"/>
        <v>0</v>
      </c>
      <c r="G57">
        <f t="shared" si="6"/>
        <v>0</v>
      </c>
      <c r="H57">
        <f t="shared" si="7"/>
        <v>0</v>
      </c>
      <c r="I57">
        <f t="shared" si="7"/>
        <v>0</v>
      </c>
      <c r="J57">
        <f t="shared" si="7"/>
        <v>0</v>
      </c>
      <c r="K57">
        <f t="shared" si="7"/>
        <v>0</v>
      </c>
      <c r="L57">
        <f t="shared" si="8"/>
        <v>0</v>
      </c>
      <c r="M57">
        <f t="shared" si="15"/>
        <v>0</v>
      </c>
      <c r="N57" t="e">
        <f t="shared" si="16"/>
        <v>#REF!</v>
      </c>
    </row>
    <row r="58" spans="1:14" x14ac:dyDescent="0.2">
      <c r="A58">
        <f t="shared" si="14"/>
        <v>10000</v>
      </c>
      <c r="B58">
        <f t="shared" si="11"/>
        <v>0</v>
      </c>
      <c r="C58">
        <f t="shared" si="17"/>
        <v>0</v>
      </c>
      <c r="D58">
        <f t="shared" si="3"/>
        <v>0</v>
      </c>
      <c r="E58">
        <f t="shared" si="4"/>
        <v>0</v>
      </c>
      <c r="F58">
        <f t="shared" si="5"/>
        <v>0</v>
      </c>
      <c r="G58">
        <f t="shared" si="6"/>
        <v>0</v>
      </c>
      <c r="H58">
        <f t="shared" si="7"/>
        <v>0</v>
      </c>
      <c r="I58">
        <f t="shared" si="7"/>
        <v>0</v>
      </c>
      <c r="J58">
        <f t="shared" si="7"/>
        <v>0</v>
      </c>
      <c r="K58">
        <f t="shared" si="7"/>
        <v>0</v>
      </c>
      <c r="L58">
        <f t="shared" si="8"/>
        <v>0</v>
      </c>
      <c r="M58">
        <f t="shared" si="15"/>
        <v>0</v>
      </c>
      <c r="N58" t="e">
        <f t="shared" si="16"/>
        <v>#REF!</v>
      </c>
    </row>
    <row r="59" spans="1:14" x14ac:dyDescent="0.2">
      <c r="A59">
        <f t="shared" si="14"/>
        <v>12000</v>
      </c>
      <c r="B59">
        <f t="shared" si="11"/>
        <v>0</v>
      </c>
      <c r="C59">
        <f t="shared" si="17"/>
        <v>0</v>
      </c>
      <c r="D59">
        <f t="shared" si="3"/>
        <v>0</v>
      </c>
      <c r="E59">
        <f t="shared" si="4"/>
        <v>0</v>
      </c>
      <c r="F59">
        <f t="shared" si="5"/>
        <v>0</v>
      </c>
      <c r="G59">
        <f t="shared" si="6"/>
        <v>0</v>
      </c>
      <c r="H59">
        <f t="shared" si="7"/>
        <v>0</v>
      </c>
      <c r="I59">
        <f t="shared" si="7"/>
        <v>0</v>
      </c>
      <c r="J59">
        <f t="shared" si="7"/>
        <v>0</v>
      </c>
      <c r="K59">
        <f t="shared" si="7"/>
        <v>0</v>
      </c>
      <c r="L59">
        <f t="shared" si="8"/>
        <v>0</v>
      </c>
      <c r="M59">
        <f t="shared" si="15"/>
        <v>0</v>
      </c>
      <c r="N59" t="e">
        <f t="shared" si="16"/>
        <v>#REF!</v>
      </c>
    </row>
    <row r="60" spans="1:14" x14ac:dyDescent="0.2">
      <c r="A60">
        <f t="shared" si="14"/>
        <v>15000</v>
      </c>
      <c r="B60">
        <f t="shared" si="11"/>
        <v>0</v>
      </c>
      <c r="C60">
        <f t="shared" si="17"/>
        <v>0</v>
      </c>
      <c r="D60">
        <f t="shared" si="3"/>
        <v>0</v>
      </c>
      <c r="E60">
        <f t="shared" si="4"/>
        <v>0</v>
      </c>
      <c r="F60">
        <f t="shared" si="5"/>
        <v>0</v>
      </c>
      <c r="G60">
        <f t="shared" si="6"/>
        <v>0</v>
      </c>
      <c r="H60">
        <f t="shared" si="7"/>
        <v>0</v>
      </c>
      <c r="I60">
        <f t="shared" si="7"/>
        <v>0</v>
      </c>
      <c r="J60">
        <f t="shared" si="7"/>
        <v>0</v>
      </c>
      <c r="K60">
        <f t="shared" si="7"/>
        <v>0</v>
      </c>
      <c r="L60">
        <f t="shared" si="8"/>
        <v>0</v>
      </c>
      <c r="M60">
        <f t="shared" si="15"/>
        <v>0</v>
      </c>
      <c r="N60" t="e">
        <f t="shared" si="16"/>
        <v>#REF!</v>
      </c>
    </row>
    <row r="61" spans="1:14" x14ac:dyDescent="0.2">
      <c r="A61">
        <f t="shared" si="14"/>
        <v>18000</v>
      </c>
      <c r="B61">
        <f t="shared" si="11"/>
        <v>0</v>
      </c>
      <c r="C61">
        <f t="shared" si="17"/>
        <v>0</v>
      </c>
      <c r="D61">
        <f t="shared" si="3"/>
        <v>0</v>
      </c>
      <c r="E61">
        <f t="shared" si="4"/>
        <v>0</v>
      </c>
      <c r="F61">
        <f t="shared" si="5"/>
        <v>0</v>
      </c>
      <c r="G61">
        <f t="shared" si="6"/>
        <v>0</v>
      </c>
      <c r="H61">
        <f t="shared" si="7"/>
        <v>0</v>
      </c>
      <c r="I61">
        <f t="shared" si="7"/>
        <v>0</v>
      </c>
      <c r="J61">
        <f t="shared" si="7"/>
        <v>0</v>
      </c>
      <c r="K61">
        <f t="shared" si="7"/>
        <v>0</v>
      </c>
      <c r="L61">
        <f t="shared" si="8"/>
        <v>0</v>
      </c>
      <c r="M61">
        <f t="shared" si="15"/>
        <v>0</v>
      </c>
      <c r="N61" t="e">
        <f t="shared" si="16"/>
        <v>#REF!</v>
      </c>
    </row>
    <row r="62" spans="1:14" x14ac:dyDescent="0.2">
      <c r="A62">
        <f t="shared" si="14"/>
        <v>22000</v>
      </c>
      <c r="B62">
        <f t="shared" si="11"/>
        <v>0</v>
      </c>
      <c r="C62">
        <f t="shared" si="17"/>
        <v>0</v>
      </c>
      <c r="D62">
        <f t="shared" si="3"/>
        <v>0</v>
      </c>
      <c r="E62">
        <f t="shared" si="4"/>
        <v>0</v>
      </c>
      <c r="F62">
        <f t="shared" si="5"/>
        <v>0</v>
      </c>
      <c r="G62">
        <f t="shared" si="6"/>
        <v>0</v>
      </c>
      <c r="H62">
        <f t="shared" si="7"/>
        <v>0</v>
      </c>
      <c r="I62">
        <f t="shared" si="7"/>
        <v>0</v>
      </c>
      <c r="J62">
        <f t="shared" si="7"/>
        <v>0</v>
      </c>
      <c r="K62">
        <f t="shared" si="7"/>
        <v>0</v>
      </c>
      <c r="L62">
        <f t="shared" si="8"/>
        <v>0</v>
      </c>
      <c r="M62">
        <f t="shared" si="15"/>
        <v>0</v>
      </c>
      <c r="N62" t="e">
        <f t="shared" si="16"/>
        <v>#REF!</v>
      </c>
    </row>
    <row r="63" spans="1:14" x14ac:dyDescent="0.2">
      <c r="A63">
        <f t="shared" si="14"/>
        <v>27000</v>
      </c>
      <c r="B63">
        <f t="shared" si="11"/>
        <v>0</v>
      </c>
      <c r="C63">
        <f t="shared" si="17"/>
        <v>0</v>
      </c>
      <c r="D63">
        <f t="shared" si="3"/>
        <v>0</v>
      </c>
      <c r="E63">
        <f t="shared" si="4"/>
        <v>0</v>
      </c>
      <c r="F63">
        <f t="shared" si="5"/>
        <v>0</v>
      </c>
      <c r="G63">
        <f t="shared" si="6"/>
        <v>0</v>
      </c>
      <c r="H63">
        <f t="shared" si="7"/>
        <v>0</v>
      </c>
      <c r="I63">
        <f t="shared" si="7"/>
        <v>0</v>
      </c>
      <c r="J63">
        <f t="shared" si="7"/>
        <v>0</v>
      </c>
      <c r="K63">
        <f t="shared" si="7"/>
        <v>0</v>
      </c>
      <c r="L63">
        <f t="shared" si="8"/>
        <v>0</v>
      </c>
      <c r="M63">
        <f t="shared" si="15"/>
        <v>0</v>
      </c>
      <c r="N63" t="e">
        <f t="shared" si="16"/>
        <v>#REF!</v>
      </c>
    </row>
    <row r="64" spans="1:14" x14ac:dyDescent="0.2">
      <c r="A64">
        <f t="shared" si="14"/>
        <v>33000</v>
      </c>
      <c r="B64">
        <f t="shared" si="11"/>
        <v>0</v>
      </c>
      <c r="C64">
        <f t="shared" si="17"/>
        <v>0</v>
      </c>
      <c r="D64">
        <f t="shared" si="3"/>
        <v>0</v>
      </c>
      <c r="E64">
        <f t="shared" si="4"/>
        <v>0</v>
      </c>
      <c r="F64">
        <f t="shared" si="5"/>
        <v>0</v>
      </c>
      <c r="G64">
        <f t="shared" si="6"/>
        <v>0</v>
      </c>
      <c r="H64">
        <f t="shared" si="7"/>
        <v>0</v>
      </c>
      <c r="I64">
        <f t="shared" si="7"/>
        <v>0</v>
      </c>
      <c r="J64">
        <f t="shared" si="7"/>
        <v>0</v>
      </c>
      <c r="K64">
        <f t="shared" si="7"/>
        <v>0</v>
      </c>
      <c r="L64">
        <f t="shared" si="8"/>
        <v>0</v>
      </c>
      <c r="M64">
        <f t="shared" si="15"/>
        <v>0</v>
      </c>
      <c r="N64" t="e">
        <f t="shared" si="16"/>
        <v>#REF!</v>
      </c>
    </row>
    <row r="65" spans="1:14" x14ac:dyDescent="0.2">
      <c r="A65">
        <f t="shared" si="14"/>
        <v>39000</v>
      </c>
      <c r="B65">
        <f t="shared" si="11"/>
        <v>0</v>
      </c>
      <c r="C65">
        <f t="shared" si="17"/>
        <v>39000</v>
      </c>
      <c r="D65">
        <f t="shared" si="3"/>
        <v>0</v>
      </c>
      <c r="E65">
        <f t="shared" si="4"/>
        <v>0</v>
      </c>
      <c r="F65">
        <f t="shared" si="5"/>
        <v>0</v>
      </c>
      <c r="G65">
        <f t="shared" si="6"/>
        <v>0</v>
      </c>
      <c r="H65">
        <f t="shared" si="7"/>
        <v>0</v>
      </c>
      <c r="I65">
        <f t="shared" si="7"/>
        <v>0</v>
      </c>
      <c r="J65">
        <f t="shared" si="7"/>
        <v>0</v>
      </c>
      <c r="K65">
        <f t="shared" si="7"/>
        <v>0</v>
      </c>
      <c r="L65">
        <f t="shared" si="8"/>
        <v>0</v>
      </c>
      <c r="M65">
        <f t="shared" si="15"/>
        <v>0</v>
      </c>
      <c r="N65" t="e">
        <f t="shared" si="16"/>
        <v>#REF!</v>
      </c>
    </row>
    <row r="66" spans="1:14" x14ac:dyDescent="0.2">
      <c r="A66">
        <f t="shared" si="14"/>
        <v>47000</v>
      </c>
      <c r="B66">
        <f t="shared" si="11"/>
        <v>0</v>
      </c>
      <c r="C66">
        <f t="shared" si="17"/>
        <v>0</v>
      </c>
      <c r="D66">
        <f t="shared" si="3"/>
        <v>0</v>
      </c>
      <c r="E66">
        <f t="shared" si="4"/>
        <v>0</v>
      </c>
      <c r="F66">
        <f t="shared" si="5"/>
        <v>0</v>
      </c>
      <c r="G66">
        <f t="shared" si="6"/>
        <v>0</v>
      </c>
      <c r="H66">
        <f t="shared" si="7"/>
        <v>0</v>
      </c>
      <c r="I66">
        <f t="shared" si="7"/>
        <v>0</v>
      </c>
      <c r="J66">
        <f t="shared" si="7"/>
        <v>0</v>
      </c>
      <c r="K66">
        <f t="shared" si="7"/>
        <v>0</v>
      </c>
      <c r="L66">
        <f t="shared" si="8"/>
        <v>0</v>
      </c>
      <c r="M66">
        <f t="shared" si="15"/>
        <v>0</v>
      </c>
      <c r="N66" t="e">
        <f t="shared" si="16"/>
        <v>#REF!</v>
      </c>
    </row>
    <row r="67" spans="1:14" x14ac:dyDescent="0.2">
      <c r="A67">
        <f t="shared" si="14"/>
        <v>56000</v>
      </c>
      <c r="B67">
        <f t="shared" si="11"/>
        <v>56000</v>
      </c>
      <c r="C67">
        <f t="shared" si="17"/>
        <v>0</v>
      </c>
      <c r="D67">
        <f t="shared" si="3"/>
        <v>0</v>
      </c>
      <c r="E67">
        <f t="shared" si="4"/>
        <v>0</v>
      </c>
      <c r="F67">
        <f t="shared" si="5"/>
        <v>0</v>
      </c>
      <c r="G67">
        <f t="shared" si="6"/>
        <v>0</v>
      </c>
      <c r="H67">
        <f t="shared" si="7"/>
        <v>0</v>
      </c>
      <c r="I67">
        <f t="shared" si="7"/>
        <v>0</v>
      </c>
      <c r="J67">
        <f t="shared" si="7"/>
        <v>0</v>
      </c>
      <c r="K67">
        <f t="shared" si="7"/>
        <v>0</v>
      </c>
      <c r="L67">
        <f t="shared" si="8"/>
        <v>0</v>
      </c>
      <c r="M67">
        <f t="shared" si="15"/>
        <v>0</v>
      </c>
      <c r="N67" t="e">
        <f t="shared" si="16"/>
        <v>#REF!</v>
      </c>
    </row>
    <row r="68" spans="1:14" x14ac:dyDescent="0.2">
      <c r="A68">
        <f t="shared" si="14"/>
        <v>68000</v>
      </c>
      <c r="B68">
        <f t="shared" si="11"/>
        <v>0</v>
      </c>
      <c r="C68">
        <f t="shared" si="17"/>
        <v>0</v>
      </c>
      <c r="D68">
        <f t="shared" si="3"/>
        <v>0</v>
      </c>
      <c r="E68">
        <f t="shared" si="4"/>
        <v>0</v>
      </c>
      <c r="F68">
        <f t="shared" si="5"/>
        <v>0</v>
      </c>
      <c r="G68">
        <f t="shared" si="6"/>
        <v>0</v>
      </c>
      <c r="H68">
        <f t="shared" si="7"/>
        <v>0</v>
      </c>
      <c r="I68">
        <f t="shared" si="7"/>
        <v>0</v>
      </c>
      <c r="J68">
        <f t="shared" si="7"/>
        <v>0</v>
      </c>
      <c r="K68">
        <f t="shared" si="7"/>
        <v>0</v>
      </c>
      <c r="L68">
        <f t="shared" si="8"/>
        <v>0</v>
      </c>
      <c r="M68">
        <f t="shared" si="15"/>
        <v>0</v>
      </c>
      <c r="N68" t="e">
        <f t="shared" si="16"/>
        <v>#REF!</v>
      </c>
    </row>
    <row r="69" spans="1:14" x14ac:dyDescent="0.2">
      <c r="A69">
        <f t="shared" si="14"/>
        <v>82000</v>
      </c>
      <c r="B69">
        <f t="shared" si="11"/>
        <v>0</v>
      </c>
      <c r="C69">
        <f t="shared" si="17"/>
        <v>0</v>
      </c>
      <c r="D69">
        <f t="shared" si="3"/>
        <v>0</v>
      </c>
      <c r="E69">
        <f t="shared" si="4"/>
        <v>0</v>
      </c>
      <c r="F69">
        <f t="shared" si="5"/>
        <v>0</v>
      </c>
      <c r="G69">
        <f t="shared" si="6"/>
        <v>0</v>
      </c>
      <c r="H69">
        <f t="shared" si="7"/>
        <v>0</v>
      </c>
      <c r="I69">
        <f t="shared" si="7"/>
        <v>0</v>
      </c>
      <c r="J69">
        <f t="shared" si="7"/>
        <v>0</v>
      </c>
      <c r="K69">
        <f t="shared" ref="K69:L132" si="18">IF(IF((K$3*10^12-$A70)*(K$3*10^12-$A69)*-1&lt;0,0,1)*IF(ABS(K$3*10^12-$A70)&gt;(K$3*10^12-$A69),$A69,$A70)=K70,0,IF((K$3*10^12-$A70)*(K$3*10^12-$A69)*-1&lt;0,0,1)*IF(ABS(K$3*10^12-$A70)&gt;(K$3*10^12-$A69),$A69,$A70))</f>
        <v>0</v>
      </c>
      <c r="L69">
        <f t="shared" si="8"/>
        <v>0</v>
      </c>
      <c r="M69">
        <f t="shared" si="15"/>
        <v>0</v>
      </c>
      <c r="N69" t="e">
        <f t="shared" si="16"/>
        <v>#REF!</v>
      </c>
    </row>
    <row r="70" spans="1:14" x14ac:dyDescent="0.2">
      <c r="A70">
        <f t="shared" si="14"/>
        <v>100000</v>
      </c>
      <c r="B70">
        <f t="shared" si="11"/>
        <v>0</v>
      </c>
      <c r="C70">
        <f t="shared" si="17"/>
        <v>0</v>
      </c>
      <c r="D70">
        <f t="shared" ref="D70:J70" si="19">IF(IF((D$3*10^12-$A71)*(D$3*10^12-$A70)*-1&lt;0,0,1)*IF(ABS(D$3*10^12-$A71)&gt;(D$3*10^12-$A70),$A70,$A71)=D71,0,IF((D$3*10^12-$A71)*(D$3*10^12-$A70)*-1&lt;0,0,1)*IF(ABS(D$3*10^12-$A71)&gt;(D$3*10^12-$A70),$A70,$A71))</f>
        <v>0</v>
      </c>
      <c r="E70">
        <f t="shared" si="19"/>
        <v>0</v>
      </c>
      <c r="F70">
        <f t="shared" si="19"/>
        <v>0</v>
      </c>
      <c r="G70">
        <f t="shared" si="19"/>
        <v>0</v>
      </c>
      <c r="H70">
        <f t="shared" si="19"/>
        <v>0</v>
      </c>
      <c r="I70">
        <f t="shared" si="19"/>
        <v>0</v>
      </c>
      <c r="J70">
        <f t="shared" si="19"/>
        <v>0</v>
      </c>
      <c r="K70">
        <f t="shared" si="18"/>
        <v>0</v>
      </c>
      <c r="L70">
        <f t="shared" si="18"/>
        <v>0</v>
      </c>
      <c r="M70">
        <f t="shared" ref="M70:M101" si="20">IF(IF((M$3*10^12-$A71)*(M$3*10^12-$A70)*-1&lt;0,0,1)*IF(ABS(M$3*10^12-$A71)&gt;(M$3*10^12-$A70),$A70,$A71)=M71,0,IF((M$3*10^12-$A71)*(M$3*10^12-$A70)*-1&lt;0,0,1)*IF(ABS(M$3*10^12-$A71)&gt;(M$3*10^12-$A70),$A70,$A71))</f>
        <v>0</v>
      </c>
      <c r="N70" t="e">
        <f t="shared" ref="N70:N101" si="21">IF(IF((N$3*10^12-$A71)*(N$3*10^12-$A70)*-1&lt;0,0,1)*IF(ABS(N$3*10^12-$A71)&gt;(N$3*10^12-$A70),$A70,$A71)=N71,0,IF((N$3*10^12-$A71)*(N$3*10^12-$A70)*-1&lt;0,0,1)*IF(ABS(N$3*10^12-$A71)&gt;(N$3*10^12-$A70),$A70,$A71))</f>
        <v>#REF!</v>
      </c>
    </row>
    <row r="71" spans="1:14" x14ac:dyDescent="0.2">
      <c r="A71">
        <f t="shared" si="14"/>
        <v>120000</v>
      </c>
      <c r="B71">
        <f t="shared" ref="B71:B134" si="22">IF(IF((B$3*10^12-$A72)*(B$3*10^12-$A71)*-1&lt;0,0,1)*IF(ABS(B$3*10^12-$A72)&gt;(B$3*10^12-$A71),$A71,$A72)=B72,0,IF((B$3*10^12-$A72)*(B$3*10^12-$A71)*-1&lt;0,0,1)*IF(ABS(B$3*10^12-$A72)&gt;(B$3*10^12-$A71),$A71,$A72))</f>
        <v>0</v>
      </c>
      <c r="C71">
        <f t="shared" ref="C71:F134" si="23">IF(IF((C$3*10^12-$A72)*(C$3*10^12-$A71)*-1&lt;0,0,1)*IF(ABS(C$3*10^12-$A72)&gt;(C$3*10^12-$A71),$A71,$A72)=C72,0,IF((C$3*10^12-$A72)*(C$3*10^12-$A71)*-1&lt;0,0,1)*IF(ABS(C$3*10^12-$A72)&gt;(C$3*10^12-$A71),$A71,$A72))</f>
        <v>0</v>
      </c>
      <c r="D71">
        <f t="shared" si="23"/>
        <v>0</v>
      </c>
      <c r="E71">
        <f t="shared" si="23"/>
        <v>0</v>
      </c>
      <c r="F71">
        <f t="shared" si="23"/>
        <v>0</v>
      </c>
      <c r="G71">
        <f t="shared" ref="G71:G102" si="24">IF(IF((G$3*10^12-$A72)*(G$3*10^12-$A71)*-1&lt;0,0,1)*IF(ABS(G$3*10^12-$A72)&gt;(G$3*10^12-$A71),$A71,$A72)=G72,0,IF((G$3*10^12-$A72)*(G$3*10^12-$A71)*-1&lt;0,0,1)*IF(ABS(G$3*10^12-$A72)&gt;(G$3*10^12-$A71),$A71,$A72))</f>
        <v>0</v>
      </c>
      <c r="H71">
        <f t="shared" ref="H71:H102" si="25">IF(IF((H$3*10^12-$A72)*(H$3*10^12-$A71)*-1&lt;0,0,1)*IF(ABS(H$3*10^12-$A72)&gt;(H$3*10^12-$A71),$A71,$A72)=H72,0,IF((H$3*10^12-$A72)*(H$3*10^12-$A71)*-1&lt;0,0,1)*IF(ABS(H$3*10^12-$A72)&gt;(H$3*10^12-$A71),$A71,$A72))</f>
        <v>0</v>
      </c>
      <c r="I71">
        <f t="shared" ref="I71:I102" si="26">IF(IF((I$3*10^12-$A72)*(I$3*10^12-$A71)*-1&lt;0,0,1)*IF(ABS(I$3*10^12-$A72)&gt;(I$3*10^12-$A71),$A71,$A72)=I72,0,IF((I$3*10^12-$A72)*(I$3*10^12-$A71)*-1&lt;0,0,1)*IF(ABS(I$3*10^12-$A72)&gt;(I$3*10^12-$A71),$A71,$A72))</f>
        <v>0</v>
      </c>
      <c r="J71">
        <f t="shared" ref="J71:J102" si="27">IF(IF((J$3*10^12-$A72)*(J$3*10^12-$A71)*-1&lt;0,0,1)*IF(ABS(J$3*10^12-$A72)&gt;(J$3*10^12-$A71),$A71,$A72)=J72,0,IF((J$3*10^12-$A72)*(J$3*10^12-$A71)*-1&lt;0,0,1)*IF(ABS(J$3*10^12-$A72)&gt;(J$3*10^12-$A71),$A71,$A72))</f>
        <v>0</v>
      </c>
      <c r="K71">
        <f t="shared" si="18"/>
        <v>0</v>
      </c>
      <c r="L71">
        <f t="shared" si="18"/>
        <v>0</v>
      </c>
      <c r="M71">
        <f t="shared" si="20"/>
        <v>0</v>
      </c>
      <c r="N71" t="e">
        <f t="shared" si="21"/>
        <v>#REF!</v>
      </c>
    </row>
    <row r="72" spans="1:14" x14ac:dyDescent="0.2">
      <c r="A72">
        <f t="shared" si="14"/>
        <v>150000</v>
      </c>
      <c r="B72">
        <f t="shared" si="22"/>
        <v>0</v>
      </c>
      <c r="C72">
        <f t="shared" si="23"/>
        <v>0</v>
      </c>
      <c r="D72">
        <f t="shared" si="23"/>
        <v>0</v>
      </c>
      <c r="E72">
        <f t="shared" si="23"/>
        <v>0</v>
      </c>
      <c r="F72">
        <f t="shared" si="23"/>
        <v>0</v>
      </c>
      <c r="G72">
        <f t="shared" si="24"/>
        <v>0</v>
      </c>
      <c r="H72">
        <f t="shared" si="25"/>
        <v>0</v>
      </c>
      <c r="I72">
        <f t="shared" si="26"/>
        <v>0</v>
      </c>
      <c r="J72">
        <f t="shared" si="27"/>
        <v>0</v>
      </c>
      <c r="K72">
        <f t="shared" si="18"/>
        <v>0</v>
      </c>
      <c r="L72">
        <f t="shared" si="18"/>
        <v>0</v>
      </c>
      <c r="M72">
        <f t="shared" si="20"/>
        <v>0</v>
      </c>
      <c r="N72" t="e">
        <f t="shared" si="21"/>
        <v>#REF!</v>
      </c>
    </row>
    <row r="73" spans="1:14" x14ac:dyDescent="0.2">
      <c r="A73">
        <f t="shared" si="14"/>
        <v>180000</v>
      </c>
      <c r="B73">
        <f t="shared" si="22"/>
        <v>0</v>
      </c>
      <c r="C73">
        <f t="shared" si="23"/>
        <v>0</v>
      </c>
      <c r="D73">
        <f t="shared" si="23"/>
        <v>0</v>
      </c>
      <c r="E73">
        <f t="shared" si="23"/>
        <v>0</v>
      </c>
      <c r="F73">
        <f t="shared" si="23"/>
        <v>0</v>
      </c>
      <c r="G73">
        <f t="shared" si="24"/>
        <v>0</v>
      </c>
      <c r="H73">
        <f t="shared" si="25"/>
        <v>0</v>
      </c>
      <c r="I73">
        <f t="shared" si="26"/>
        <v>0</v>
      </c>
      <c r="J73">
        <f t="shared" si="27"/>
        <v>0</v>
      </c>
      <c r="K73">
        <f t="shared" si="18"/>
        <v>0</v>
      </c>
      <c r="L73">
        <f t="shared" si="18"/>
        <v>0</v>
      </c>
      <c r="M73">
        <f t="shared" si="20"/>
        <v>0</v>
      </c>
      <c r="N73" t="e">
        <f t="shared" si="21"/>
        <v>#REF!</v>
      </c>
    </row>
    <row r="74" spans="1:14" x14ac:dyDescent="0.2">
      <c r="A74">
        <f t="shared" si="14"/>
        <v>220000</v>
      </c>
      <c r="B74">
        <f t="shared" si="22"/>
        <v>0</v>
      </c>
      <c r="C74">
        <f t="shared" si="23"/>
        <v>0</v>
      </c>
      <c r="D74">
        <f t="shared" si="23"/>
        <v>0</v>
      </c>
      <c r="E74">
        <f t="shared" si="23"/>
        <v>0</v>
      </c>
      <c r="F74">
        <f t="shared" si="23"/>
        <v>0</v>
      </c>
      <c r="G74">
        <f t="shared" si="24"/>
        <v>0</v>
      </c>
      <c r="H74">
        <f t="shared" si="25"/>
        <v>0</v>
      </c>
      <c r="I74">
        <f t="shared" si="26"/>
        <v>0</v>
      </c>
      <c r="J74">
        <f t="shared" si="27"/>
        <v>0</v>
      </c>
      <c r="K74">
        <f t="shared" si="18"/>
        <v>0</v>
      </c>
      <c r="L74">
        <f t="shared" si="18"/>
        <v>0</v>
      </c>
      <c r="M74">
        <f t="shared" si="20"/>
        <v>0</v>
      </c>
      <c r="N74" t="e">
        <f t="shared" si="21"/>
        <v>#REF!</v>
      </c>
    </row>
    <row r="75" spans="1:14" x14ac:dyDescent="0.2">
      <c r="A75">
        <f t="shared" si="14"/>
        <v>270000</v>
      </c>
      <c r="B75">
        <f t="shared" si="22"/>
        <v>0</v>
      </c>
      <c r="C75">
        <f t="shared" si="23"/>
        <v>0</v>
      </c>
      <c r="D75">
        <f t="shared" si="23"/>
        <v>0</v>
      </c>
      <c r="E75">
        <f t="shared" si="23"/>
        <v>0</v>
      </c>
      <c r="F75">
        <f t="shared" si="23"/>
        <v>0</v>
      </c>
      <c r="G75">
        <f t="shared" si="24"/>
        <v>0</v>
      </c>
      <c r="H75">
        <f t="shared" si="25"/>
        <v>0</v>
      </c>
      <c r="I75">
        <f t="shared" si="26"/>
        <v>0</v>
      </c>
      <c r="J75">
        <f t="shared" si="27"/>
        <v>0</v>
      </c>
      <c r="K75">
        <f t="shared" si="18"/>
        <v>0</v>
      </c>
      <c r="L75">
        <f t="shared" si="18"/>
        <v>0</v>
      </c>
      <c r="M75">
        <f t="shared" si="20"/>
        <v>0</v>
      </c>
      <c r="N75" t="e">
        <f t="shared" si="21"/>
        <v>#REF!</v>
      </c>
    </row>
    <row r="76" spans="1:14" x14ac:dyDescent="0.2">
      <c r="A76">
        <f t="shared" si="14"/>
        <v>330000</v>
      </c>
      <c r="B76">
        <f t="shared" si="22"/>
        <v>0</v>
      </c>
      <c r="C76">
        <f t="shared" si="23"/>
        <v>0</v>
      </c>
      <c r="D76">
        <f t="shared" si="23"/>
        <v>0</v>
      </c>
      <c r="E76">
        <f t="shared" si="23"/>
        <v>0</v>
      </c>
      <c r="F76">
        <f t="shared" si="23"/>
        <v>0</v>
      </c>
      <c r="G76">
        <f t="shared" si="24"/>
        <v>0</v>
      </c>
      <c r="H76">
        <f t="shared" si="25"/>
        <v>0</v>
      </c>
      <c r="I76">
        <f t="shared" si="26"/>
        <v>0</v>
      </c>
      <c r="J76">
        <f t="shared" si="27"/>
        <v>0</v>
      </c>
      <c r="K76">
        <f t="shared" si="18"/>
        <v>0</v>
      </c>
      <c r="L76">
        <f t="shared" si="18"/>
        <v>0</v>
      </c>
      <c r="M76">
        <f t="shared" si="20"/>
        <v>0</v>
      </c>
      <c r="N76" t="e">
        <f t="shared" si="21"/>
        <v>#REF!</v>
      </c>
    </row>
    <row r="77" spans="1:14" x14ac:dyDescent="0.2">
      <c r="A77">
        <f t="shared" si="14"/>
        <v>390000</v>
      </c>
      <c r="B77">
        <f t="shared" si="22"/>
        <v>0</v>
      </c>
      <c r="C77">
        <f t="shared" si="23"/>
        <v>0</v>
      </c>
      <c r="D77">
        <f t="shared" si="23"/>
        <v>0</v>
      </c>
      <c r="E77">
        <f t="shared" si="23"/>
        <v>0</v>
      </c>
      <c r="F77">
        <f t="shared" si="23"/>
        <v>0</v>
      </c>
      <c r="G77">
        <f t="shared" si="24"/>
        <v>0</v>
      </c>
      <c r="H77">
        <f t="shared" si="25"/>
        <v>0</v>
      </c>
      <c r="I77">
        <f t="shared" si="26"/>
        <v>0</v>
      </c>
      <c r="J77">
        <f t="shared" si="27"/>
        <v>0</v>
      </c>
      <c r="K77">
        <f t="shared" si="18"/>
        <v>0</v>
      </c>
      <c r="L77">
        <f t="shared" si="18"/>
        <v>0</v>
      </c>
      <c r="M77">
        <f t="shared" si="20"/>
        <v>0</v>
      </c>
      <c r="N77" t="e">
        <f t="shared" si="21"/>
        <v>#REF!</v>
      </c>
    </row>
    <row r="78" spans="1:14" x14ac:dyDescent="0.2">
      <c r="A78">
        <f t="shared" si="14"/>
        <v>470000</v>
      </c>
      <c r="B78">
        <f t="shared" si="22"/>
        <v>0</v>
      </c>
      <c r="C78">
        <f t="shared" si="23"/>
        <v>0</v>
      </c>
      <c r="D78">
        <f t="shared" si="23"/>
        <v>0</v>
      </c>
      <c r="E78">
        <f t="shared" si="23"/>
        <v>0</v>
      </c>
      <c r="F78">
        <f t="shared" si="23"/>
        <v>0</v>
      </c>
      <c r="G78">
        <f t="shared" si="24"/>
        <v>0</v>
      </c>
      <c r="H78">
        <f t="shared" si="25"/>
        <v>0</v>
      </c>
      <c r="I78">
        <f t="shared" si="26"/>
        <v>0</v>
      </c>
      <c r="J78">
        <f t="shared" si="27"/>
        <v>0</v>
      </c>
      <c r="K78">
        <f t="shared" si="18"/>
        <v>0</v>
      </c>
      <c r="L78">
        <f t="shared" si="18"/>
        <v>0</v>
      </c>
      <c r="M78">
        <f t="shared" si="20"/>
        <v>0</v>
      </c>
      <c r="N78" t="e">
        <f t="shared" si="21"/>
        <v>#REF!</v>
      </c>
    </row>
    <row r="79" spans="1:14" x14ac:dyDescent="0.2">
      <c r="A79">
        <f t="shared" si="14"/>
        <v>560000</v>
      </c>
      <c r="B79">
        <f t="shared" si="22"/>
        <v>0</v>
      </c>
      <c r="C79">
        <f t="shared" si="23"/>
        <v>0</v>
      </c>
      <c r="D79">
        <f t="shared" si="23"/>
        <v>0</v>
      </c>
      <c r="E79">
        <f t="shared" si="23"/>
        <v>0</v>
      </c>
      <c r="F79">
        <f t="shared" si="23"/>
        <v>0</v>
      </c>
      <c r="G79">
        <f t="shared" si="24"/>
        <v>0</v>
      </c>
      <c r="H79">
        <f t="shared" si="25"/>
        <v>0</v>
      </c>
      <c r="I79">
        <f t="shared" si="26"/>
        <v>0</v>
      </c>
      <c r="J79">
        <f t="shared" si="27"/>
        <v>0</v>
      </c>
      <c r="K79">
        <f t="shared" si="18"/>
        <v>0</v>
      </c>
      <c r="L79">
        <f t="shared" si="18"/>
        <v>0</v>
      </c>
      <c r="M79">
        <f t="shared" si="20"/>
        <v>0</v>
      </c>
      <c r="N79" t="e">
        <f t="shared" si="21"/>
        <v>#REF!</v>
      </c>
    </row>
    <row r="80" spans="1:14" x14ac:dyDescent="0.2">
      <c r="A80">
        <f t="shared" si="14"/>
        <v>680000</v>
      </c>
      <c r="B80">
        <f t="shared" si="22"/>
        <v>0</v>
      </c>
      <c r="C80">
        <f t="shared" si="23"/>
        <v>0</v>
      </c>
      <c r="D80">
        <f t="shared" si="23"/>
        <v>0</v>
      </c>
      <c r="E80">
        <f t="shared" si="23"/>
        <v>0</v>
      </c>
      <c r="F80">
        <f t="shared" si="23"/>
        <v>0</v>
      </c>
      <c r="G80">
        <f t="shared" si="24"/>
        <v>0</v>
      </c>
      <c r="H80">
        <f t="shared" si="25"/>
        <v>0</v>
      </c>
      <c r="I80">
        <f t="shared" si="26"/>
        <v>0</v>
      </c>
      <c r="J80">
        <f t="shared" si="27"/>
        <v>0</v>
      </c>
      <c r="K80">
        <f t="shared" si="18"/>
        <v>0</v>
      </c>
      <c r="L80">
        <f t="shared" si="18"/>
        <v>0</v>
      </c>
      <c r="M80">
        <f t="shared" si="20"/>
        <v>0</v>
      </c>
      <c r="N80" t="e">
        <f t="shared" si="21"/>
        <v>#REF!</v>
      </c>
    </row>
    <row r="81" spans="1:14" x14ac:dyDescent="0.2">
      <c r="A81">
        <f t="shared" si="14"/>
        <v>820000</v>
      </c>
      <c r="B81">
        <f t="shared" si="22"/>
        <v>0</v>
      </c>
      <c r="C81">
        <f t="shared" si="23"/>
        <v>0</v>
      </c>
      <c r="D81">
        <f t="shared" si="23"/>
        <v>0</v>
      </c>
      <c r="E81">
        <f t="shared" si="23"/>
        <v>0</v>
      </c>
      <c r="F81">
        <f t="shared" si="23"/>
        <v>0</v>
      </c>
      <c r="G81">
        <f t="shared" si="24"/>
        <v>0</v>
      </c>
      <c r="H81">
        <f t="shared" si="25"/>
        <v>0</v>
      </c>
      <c r="I81">
        <f t="shared" si="26"/>
        <v>0</v>
      </c>
      <c r="J81">
        <f t="shared" si="27"/>
        <v>0</v>
      </c>
      <c r="K81">
        <f t="shared" si="18"/>
        <v>0</v>
      </c>
      <c r="L81">
        <f t="shared" si="18"/>
        <v>0</v>
      </c>
      <c r="M81">
        <f t="shared" si="20"/>
        <v>0</v>
      </c>
      <c r="N81" t="e">
        <f t="shared" si="21"/>
        <v>#REF!</v>
      </c>
    </row>
    <row r="82" spans="1:14" x14ac:dyDescent="0.2">
      <c r="A82">
        <f t="shared" si="14"/>
        <v>1000000</v>
      </c>
      <c r="B82">
        <f t="shared" si="22"/>
        <v>0</v>
      </c>
      <c r="C82">
        <f t="shared" si="23"/>
        <v>0</v>
      </c>
      <c r="D82">
        <f t="shared" si="23"/>
        <v>0</v>
      </c>
      <c r="E82">
        <f t="shared" si="23"/>
        <v>0</v>
      </c>
      <c r="F82">
        <f t="shared" si="23"/>
        <v>0</v>
      </c>
      <c r="G82">
        <f t="shared" si="24"/>
        <v>0</v>
      </c>
      <c r="H82">
        <f t="shared" si="25"/>
        <v>0</v>
      </c>
      <c r="I82">
        <f t="shared" si="26"/>
        <v>0</v>
      </c>
      <c r="J82">
        <f t="shared" si="27"/>
        <v>0</v>
      </c>
      <c r="K82">
        <f t="shared" si="18"/>
        <v>0</v>
      </c>
      <c r="L82">
        <f t="shared" si="18"/>
        <v>0</v>
      </c>
      <c r="M82">
        <f t="shared" si="20"/>
        <v>0</v>
      </c>
      <c r="N82" t="e">
        <f t="shared" si="21"/>
        <v>#REF!</v>
      </c>
    </row>
    <row r="83" spans="1:14" x14ac:dyDescent="0.2">
      <c r="A83">
        <f t="shared" si="14"/>
        <v>1200000</v>
      </c>
      <c r="B83">
        <f t="shared" si="22"/>
        <v>0</v>
      </c>
      <c r="C83">
        <f t="shared" si="23"/>
        <v>0</v>
      </c>
      <c r="D83">
        <f t="shared" si="23"/>
        <v>0</v>
      </c>
      <c r="E83">
        <f t="shared" si="23"/>
        <v>0</v>
      </c>
      <c r="F83">
        <f t="shared" si="23"/>
        <v>0</v>
      </c>
      <c r="G83">
        <f t="shared" si="24"/>
        <v>0</v>
      </c>
      <c r="H83">
        <f t="shared" si="25"/>
        <v>0</v>
      </c>
      <c r="I83">
        <f t="shared" si="26"/>
        <v>0</v>
      </c>
      <c r="J83">
        <f t="shared" si="27"/>
        <v>0</v>
      </c>
      <c r="K83">
        <f t="shared" si="18"/>
        <v>0</v>
      </c>
      <c r="L83">
        <f t="shared" si="18"/>
        <v>0</v>
      </c>
      <c r="M83">
        <f t="shared" si="20"/>
        <v>0</v>
      </c>
      <c r="N83" t="e">
        <f t="shared" si="21"/>
        <v>#REF!</v>
      </c>
    </row>
    <row r="84" spans="1:14" x14ac:dyDescent="0.2">
      <c r="A84">
        <f t="shared" si="14"/>
        <v>1500000</v>
      </c>
      <c r="B84">
        <f t="shared" si="22"/>
        <v>0</v>
      </c>
      <c r="C84">
        <f t="shared" si="23"/>
        <v>0</v>
      </c>
      <c r="D84">
        <f t="shared" si="23"/>
        <v>0</v>
      </c>
      <c r="E84">
        <f t="shared" si="23"/>
        <v>0</v>
      </c>
      <c r="F84">
        <f t="shared" si="23"/>
        <v>0</v>
      </c>
      <c r="G84">
        <f t="shared" si="24"/>
        <v>0</v>
      </c>
      <c r="H84">
        <f t="shared" si="25"/>
        <v>0</v>
      </c>
      <c r="I84">
        <f t="shared" si="26"/>
        <v>0</v>
      </c>
      <c r="J84">
        <f t="shared" si="27"/>
        <v>0</v>
      </c>
      <c r="K84">
        <f t="shared" si="18"/>
        <v>0</v>
      </c>
      <c r="L84">
        <f t="shared" si="18"/>
        <v>0</v>
      </c>
      <c r="M84">
        <f t="shared" si="20"/>
        <v>0</v>
      </c>
      <c r="N84" t="e">
        <f t="shared" si="21"/>
        <v>#REF!</v>
      </c>
    </row>
    <row r="85" spans="1:14" x14ac:dyDescent="0.2">
      <c r="A85">
        <f t="shared" si="14"/>
        <v>1800000</v>
      </c>
      <c r="B85">
        <f t="shared" si="22"/>
        <v>0</v>
      </c>
      <c r="C85">
        <f t="shared" si="23"/>
        <v>0</v>
      </c>
      <c r="D85">
        <f t="shared" si="23"/>
        <v>0</v>
      </c>
      <c r="E85">
        <f t="shared" si="23"/>
        <v>0</v>
      </c>
      <c r="F85">
        <f t="shared" si="23"/>
        <v>0</v>
      </c>
      <c r="G85">
        <f t="shared" si="24"/>
        <v>0</v>
      </c>
      <c r="H85">
        <f t="shared" si="25"/>
        <v>0</v>
      </c>
      <c r="I85">
        <f t="shared" si="26"/>
        <v>0</v>
      </c>
      <c r="J85">
        <f t="shared" si="27"/>
        <v>0</v>
      </c>
      <c r="K85">
        <f t="shared" si="18"/>
        <v>0</v>
      </c>
      <c r="L85">
        <f t="shared" si="18"/>
        <v>0</v>
      </c>
      <c r="M85">
        <f t="shared" si="20"/>
        <v>0</v>
      </c>
      <c r="N85" t="e">
        <f t="shared" si="21"/>
        <v>#REF!</v>
      </c>
    </row>
    <row r="86" spans="1:14" x14ac:dyDescent="0.2">
      <c r="A86">
        <f t="shared" si="14"/>
        <v>2200000</v>
      </c>
      <c r="B86">
        <f t="shared" si="22"/>
        <v>0</v>
      </c>
      <c r="C86">
        <f t="shared" si="23"/>
        <v>0</v>
      </c>
      <c r="D86">
        <f t="shared" si="23"/>
        <v>0</v>
      </c>
      <c r="E86">
        <f t="shared" si="23"/>
        <v>0</v>
      </c>
      <c r="F86">
        <f t="shared" si="23"/>
        <v>0</v>
      </c>
      <c r="G86">
        <f t="shared" si="24"/>
        <v>0</v>
      </c>
      <c r="H86">
        <f t="shared" si="25"/>
        <v>0</v>
      </c>
      <c r="I86">
        <f t="shared" si="26"/>
        <v>0</v>
      </c>
      <c r="J86">
        <f t="shared" si="27"/>
        <v>0</v>
      </c>
      <c r="K86">
        <f t="shared" si="18"/>
        <v>0</v>
      </c>
      <c r="L86">
        <f t="shared" si="18"/>
        <v>0</v>
      </c>
      <c r="M86">
        <f t="shared" si="20"/>
        <v>0</v>
      </c>
      <c r="N86" t="e">
        <f t="shared" si="21"/>
        <v>#REF!</v>
      </c>
    </row>
    <row r="87" spans="1:14" x14ac:dyDescent="0.2">
      <c r="A87">
        <f t="shared" si="14"/>
        <v>2700000</v>
      </c>
      <c r="B87">
        <f t="shared" si="22"/>
        <v>0</v>
      </c>
      <c r="C87">
        <f t="shared" si="23"/>
        <v>0</v>
      </c>
      <c r="D87">
        <f t="shared" si="23"/>
        <v>0</v>
      </c>
      <c r="E87">
        <f t="shared" si="23"/>
        <v>0</v>
      </c>
      <c r="F87">
        <f t="shared" si="23"/>
        <v>0</v>
      </c>
      <c r="G87">
        <f t="shared" si="24"/>
        <v>0</v>
      </c>
      <c r="H87">
        <f t="shared" si="25"/>
        <v>0</v>
      </c>
      <c r="I87">
        <f t="shared" si="26"/>
        <v>0</v>
      </c>
      <c r="J87">
        <f t="shared" si="27"/>
        <v>0</v>
      </c>
      <c r="K87">
        <f t="shared" si="18"/>
        <v>0</v>
      </c>
      <c r="L87">
        <f t="shared" si="18"/>
        <v>0</v>
      </c>
      <c r="M87">
        <f t="shared" si="20"/>
        <v>0</v>
      </c>
      <c r="N87" t="e">
        <f t="shared" si="21"/>
        <v>#REF!</v>
      </c>
    </row>
    <row r="88" spans="1:14" x14ac:dyDescent="0.2">
      <c r="A88">
        <f t="shared" si="14"/>
        <v>3300000</v>
      </c>
      <c r="B88">
        <f t="shared" si="22"/>
        <v>0</v>
      </c>
      <c r="C88">
        <f t="shared" si="23"/>
        <v>0</v>
      </c>
      <c r="D88">
        <f t="shared" si="23"/>
        <v>0</v>
      </c>
      <c r="E88">
        <f t="shared" si="23"/>
        <v>0</v>
      </c>
      <c r="F88">
        <f t="shared" si="23"/>
        <v>0</v>
      </c>
      <c r="G88">
        <f t="shared" si="24"/>
        <v>0</v>
      </c>
      <c r="H88">
        <f t="shared" si="25"/>
        <v>0</v>
      </c>
      <c r="I88">
        <f t="shared" si="26"/>
        <v>0</v>
      </c>
      <c r="J88">
        <f t="shared" si="27"/>
        <v>0</v>
      </c>
      <c r="K88">
        <f t="shared" si="18"/>
        <v>0</v>
      </c>
      <c r="L88">
        <f t="shared" si="18"/>
        <v>0</v>
      </c>
      <c r="M88">
        <f t="shared" si="20"/>
        <v>0</v>
      </c>
      <c r="N88" t="e">
        <f t="shared" si="21"/>
        <v>#REF!</v>
      </c>
    </row>
    <row r="89" spans="1:14" x14ac:dyDescent="0.2">
      <c r="A89">
        <f t="shared" si="14"/>
        <v>3900000</v>
      </c>
      <c r="B89">
        <f t="shared" si="22"/>
        <v>0</v>
      </c>
      <c r="C89">
        <f t="shared" si="23"/>
        <v>0</v>
      </c>
      <c r="D89">
        <f t="shared" si="23"/>
        <v>0</v>
      </c>
      <c r="E89">
        <f t="shared" si="23"/>
        <v>0</v>
      </c>
      <c r="F89">
        <f t="shared" si="23"/>
        <v>0</v>
      </c>
      <c r="G89">
        <f t="shared" si="24"/>
        <v>0</v>
      </c>
      <c r="H89">
        <f t="shared" si="25"/>
        <v>0</v>
      </c>
      <c r="I89">
        <f t="shared" si="26"/>
        <v>0</v>
      </c>
      <c r="J89">
        <f t="shared" si="27"/>
        <v>0</v>
      </c>
      <c r="K89">
        <f t="shared" si="18"/>
        <v>0</v>
      </c>
      <c r="L89">
        <f t="shared" si="18"/>
        <v>0</v>
      </c>
      <c r="M89">
        <f t="shared" si="20"/>
        <v>0</v>
      </c>
      <c r="N89" t="e">
        <f t="shared" si="21"/>
        <v>#REF!</v>
      </c>
    </row>
    <row r="90" spans="1:14" x14ac:dyDescent="0.2">
      <c r="A90">
        <f t="shared" si="14"/>
        <v>4700000</v>
      </c>
      <c r="B90">
        <f t="shared" si="22"/>
        <v>0</v>
      </c>
      <c r="C90">
        <f t="shared" si="23"/>
        <v>0</v>
      </c>
      <c r="D90">
        <f t="shared" si="23"/>
        <v>0</v>
      </c>
      <c r="E90">
        <f t="shared" si="23"/>
        <v>0</v>
      </c>
      <c r="F90">
        <f t="shared" si="23"/>
        <v>0</v>
      </c>
      <c r="G90">
        <f t="shared" si="24"/>
        <v>0</v>
      </c>
      <c r="H90">
        <f t="shared" si="25"/>
        <v>0</v>
      </c>
      <c r="I90">
        <f t="shared" si="26"/>
        <v>0</v>
      </c>
      <c r="J90">
        <f t="shared" si="27"/>
        <v>0</v>
      </c>
      <c r="K90">
        <f t="shared" si="18"/>
        <v>0</v>
      </c>
      <c r="L90">
        <f t="shared" si="18"/>
        <v>0</v>
      </c>
      <c r="M90">
        <f t="shared" si="20"/>
        <v>0</v>
      </c>
      <c r="N90" t="e">
        <f t="shared" si="21"/>
        <v>#REF!</v>
      </c>
    </row>
    <row r="91" spans="1:14" x14ac:dyDescent="0.2">
      <c r="A91">
        <f t="shared" si="14"/>
        <v>5600000</v>
      </c>
      <c r="B91">
        <f t="shared" si="22"/>
        <v>0</v>
      </c>
      <c r="C91">
        <f t="shared" si="23"/>
        <v>0</v>
      </c>
      <c r="D91">
        <f t="shared" si="23"/>
        <v>0</v>
      </c>
      <c r="E91">
        <f t="shared" si="23"/>
        <v>0</v>
      </c>
      <c r="F91">
        <f t="shared" si="23"/>
        <v>0</v>
      </c>
      <c r="G91">
        <f t="shared" si="24"/>
        <v>0</v>
      </c>
      <c r="H91">
        <f t="shared" si="25"/>
        <v>0</v>
      </c>
      <c r="I91">
        <f t="shared" si="26"/>
        <v>0</v>
      </c>
      <c r="J91">
        <f t="shared" si="27"/>
        <v>0</v>
      </c>
      <c r="K91">
        <f t="shared" si="18"/>
        <v>0</v>
      </c>
      <c r="L91">
        <f t="shared" si="18"/>
        <v>0</v>
      </c>
      <c r="M91">
        <f t="shared" si="20"/>
        <v>0</v>
      </c>
      <c r="N91" t="e">
        <f t="shared" si="21"/>
        <v>#REF!</v>
      </c>
    </row>
    <row r="92" spans="1:14" x14ac:dyDescent="0.2">
      <c r="A92">
        <f t="shared" si="14"/>
        <v>6800000</v>
      </c>
      <c r="B92">
        <f t="shared" si="22"/>
        <v>0</v>
      </c>
      <c r="C92">
        <f t="shared" si="23"/>
        <v>0</v>
      </c>
      <c r="D92">
        <f t="shared" si="23"/>
        <v>0</v>
      </c>
      <c r="E92">
        <f t="shared" si="23"/>
        <v>0</v>
      </c>
      <c r="F92">
        <f t="shared" si="23"/>
        <v>0</v>
      </c>
      <c r="G92">
        <f t="shared" si="24"/>
        <v>0</v>
      </c>
      <c r="H92">
        <f t="shared" si="25"/>
        <v>0</v>
      </c>
      <c r="I92">
        <f t="shared" si="26"/>
        <v>0</v>
      </c>
      <c r="J92">
        <f t="shared" si="27"/>
        <v>0</v>
      </c>
      <c r="K92">
        <f t="shared" si="18"/>
        <v>0</v>
      </c>
      <c r="L92">
        <f t="shared" si="18"/>
        <v>0</v>
      </c>
      <c r="M92">
        <f t="shared" si="20"/>
        <v>0</v>
      </c>
      <c r="N92" t="e">
        <f t="shared" si="21"/>
        <v>#REF!</v>
      </c>
    </row>
    <row r="93" spans="1:14" x14ac:dyDescent="0.2">
      <c r="A93">
        <f t="shared" si="14"/>
        <v>8200000</v>
      </c>
      <c r="B93">
        <f t="shared" si="22"/>
        <v>0</v>
      </c>
      <c r="C93">
        <f t="shared" si="23"/>
        <v>0</v>
      </c>
      <c r="D93">
        <f t="shared" si="23"/>
        <v>0</v>
      </c>
      <c r="E93">
        <f t="shared" si="23"/>
        <v>0</v>
      </c>
      <c r="F93">
        <f t="shared" si="23"/>
        <v>0</v>
      </c>
      <c r="G93">
        <f t="shared" si="24"/>
        <v>0</v>
      </c>
      <c r="H93">
        <f t="shared" si="25"/>
        <v>0</v>
      </c>
      <c r="I93">
        <f t="shared" si="26"/>
        <v>0</v>
      </c>
      <c r="J93">
        <f t="shared" si="27"/>
        <v>0</v>
      </c>
      <c r="K93">
        <f t="shared" si="18"/>
        <v>0</v>
      </c>
      <c r="L93">
        <f t="shared" si="18"/>
        <v>0</v>
      </c>
      <c r="M93">
        <f t="shared" si="20"/>
        <v>0</v>
      </c>
      <c r="N93" t="e">
        <f t="shared" si="21"/>
        <v>#REF!</v>
      </c>
    </row>
    <row r="94" spans="1:14" x14ac:dyDescent="0.2">
      <c r="A94">
        <f t="shared" si="14"/>
        <v>10000000</v>
      </c>
      <c r="B94">
        <f t="shared" si="22"/>
        <v>0</v>
      </c>
      <c r="C94">
        <f t="shared" si="23"/>
        <v>0</v>
      </c>
      <c r="D94">
        <f t="shared" si="23"/>
        <v>0</v>
      </c>
      <c r="E94">
        <f t="shared" si="23"/>
        <v>0</v>
      </c>
      <c r="F94">
        <f t="shared" si="23"/>
        <v>0</v>
      </c>
      <c r="G94">
        <f t="shared" si="24"/>
        <v>0</v>
      </c>
      <c r="H94">
        <f t="shared" si="25"/>
        <v>0</v>
      </c>
      <c r="I94">
        <f t="shared" si="26"/>
        <v>0</v>
      </c>
      <c r="J94">
        <f t="shared" si="27"/>
        <v>0</v>
      </c>
      <c r="K94">
        <f t="shared" si="18"/>
        <v>0</v>
      </c>
      <c r="L94">
        <f t="shared" si="18"/>
        <v>0</v>
      </c>
      <c r="M94">
        <f t="shared" si="20"/>
        <v>0</v>
      </c>
      <c r="N94" t="e">
        <f t="shared" si="21"/>
        <v>#REF!</v>
      </c>
    </row>
    <row r="95" spans="1:14" x14ac:dyDescent="0.2">
      <c r="A95">
        <f t="shared" si="14"/>
        <v>12000000</v>
      </c>
      <c r="B95">
        <f t="shared" si="22"/>
        <v>0</v>
      </c>
      <c r="C95">
        <f t="shared" si="23"/>
        <v>0</v>
      </c>
      <c r="D95">
        <f t="shared" si="23"/>
        <v>0</v>
      </c>
      <c r="E95">
        <f t="shared" si="23"/>
        <v>0</v>
      </c>
      <c r="F95">
        <f t="shared" si="23"/>
        <v>0</v>
      </c>
      <c r="G95">
        <f t="shared" si="24"/>
        <v>0</v>
      </c>
      <c r="H95">
        <f t="shared" si="25"/>
        <v>0</v>
      </c>
      <c r="I95">
        <f t="shared" si="26"/>
        <v>0</v>
      </c>
      <c r="J95">
        <f t="shared" si="27"/>
        <v>0</v>
      </c>
      <c r="K95">
        <f t="shared" si="18"/>
        <v>0</v>
      </c>
      <c r="L95">
        <f t="shared" si="18"/>
        <v>0</v>
      </c>
      <c r="M95">
        <f t="shared" si="20"/>
        <v>0</v>
      </c>
      <c r="N95" t="e">
        <f t="shared" si="21"/>
        <v>#REF!</v>
      </c>
    </row>
    <row r="96" spans="1:14" x14ac:dyDescent="0.2">
      <c r="A96">
        <f t="shared" si="14"/>
        <v>15000000</v>
      </c>
      <c r="B96">
        <f t="shared" si="22"/>
        <v>0</v>
      </c>
      <c r="C96">
        <f t="shared" si="23"/>
        <v>0</v>
      </c>
      <c r="D96">
        <f t="shared" si="23"/>
        <v>0</v>
      </c>
      <c r="E96">
        <f t="shared" si="23"/>
        <v>0</v>
      </c>
      <c r="F96">
        <f t="shared" si="23"/>
        <v>0</v>
      </c>
      <c r="G96">
        <f t="shared" si="24"/>
        <v>0</v>
      </c>
      <c r="H96">
        <f t="shared" si="25"/>
        <v>0</v>
      </c>
      <c r="I96">
        <f t="shared" si="26"/>
        <v>0</v>
      </c>
      <c r="J96">
        <f t="shared" si="27"/>
        <v>0</v>
      </c>
      <c r="K96">
        <f t="shared" si="18"/>
        <v>0</v>
      </c>
      <c r="L96">
        <f t="shared" si="18"/>
        <v>0</v>
      </c>
      <c r="M96">
        <f t="shared" si="20"/>
        <v>0</v>
      </c>
      <c r="N96" t="e">
        <f t="shared" si="21"/>
        <v>#REF!</v>
      </c>
    </row>
    <row r="97" spans="1:14" x14ac:dyDescent="0.2">
      <c r="A97">
        <f t="shared" si="14"/>
        <v>18000000</v>
      </c>
      <c r="B97">
        <f t="shared" si="22"/>
        <v>0</v>
      </c>
      <c r="C97">
        <f t="shared" si="23"/>
        <v>0</v>
      </c>
      <c r="D97">
        <f t="shared" si="23"/>
        <v>0</v>
      </c>
      <c r="E97">
        <f t="shared" si="23"/>
        <v>0</v>
      </c>
      <c r="F97">
        <f t="shared" si="23"/>
        <v>18000000</v>
      </c>
      <c r="G97">
        <f t="shared" si="24"/>
        <v>18000000</v>
      </c>
      <c r="H97">
        <f t="shared" si="25"/>
        <v>0</v>
      </c>
      <c r="I97">
        <f t="shared" si="26"/>
        <v>0</v>
      </c>
      <c r="J97">
        <f t="shared" si="27"/>
        <v>0</v>
      </c>
      <c r="K97">
        <f t="shared" si="18"/>
        <v>0</v>
      </c>
      <c r="L97">
        <f t="shared" si="18"/>
        <v>0</v>
      </c>
      <c r="M97">
        <f t="shared" si="20"/>
        <v>0</v>
      </c>
      <c r="N97" t="e">
        <f t="shared" si="21"/>
        <v>#REF!</v>
      </c>
    </row>
    <row r="98" spans="1:14" x14ac:dyDescent="0.2">
      <c r="A98">
        <f t="shared" si="14"/>
        <v>22000000</v>
      </c>
      <c r="B98">
        <f t="shared" si="22"/>
        <v>0</v>
      </c>
      <c r="C98">
        <f t="shared" si="23"/>
        <v>0</v>
      </c>
      <c r="D98">
        <f t="shared" si="23"/>
        <v>0</v>
      </c>
      <c r="E98">
        <f t="shared" si="23"/>
        <v>0</v>
      </c>
      <c r="F98">
        <f t="shared" si="23"/>
        <v>0</v>
      </c>
      <c r="G98">
        <f t="shared" si="24"/>
        <v>0</v>
      </c>
      <c r="H98">
        <f t="shared" si="25"/>
        <v>0</v>
      </c>
      <c r="I98">
        <f t="shared" si="26"/>
        <v>0</v>
      </c>
      <c r="J98">
        <f t="shared" si="27"/>
        <v>0</v>
      </c>
      <c r="K98">
        <f t="shared" si="18"/>
        <v>0</v>
      </c>
      <c r="L98">
        <f t="shared" si="18"/>
        <v>0</v>
      </c>
      <c r="M98">
        <f t="shared" si="20"/>
        <v>0</v>
      </c>
      <c r="N98" t="e">
        <f t="shared" si="21"/>
        <v>#REF!</v>
      </c>
    </row>
    <row r="99" spans="1:14" x14ac:dyDescent="0.2">
      <c r="A99">
        <f t="shared" ref="A99:A159" si="28">A87*10</f>
        <v>27000000</v>
      </c>
      <c r="B99">
        <f t="shared" si="22"/>
        <v>0</v>
      </c>
      <c r="C99">
        <f t="shared" si="23"/>
        <v>0</v>
      </c>
      <c r="D99">
        <f t="shared" si="23"/>
        <v>0</v>
      </c>
      <c r="E99">
        <f t="shared" si="23"/>
        <v>0</v>
      </c>
      <c r="F99">
        <f t="shared" si="23"/>
        <v>0</v>
      </c>
      <c r="G99">
        <f t="shared" si="24"/>
        <v>0</v>
      </c>
      <c r="H99">
        <f t="shared" si="25"/>
        <v>0</v>
      </c>
      <c r="I99">
        <f t="shared" si="26"/>
        <v>0</v>
      </c>
      <c r="J99">
        <f t="shared" si="27"/>
        <v>0</v>
      </c>
      <c r="K99">
        <f t="shared" si="18"/>
        <v>0</v>
      </c>
      <c r="L99">
        <f t="shared" si="18"/>
        <v>0</v>
      </c>
      <c r="M99">
        <f t="shared" si="20"/>
        <v>0</v>
      </c>
      <c r="N99" t="e">
        <f t="shared" si="21"/>
        <v>#REF!</v>
      </c>
    </row>
    <row r="100" spans="1:14" x14ac:dyDescent="0.2">
      <c r="A100">
        <f t="shared" si="28"/>
        <v>33000000</v>
      </c>
      <c r="B100">
        <f t="shared" si="22"/>
        <v>0</v>
      </c>
      <c r="C100">
        <f t="shared" si="23"/>
        <v>0</v>
      </c>
      <c r="D100">
        <f t="shared" si="23"/>
        <v>0</v>
      </c>
      <c r="E100">
        <f t="shared" si="23"/>
        <v>0</v>
      </c>
      <c r="F100">
        <f t="shared" si="23"/>
        <v>0</v>
      </c>
      <c r="G100">
        <f t="shared" si="24"/>
        <v>0</v>
      </c>
      <c r="H100">
        <f t="shared" si="25"/>
        <v>0</v>
      </c>
      <c r="I100">
        <f t="shared" si="26"/>
        <v>0</v>
      </c>
      <c r="J100">
        <f t="shared" si="27"/>
        <v>0</v>
      </c>
      <c r="K100">
        <f t="shared" si="18"/>
        <v>0</v>
      </c>
      <c r="L100">
        <f t="shared" si="18"/>
        <v>0</v>
      </c>
      <c r="M100">
        <f t="shared" si="20"/>
        <v>0</v>
      </c>
      <c r="N100" t="e">
        <f t="shared" si="21"/>
        <v>#REF!</v>
      </c>
    </row>
    <row r="101" spans="1:14" x14ac:dyDescent="0.2">
      <c r="A101">
        <f t="shared" si="28"/>
        <v>39000000</v>
      </c>
      <c r="B101">
        <f t="shared" si="22"/>
        <v>0</v>
      </c>
      <c r="C101">
        <f t="shared" si="23"/>
        <v>0</v>
      </c>
      <c r="D101">
        <f t="shared" si="23"/>
        <v>0</v>
      </c>
      <c r="E101">
        <f t="shared" si="23"/>
        <v>0</v>
      </c>
      <c r="F101">
        <f t="shared" si="23"/>
        <v>0</v>
      </c>
      <c r="G101">
        <f t="shared" si="24"/>
        <v>0</v>
      </c>
      <c r="H101">
        <f t="shared" si="25"/>
        <v>0</v>
      </c>
      <c r="I101">
        <f t="shared" si="26"/>
        <v>0</v>
      </c>
      <c r="J101">
        <f t="shared" si="27"/>
        <v>0</v>
      </c>
      <c r="K101">
        <f t="shared" si="18"/>
        <v>0</v>
      </c>
      <c r="L101">
        <f t="shared" si="18"/>
        <v>0</v>
      </c>
      <c r="M101">
        <f t="shared" si="20"/>
        <v>0</v>
      </c>
      <c r="N101" t="e">
        <f t="shared" si="21"/>
        <v>#REF!</v>
      </c>
    </row>
    <row r="102" spans="1:14" x14ac:dyDescent="0.2">
      <c r="A102">
        <f t="shared" si="28"/>
        <v>47000000</v>
      </c>
      <c r="B102">
        <f t="shared" si="22"/>
        <v>0</v>
      </c>
      <c r="C102">
        <f t="shared" si="23"/>
        <v>0</v>
      </c>
      <c r="D102">
        <f t="shared" si="23"/>
        <v>0</v>
      </c>
      <c r="E102">
        <f t="shared" si="23"/>
        <v>0</v>
      </c>
      <c r="F102">
        <f t="shared" si="23"/>
        <v>0</v>
      </c>
      <c r="G102">
        <f t="shared" si="24"/>
        <v>0</v>
      </c>
      <c r="H102">
        <f t="shared" si="25"/>
        <v>0</v>
      </c>
      <c r="I102">
        <f t="shared" si="26"/>
        <v>0</v>
      </c>
      <c r="J102">
        <f t="shared" si="27"/>
        <v>0</v>
      </c>
      <c r="K102">
        <f t="shared" si="18"/>
        <v>0</v>
      </c>
      <c r="L102">
        <f t="shared" si="18"/>
        <v>0</v>
      </c>
      <c r="M102">
        <f t="shared" ref="M102:M133" si="29">IF(IF((M$3*10^12-$A103)*(M$3*10^12-$A102)*-1&lt;0,0,1)*IF(ABS(M$3*10^12-$A103)&gt;(M$3*10^12-$A102),$A102,$A103)=M103,0,IF((M$3*10^12-$A103)*(M$3*10^12-$A102)*-1&lt;0,0,1)*IF(ABS(M$3*10^12-$A103)&gt;(M$3*10^12-$A102),$A102,$A103))</f>
        <v>0</v>
      </c>
      <c r="N102" t="e">
        <f t="shared" ref="N102:N133" si="30">IF(IF((N$3*10^12-$A103)*(N$3*10^12-$A102)*-1&lt;0,0,1)*IF(ABS(N$3*10^12-$A103)&gt;(N$3*10^12-$A102),$A102,$A103)=N103,0,IF((N$3*10^12-$A103)*(N$3*10^12-$A102)*-1&lt;0,0,1)*IF(ABS(N$3*10^12-$A103)&gt;(N$3*10^12-$A102),$A102,$A103))</f>
        <v>#REF!</v>
      </c>
    </row>
    <row r="103" spans="1:14" x14ac:dyDescent="0.2">
      <c r="A103">
        <f t="shared" si="28"/>
        <v>56000000</v>
      </c>
      <c r="B103">
        <f t="shared" si="22"/>
        <v>0</v>
      </c>
      <c r="C103">
        <f t="shared" si="23"/>
        <v>0</v>
      </c>
      <c r="D103">
        <f t="shared" si="23"/>
        <v>0</v>
      </c>
      <c r="E103">
        <f t="shared" si="23"/>
        <v>0</v>
      </c>
      <c r="F103">
        <f t="shared" si="23"/>
        <v>0</v>
      </c>
      <c r="G103">
        <f t="shared" ref="G103:G134" si="31">IF(IF((G$3*10^12-$A104)*(G$3*10^12-$A103)*-1&lt;0,0,1)*IF(ABS(G$3*10^12-$A104)&gt;(G$3*10^12-$A103),$A103,$A104)=G104,0,IF((G$3*10^12-$A104)*(G$3*10^12-$A103)*-1&lt;0,0,1)*IF(ABS(G$3*10^12-$A104)&gt;(G$3*10^12-$A103),$A103,$A104))</f>
        <v>0</v>
      </c>
      <c r="H103">
        <f t="shared" ref="H103:H134" si="32">IF(IF((H$3*10^12-$A104)*(H$3*10^12-$A103)*-1&lt;0,0,1)*IF(ABS(H$3*10^12-$A104)&gt;(H$3*10^12-$A103),$A103,$A104)=H104,0,IF((H$3*10^12-$A104)*(H$3*10^12-$A103)*-1&lt;0,0,1)*IF(ABS(H$3*10^12-$A104)&gt;(H$3*10^12-$A103),$A103,$A104))</f>
        <v>0</v>
      </c>
      <c r="I103">
        <f t="shared" ref="I103:I134" si="33">IF(IF((I$3*10^12-$A104)*(I$3*10^12-$A103)*-1&lt;0,0,1)*IF(ABS(I$3*10^12-$A104)&gt;(I$3*10^12-$A103),$A103,$A104)=I104,0,IF((I$3*10^12-$A104)*(I$3*10^12-$A103)*-1&lt;0,0,1)*IF(ABS(I$3*10^12-$A104)&gt;(I$3*10^12-$A103),$A103,$A104))</f>
        <v>0</v>
      </c>
      <c r="J103">
        <f t="shared" ref="J103:J134" si="34">IF(IF((J$3*10^12-$A104)*(J$3*10^12-$A103)*-1&lt;0,0,1)*IF(ABS(J$3*10^12-$A104)&gt;(J$3*10^12-$A103),$A103,$A104)=J104,0,IF((J$3*10^12-$A104)*(J$3*10^12-$A103)*-1&lt;0,0,1)*IF(ABS(J$3*10^12-$A104)&gt;(J$3*10^12-$A103),$A103,$A104))</f>
        <v>0</v>
      </c>
      <c r="K103">
        <f t="shared" si="18"/>
        <v>0</v>
      </c>
      <c r="L103">
        <f t="shared" si="18"/>
        <v>0</v>
      </c>
      <c r="M103">
        <f t="shared" si="29"/>
        <v>0</v>
      </c>
      <c r="N103" t="e">
        <f t="shared" si="30"/>
        <v>#REF!</v>
      </c>
    </row>
    <row r="104" spans="1:14" x14ac:dyDescent="0.2">
      <c r="A104">
        <f t="shared" si="28"/>
        <v>68000000</v>
      </c>
      <c r="B104">
        <f t="shared" si="22"/>
        <v>0</v>
      </c>
      <c r="C104">
        <f t="shared" si="23"/>
        <v>0</v>
      </c>
      <c r="D104">
        <f t="shared" si="23"/>
        <v>0</v>
      </c>
      <c r="E104">
        <f t="shared" si="23"/>
        <v>0</v>
      </c>
      <c r="F104">
        <f t="shared" si="23"/>
        <v>0</v>
      </c>
      <c r="G104">
        <f t="shared" si="31"/>
        <v>0</v>
      </c>
      <c r="H104">
        <f t="shared" si="32"/>
        <v>0</v>
      </c>
      <c r="I104">
        <f t="shared" si="33"/>
        <v>0</v>
      </c>
      <c r="J104">
        <f t="shared" si="34"/>
        <v>0</v>
      </c>
      <c r="K104">
        <f t="shared" si="18"/>
        <v>0</v>
      </c>
      <c r="L104">
        <f t="shared" si="18"/>
        <v>0</v>
      </c>
      <c r="M104">
        <f t="shared" si="29"/>
        <v>0</v>
      </c>
      <c r="N104" t="e">
        <f t="shared" si="30"/>
        <v>#REF!</v>
      </c>
    </row>
    <row r="105" spans="1:14" x14ac:dyDescent="0.2">
      <c r="A105">
        <f t="shared" si="28"/>
        <v>82000000</v>
      </c>
      <c r="B105">
        <f t="shared" si="22"/>
        <v>0</v>
      </c>
      <c r="C105">
        <f t="shared" si="23"/>
        <v>0</v>
      </c>
      <c r="D105">
        <f t="shared" si="23"/>
        <v>0</v>
      </c>
      <c r="E105">
        <f t="shared" si="23"/>
        <v>0</v>
      </c>
      <c r="F105">
        <f t="shared" si="23"/>
        <v>0</v>
      </c>
      <c r="G105">
        <f t="shared" si="31"/>
        <v>0</v>
      </c>
      <c r="H105">
        <f t="shared" si="32"/>
        <v>0</v>
      </c>
      <c r="I105">
        <f t="shared" si="33"/>
        <v>0</v>
      </c>
      <c r="J105">
        <f t="shared" si="34"/>
        <v>0</v>
      </c>
      <c r="K105">
        <f t="shared" si="18"/>
        <v>0</v>
      </c>
      <c r="L105">
        <f t="shared" si="18"/>
        <v>0</v>
      </c>
      <c r="M105">
        <f t="shared" si="29"/>
        <v>0</v>
      </c>
      <c r="N105" t="e">
        <f t="shared" si="30"/>
        <v>#REF!</v>
      </c>
    </row>
    <row r="106" spans="1:14" x14ac:dyDescent="0.2">
      <c r="A106">
        <f t="shared" si="28"/>
        <v>100000000</v>
      </c>
      <c r="B106">
        <f t="shared" si="22"/>
        <v>0</v>
      </c>
      <c r="C106">
        <f t="shared" si="23"/>
        <v>0</v>
      </c>
      <c r="D106">
        <f t="shared" si="23"/>
        <v>0</v>
      </c>
      <c r="E106">
        <f t="shared" si="23"/>
        <v>0</v>
      </c>
      <c r="F106">
        <f t="shared" si="23"/>
        <v>0</v>
      </c>
      <c r="G106">
        <f t="shared" si="31"/>
        <v>0</v>
      </c>
      <c r="H106">
        <f t="shared" si="32"/>
        <v>0</v>
      </c>
      <c r="I106">
        <f t="shared" si="33"/>
        <v>0</v>
      </c>
      <c r="J106">
        <f t="shared" si="34"/>
        <v>0</v>
      </c>
      <c r="K106">
        <f t="shared" si="18"/>
        <v>0</v>
      </c>
      <c r="L106">
        <f t="shared" si="18"/>
        <v>0</v>
      </c>
      <c r="M106">
        <f t="shared" si="29"/>
        <v>0</v>
      </c>
      <c r="N106" t="e">
        <f t="shared" si="30"/>
        <v>#REF!</v>
      </c>
    </row>
    <row r="107" spans="1:14" x14ac:dyDescent="0.2">
      <c r="A107">
        <f t="shared" si="28"/>
        <v>120000000</v>
      </c>
      <c r="B107">
        <f t="shared" si="22"/>
        <v>0</v>
      </c>
      <c r="C107">
        <f t="shared" si="23"/>
        <v>0</v>
      </c>
      <c r="D107">
        <f t="shared" si="23"/>
        <v>0</v>
      </c>
      <c r="E107">
        <f t="shared" si="23"/>
        <v>0</v>
      </c>
      <c r="F107">
        <f t="shared" si="23"/>
        <v>0</v>
      </c>
      <c r="G107">
        <f t="shared" si="31"/>
        <v>0</v>
      </c>
      <c r="H107">
        <f t="shared" si="32"/>
        <v>0</v>
      </c>
      <c r="I107">
        <f t="shared" si="33"/>
        <v>0</v>
      </c>
      <c r="J107">
        <f t="shared" si="34"/>
        <v>0</v>
      </c>
      <c r="K107">
        <f t="shared" si="18"/>
        <v>0</v>
      </c>
      <c r="L107">
        <f t="shared" si="18"/>
        <v>0</v>
      </c>
      <c r="M107">
        <f t="shared" si="29"/>
        <v>0</v>
      </c>
      <c r="N107" t="e">
        <f t="shared" si="30"/>
        <v>#REF!</v>
      </c>
    </row>
    <row r="108" spans="1:14" x14ac:dyDescent="0.2">
      <c r="A108">
        <f t="shared" si="28"/>
        <v>150000000</v>
      </c>
      <c r="B108">
        <f t="shared" si="22"/>
        <v>0</v>
      </c>
      <c r="C108">
        <f t="shared" si="23"/>
        <v>0</v>
      </c>
      <c r="D108">
        <f t="shared" si="23"/>
        <v>0</v>
      </c>
      <c r="E108">
        <f t="shared" si="23"/>
        <v>0</v>
      </c>
      <c r="F108">
        <f t="shared" si="23"/>
        <v>0</v>
      </c>
      <c r="G108">
        <f t="shared" si="31"/>
        <v>0</v>
      </c>
      <c r="H108">
        <f t="shared" si="32"/>
        <v>0</v>
      </c>
      <c r="I108">
        <f t="shared" si="33"/>
        <v>0</v>
      </c>
      <c r="J108">
        <f t="shared" si="34"/>
        <v>0</v>
      </c>
      <c r="K108">
        <f t="shared" si="18"/>
        <v>0</v>
      </c>
      <c r="L108">
        <f t="shared" si="18"/>
        <v>0</v>
      </c>
      <c r="M108">
        <f t="shared" si="29"/>
        <v>0</v>
      </c>
      <c r="N108" t="e">
        <f t="shared" si="30"/>
        <v>#REF!</v>
      </c>
    </row>
    <row r="109" spans="1:14" x14ac:dyDescent="0.2">
      <c r="A109">
        <f t="shared" si="28"/>
        <v>180000000</v>
      </c>
      <c r="B109">
        <f t="shared" si="22"/>
        <v>0</v>
      </c>
      <c r="C109">
        <f t="shared" si="23"/>
        <v>0</v>
      </c>
      <c r="D109">
        <f t="shared" si="23"/>
        <v>0</v>
      </c>
      <c r="E109">
        <f t="shared" si="23"/>
        <v>0</v>
      </c>
      <c r="F109">
        <f t="shared" si="23"/>
        <v>0</v>
      </c>
      <c r="G109">
        <f t="shared" si="31"/>
        <v>0</v>
      </c>
      <c r="H109">
        <f t="shared" si="32"/>
        <v>0</v>
      </c>
      <c r="I109">
        <f t="shared" si="33"/>
        <v>0</v>
      </c>
      <c r="J109">
        <f t="shared" si="34"/>
        <v>0</v>
      </c>
      <c r="K109">
        <f t="shared" si="18"/>
        <v>0</v>
      </c>
      <c r="L109">
        <f t="shared" si="18"/>
        <v>0</v>
      </c>
      <c r="M109">
        <f t="shared" si="29"/>
        <v>0</v>
      </c>
      <c r="N109" t="e">
        <f t="shared" si="30"/>
        <v>#REF!</v>
      </c>
    </row>
    <row r="110" spans="1:14" x14ac:dyDescent="0.2">
      <c r="A110">
        <f t="shared" si="28"/>
        <v>220000000</v>
      </c>
      <c r="B110">
        <f t="shared" si="22"/>
        <v>0</v>
      </c>
      <c r="C110">
        <f t="shared" si="23"/>
        <v>0</v>
      </c>
      <c r="D110">
        <f t="shared" si="23"/>
        <v>0</v>
      </c>
      <c r="E110">
        <f t="shared" si="23"/>
        <v>0</v>
      </c>
      <c r="F110">
        <f t="shared" si="23"/>
        <v>0</v>
      </c>
      <c r="G110">
        <f t="shared" si="31"/>
        <v>0</v>
      </c>
      <c r="H110">
        <f t="shared" si="32"/>
        <v>0</v>
      </c>
      <c r="I110">
        <f t="shared" si="33"/>
        <v>0</v>
      </c>
      <c r="J110">
        <f t="shared" si="34"/>
        <v>0</v>
      </c>
      <c r="K110">
        <f t="shared" si="18"/>
        <v>0</v>
      </c>
      <c r="L110">
        <f t="shared" si="18"/>
        <v>0</v>
      </c>
      <c r="M110">
        <f t="shared" si="29"/>
        <v>0</v>
      </c>
      <c r="N110" t="e">
        <f t="shared" si="30"/>
        <v>#REF!</v>
      </c>
    </row>
    <row r="111" spans="1:14" x14ac:dyDescent="0.2">
      <c r="A111">
        <f t="shared" si="28"/>
        <v>270000000</v>
      </c>
      <c r="B111">
        <f t="shared" si="22"/>
        <v>0</v>
      </c>
      <c r="C111">
        <f t="shared" si="23"/>
        <v>0</v>
      </c>
      <c r="D111">
        <f t="shared" si="23"/>
        <v>0</v>
      </c>
      <c r="E111">
        <f t="shared" si="23"/>
        <v>0</v>
      </c>
      <c r="F111">
        <f t="shared" si="23"/>
        <v>0</v>
      </c>
      <c r="G111">
        <f t="shared" si="31"/>
        <v>0</v>
      </c>
      <c r="H111">
        <f t="shared" si="32"/>
        <v>0</v>
      </c>
      <c r="I111">
        <f t="shared" si="33"/>
        <v>0</v>
      </c>
      <c r="J111">
        <f t="shared" si="34"/>
        <v>0</v>
      </c>
      <c r="K111">
        <f t="shared" si="18"/>
        <v>0</v>
      </c>
      <c r="L111">
        <f t="shared" si="18"/>
        <v>0</v>
      </c>
      <c r="M111">
        <f t="shared" si="29"/>
        <v>0</v>
      </c>
      <c r="N111" t="e">
        <f t="shared" si="30"/>
        <v>#REF!</v>
      </c>
    </row>
    <row r="112" spans="1:14" x14ac:dyDescent="0.2">
      <c r="A112">
        <f t="shared" si="28"/>
        <v>330000000</v>
      </c>
      <c r="B112">
        <f t="shared" si="22"/>
        <v>0</v>
      </c>
      <c r="C112">
        <f t="shared" si="23"/>
        <v>0</v>
      </c>
      <c r="D112">
        <f t="shared" si="23"/>
        <v>0</v>
      </c>
      <c r="E112">
        <f t="shared" si="23"/>
        <v>0</v>
      </c>
      <c r="F112">
        <f t="shared" si="23"/>
        <v>0</v>
      </c>
      <c r="G112">
        <f t="shared" si="31"/>
        <v>0</v>
      </c>
      <c r="H112">
        <f t="shared" si="32"/>
        <v>0</v>
      </c>
      <c r="I112">
        <f t="shared" si="33"/>
        <v>0</v>
      </c>
      <c r="J112">
        <f t="shared" si="34"/>
        <v>0</v>
      </c>
      <c r="K112">
        <f t="shared" si="18"/>
        <v>0</v>
      </c>
      <c r="L112">
        <f t="shared" si="18"/>
        <v>0</v>
      </c>
      <c r="M112">
        <f t="shared" si="29"/>
        <v>0</v>
      </c>
      <c r="N112" t="e">
        <f t="shared" si="30"/>
        <v>#REF!</v>
      </c>
    </row>
    <row r="113" spans="1:14" x14ac:dyDescent="0.2">
      <c r="A113">
        <f t="shared" si="28"/>
        <v>390000000</v>
      </c>
      <c r="B113">
        <f t="shared" si="22"/>
        <v>0</v>
      </c>
      <c r="C113">
        <f t="shared" si="23"/>
        <v>0</v>
      </c>
      <c r="D113">
        <f t="shared" si="23"/>
        <v>0</v>
      </c>
      <c r="E113">
        <f t="shared" si="23"/>
        <v>0</v>
      </c>
      <c r="F113">
        <f t="shared" si="23"/>
        <v>0</v>
      </c>
      <c r="G113">
        <f t="shared" si="31"/>
        <v>0</v>
      </c>
      <c r="H113">
        <f t="shared" si="32"/>
        <v>0</v>
      </c>
      <c r="I113">
        <f t="shared" si="33"/>
        <v>0</v>
      </c>
      <c r="J113">
        <f t="shared" si="34"/>
        <v>0</v>
      </c>
      <c r="K113">
        <f t="shared" si="18"/>
        <v>0</v>
      </c>
      <c r="L113">
        <f t="shared" si="18"/>
        <v>0</v>
      </c>
      <c r="M113">
        <f t="shared" si="29"/>
        <v>0</v>
      </c>
      <c r="N113" t="e">
        <f t="shared" si="30"/>
        <v>#REF!</v>
      </c>
    </row>
    <row r="114" spans="1:14" x14ac:dyDescent="0.2">
      <c r="A114">
        <f t="shared" si="28"/>
        <v>470000000</v>
      </c>
      <c r="B114">
        <f t="shared" si="22"/>
        <v>0</v>
      </c>
      <c r="C114">
        <f t="shared" si="23"/>
        <v>0</v>
      </c>
      <c r="D114">
        <f t="shared" si="23"/>
        <v>0</v>
      </c>
      <c r="E114">
        <f t="shared" si="23"/>
        <v>0</v>
      </c>
      <c r="F114">
        <f t="shared" si="23"/>
        <v>0</v>
      </c>
      <c r="G114">
        <f t="shared" si="31"/>
        <v>0</v>
      </c>
      <c r="H114">
        <f t="shared" si="32"/>
        <v>0</v>
      </c>
      <c r="I114">
        <f t="shared" si="33"/>
        <v>0</v>
      </c>
      <c r="J114">
        <f t="shared" si="34"/>
        <v>0</v>
      </c>
      <c r="K114">
        <f t="shared" si="18"/>
        <v>0</v>
      </c>
      <c r="L114">
        <f t="shared" si="18"/>
        <v>0</v>
      </c>
      <c r="M114">
        <f t="shared" si="29"/>
        <v>0</v>
      </c>
      <c r="N114" t="e">
        <f t="shared" si="30"/>
        <v>#REF!</v>
      </c>
    </row>
    <row r="115" spans="1:14" x14ac:dyDescent="0.2">
      <c r="A115">
        <f t="shared" si="28"/>
        <v>560000000</v>
      </c>
      <c r="B115">
        <f t="shared" si="22"/>
        <v>0</v>
      </c>
      <c r="C115">
        <f t="shared" si="23"/>
        <v>0</v>
      </c>
      <c r="D115">
        <f t="shared" si="23"/>
        <v>0</v>
      </c>
      <c r="E115">
        <f t="shared" si="23"/>
        <v>0</v>
      </c>
      <c r="F115">
        <f t="shared" si="23"/>
        <v>0</v>
      </c>
      <c r="G115">
        <f t="shared" si="31"/>
        <v>0</v>
      </c>
      <c r="H115">
        <f t="shared" si="32"/>
        <v>0</v>
      </c>
      <c r="I115">
        <f t="shared" si="33"/>
        <v>0</v>
      </c>
      <c r="J115">
        <f t="shared" si="34"/>
        <v>0</v>
      </c>
      <c r="K115">
        <f t="shared" si="18"/>
        <v>0</v>
      </c>
      <c r="L115">
        <f t="shared" si="18"/>
        <v>0</v>
      </c>
      <c r="M115">
        <f t="shared" si="29"/>
        <v>0</v>
      </c>
      <c r="N115" t="e">
        <f t="shared" si="30"/>
        <v>#REF!</v>
      </c>
    </row>
    <row r="116" spans="1:14" x14ac:dyDescent="0.2">
      <c r="A116">
        <f t="shared" si="28"/>
        <v>680000000</v>
      </c>
      <c r="B116">
        <f t="shared" si="22"/>
        <v>0</v>
      </c>
      <c r="C116">
        <f t="shared" si="23"/>
        <v>0</v>
      </c>
      <c r="D116">
        <f t="shared" si="23"/>
        <v>0</v>
      </c>
      <c r="E116">
        <f t="shared" si="23"/>
        <v>0</v>
      </c>
      <c r="F116">
        <f t="shared" si="23"/>
        <v>0</v>
      </c>
      <c r="G116">
        <f t="shared" si="31"/>
        <v>0</v>
      </c>
      <c r="H116">
        <f t="shared" si="32"/>
        <v>0</v>
      </c>
      <c r="I116">
        <f t="shared" si="33"/>
        <v>0</v>
      </c>
      <c r="J116">
        <f t="shared" si="34"/>
        <v>0</v>
      </c>
      <c r="K116">
        <f t="shared" si="18"/>
        <v>0</v>
      </c>
      <c r="L116">
        <f t="shared" si="18"/>
        <v>0</v>
      </c>
      <c r="M116">
        <f t="shared" si="29"/>
        <v>0</v>
      </c>
      <c r="N116" t="e">
        <f t="shared" si="30"/>
        <v>#REF!</v>
      </c>
    </row>
    <row r="117" spans="1:14" x14ac:dyDescent="0.2">
      <c r="A117">
        <f t="shared" si="28"/>
        <v>820000000</v>
      </c>
      <c r="B117">
        <f t="shared" si="22"/>
        <v>0</v>
      </c>
      <c r="C117">
        <f t="shared" si="23"/>
        <v>0</v>
      </c>
      <c r="D117">
        <f t="shared" si="23"/>
        <v>0</v>
      </c>
      <c r="E117">
        <f t="shared" si="23"/>
        <v>0</v>
      </c>
      <c r="F117">
        <f t="shared" si="23"/>
        <v>0</v>
      </c>
      <c r="G117">
        <f t="shared" si="31"/>
        <v>0</v>
      </c>
      <c r="H117">
        <f t="shared" si="32"/>
        <v>0</v>
      </c>
      <c r="I117">
        <f t="shared" si="33"/>
        <v>0</v>
      </c>
      <c r="J117">
        <f t="shared" si="34"/>
        <v>0</v>
      </c>
      <c r="K117">
        <f t="shared" si="18"/>
        <v>0</v>
      </c>
      <c r="L117">
        <f t="shared" si="18"/>
        <v>0</v>
      </c>
      <c r="M117">
        <f t="shared" si="29"/>
        <v>0</v>
      </c>
      <c r="N117" t="e">
        <f t="shared" si="30"/>
        <v>#REF!</v>
      </c>
    </row>
    <row r="118" spans="1:14" x14ac:dyDescent="0.2">
      <c r="A118">
        <f t="shared" si="28"/>
        <v>1000000000</v>
      </c>
      <c r="B118">
        <f t="shared" si="22"/>
        <v>0</v>
      </c>
      <c r="C118">
        <f t="shared" si="23"/>
        <v>0</v>
      </c>
      <c r="D118">
        <f t="shared" si="23"/>
        <v>0</v>
      </c>
      <c r="E118">
        <f t="shared" si="23"/>
        <v>0</v>
      </c>
      <c r="F118">
        <f t="shared" si="23"/>
        <v>0</v>
      </c>
      <c r="G118">
        <f t="shared" si="31"/>
        <v>0</v>
      </c>
      <c r="H118">
        <f t="shared" si="32"/>
        <v>0</v>
      </c>
      <c r="I118">
        <f t="shared" si="33"/>
        <v>0</v>
      </c>
      <c r="J118">
        <f t="shared" si="34"/>
        <v>0</v>
      </c>
      <c r="K118">
        <f t="shared" si="18"/>
        <v>0</v>
      </c>
      <c r="L118">
        <f t="shared" si="18"/>
        <v>0</v>
      </c>
      <c r="M118">
        <f t="shared" si="29"/>
        <v>0</v>
      </c>
      <c r="N118" t="e">
        <f t="shared" si="30"/>
        <v>#REF!</v>
      </c>
    </row>
    <row r="119" spans="1:14" x14ac:dyDescent="0.2">
      <c r="A119">
        <f t="shared" si="28"/>
        <v>1200000000</v>
      </c>
      <c r="B119">
        <f t="shared" si="22"/>
        <v>0</v>
      </c>
      <c r="C119">
        <f t="shared" si="23"/>
        <v>0</v>
      </c>
      <c r="D119">
        <f t="shared" si="23"/>
        <v>0</v>
      </c>
      <c r="E119">
        <f t="shared" si="23"/>
        <v>0</v>
      </c>
      <c r="F119">
        <f t="shared" si="23"/>
        <v>0</v>
      </c>
      <c r="G119">
        <f t="shared" si="31"/>
        <v>0</v>
      </c>
      <c r="H119">
        <f t="shared" si="32"/>
        <v>0</v>
      </c>
      <c r="I119">
        <f t="shared" si="33"/>
        <v>0</v>
      </c>
      <c r="J119">
        <f t="shared" si="34"/>
        <v>0</v>
      </c>
      <c r="K119">
        <f t="shared" si="18"/>
        <v>0</v>
      </c>
      <c r="L119">
        <f t="shared" si="18"/>
        <v>0</v>
      </c>
      <c r="M119">
        <f t="shared" si="29"/>
        <v>0</v>
      </c>
      <c r="N119" t="e">
        <f t="shared" si="30"/>
        <v>#REF!</v>
      </c>
    </row>
    <row r="120" spans="1:14" x14ac:dyDescent="0.2">
      <c r="A120">
        <f t="shared" si="28"/>
        <v>1500000000</v>
      </c>
      <c r="B120">
        <f t="shared" si="22"/>
        <v>0</v>
      </c>
      <c r="C120">
        <f t="shared" si="23"/>
        <v>0</v>
      </c>
      <c r="D120">
        <f t="shared" si="23"/>
        <v>0</v>
      </c>
      <c r="E120">
        <f t="shared" si="23"/>
        <v>0</v>
      </c>
      <c r="F120">
        <f t="shared" si="23"/>
        <v>0</v>
      </c>
      <c r="G120">
        <f t="shared" si="31"/>
        <v>0</v>
      </c>
      <c r="H120">
        <f t="shared" si="32"/>
        <v>0</v>
      </c>
      <c r="I120">
        <f t="shared" si="33"/>
        <v>0</v>
      </c>
      <c r="J120">
        <f t="shared" si="34"/>
        <v>0</v>
      </c>
      <c r="K120">
        <f t="shared" si="18"/>
        <v>0</v>
      </c>
      <c r="L120">
        <f t="shared" si="18"/>
        <v>0</v>
      </c>
      <c r="M120">
        <f t="shared" si="29"/>
        <v>0</v>
      </c>
      <c r="N120" t="e">
        <f t="shared" si="30"/>
        <v>#REF!</v>
      </c>
    </row>
    <row r="121" spans="1:14" x14ac:dyDescent="0.2">
      <c r="A121">
        <f t="shared" si="28"/>
        <v>1800000000</v>
      </c>
      <c r="B121">
        <f t="shared" si="22"/>
        <v>0</v>
      </c>
      <c r="C121">
        <f t="shared" si="23"/>
        <v>0</v>
      </c>
      <c r="D121">
        <f t="shared" si="23"/>
        <v>0</v>
      </c>
      <c r="E121">
        <f t="shared" si="23"/>
        <v>0</v>
      </c>
      <c r="F121">
        <f t="shared" si="23"/>
        <v>0</v>
      </c>
      <c r="G121">
        <f t="shared" si="31"/>
        <v>0</v>
      </c>
      <c r="H121">
        <f t="shared" si="32"/>
        <v>0</v>
      </c>
      <c r="I121">
        <f t="shared" si="33"/>
        <v>0</v>
      </c>
      <c r="J121">
        <f t="shared" si="34"/>
        <v>0</v>
      </c>
      <c r="K121">
        <f t="shared" si="18"/>
        <v>0</v>
      </c>
      <c r="L121">
        <f t="shared" si="18"/>
        <v>0</v>
      </c>
      <c r="M121">
        <f t="shared" si="29"/>
        <v>0</v>
      </c>
      <c r="N121" t="e">
        <f t="shared" si="30"/>
        <v>#REF!</v>
      </c>
    </row>
    <row r="122" spans="1:14" x14ac:dyDescent="0.2">
      <c r="A122">
        <f t="shared" si="28"/>
        <v>2200000000</v>
      </c>
      <c r="B122">
        <f t="shared" si="22"/>
        <v>0</v>
      </c>
      <c r="C122">
        <f t="shared" si="23"/>
        <v>0</v>
      </c>
      <c r="D122">
        <f t="shared" si="23"/>
        <v>0</v>
      </c>
      <c r="E122">
        <f t="shared" si="23"/>
        <v>0</v>
      </c>
      <c r="F122">
        <f t="shared" si="23"/>
        <v>0</v>
      </c>
      <c r="G122">
        <f t="shared" si="31"/>
        <v>0</v>
      </c>
      <c r="H122">
        <f t="shared" si="32"/>
        <v>0</v>
      </c>
      <c r="I122">
        <f t="shared" si="33"/>
        <v>0</v>
      </c>
      <c r="J122">
        <f t="shared" si="34"/>
        <v>0</v>
      </c>
      <c r="K122">
        <f t="shared" si="18"/>
        <v>0</v>
      </c>
      <c r="L122">
        <f t="shared" si="18"/>
        <v>0</v>
      </c>
      <c r="M122">
        <f t="shared" si="29"/>
        <v>0</v>
      </c>
      <c r="N122" t="e">
        <f t="shared" si="30"/>
        <v>#REF!</v>
      </c>
    </row>
    <row r="123" spans="1:14" x14ac:dyDescent="0.2">
      <c r="A123">
        <f t="shared" si="28"/>
        <v>2700000000</v>
      </c>
      <c r="B123">
        <f t="shared" si="22"/>
        <v>0</v>
      </c>
      <c r="C123">
        <f t="shared" si="23"/>
        <v>0</v>
      </c>
      <c r="D123">
        <f t="shared" si="23"/>
        <v>0</v>
      </c>
      <c r="E123">
        <f t="shared" si="23"/>
        <v>0</v>
      </c>
      <c r="F123">
        <f t="shared" si="23"/>
        <v>0</v>
      </c>
      <c r="G123">
        <f t="shared" si="31"/>
        <v>0</v>
      </c>
      <c r="H123">
        <f t="shared" si="32"/>
        <v>0</v>
      </c>
      <c r="I123">
        <f t="shared" si="33"/>
        <v>0</v>
      </c>
      <c r="J123">
        <f t="shared" si="34"/>
        <v>0</v>
      </c>
      <c r="K123">
        <f t="shared" si="18"/>
        <v>0</v>
      </c>
      <c r="L123">
        <f t="shared" si="18"/>
        <v>0</v>
      </c>
      <c r="M123">
        <f t="shared" si="29"/>
        <v>0</v>
      </c>
      <c r="N123" t="e">
        <f t="shared" si="30"/>
        <v>#REF!</v>
      </c>
    </row>
    <row r="124" spans="1:14" x14ac:dyDescent="0.2">
      <c r="A124">
        <f t="shared" si="28"/>
        <v>3300000000</v>
      </c>
      <c r="B124">
        <f t="shared" si="22"/>
        <v>0</v>
      </c>
      <c r="C124">
        <f t="shared" si="23"/>
        <v>0</v>
      </c>
      <c r="D124">
        <f t="shared" si="23"/>
        <v>0</v>
      </c>
      <c r="E124">
        <f t="shared" si="23"/>
        <v>0</v>
      </c>
      <c r="F124">
        <f t="shared" si="23"/>
        <v>0</v>
      </c>
      <c r="G124">
        <f t="shared" si="31"/>
        <v>0</v>
      </c>
      <c r="H124">
        <f t="shared" si="32"/>
        <v>0</v>
      </c>
      <c r="I124">
        <f t="shared" si="33"/>
        <v>0</v>
      </c>
      <c r="J124">
        <f t="shared" si="34"/>
        <v>0</v>
      </c>
      <c r="K124">
        <f t="shared" si="18"/>
        <v>0</v>
      </c>
      <c r="L124">
        <f t="shared" si="18"/>
        <v>0</v>
      </c>
      <c r="M124">
        <f t="shared" si="29"/>
        <v>0</v>
      </c>
      <c r="N124" t="e">
        <f t="shared" si="30"/>
        <v>#REF!</v>
      </c>
    </row>
    <row r="125" spans="1:14" x14ac:dyDescent="0.2">
      <c r="A125">
        <f t="shared" si="28"/>
        <v>3900000000</v>
      </c>
      <c r="B125">
        <f t="shared" si="22"/>
        <v>0</v>
      </c>
      <c r="C125">
        <f t="shared" si="23"/>
        <v>0</v>
      </c>
      <c r="D125">
        <f t="shared" si="23"/>
        <v>0</v>
      </c>
      <c r="E125">
        <f t="shared" si="23"/>
        <v>0</v>
      </c>
      <c r="F125">
        <f t="shared" si="23"/>
        <v>0</v>
      </c>
      <c r="G125">
        <f t="shared" si="31"/>
        <v>0</v>
      </c>
      <c r="H125">
        <f t="shared" si="32"/>
        <v>0</v>
      </c>
      <c r="I125">
        <f t="shared" si="33"/>
        <v>0</v>
      </c>
      <c r="J125">
        <f t="shared" si="34"/>
        <v>0</v>
      </c>
      <c r="K125">
        <f t="shared" si="18"/>
        <v>0</v>
      </c>
      <c r="L125">
        <f t="shared" si="18"/>
        <v>0</v>
      </c>
      <c r="M125">
        <f t="shared" si="29"/>
        <v>0</v>
      </c>
      <c r="N125" t="e">
        <f t="shared" si="30"/>
        <v>#REF!</v>
      </c>
    </row>
    <row r="126" spans="1:14" x14ac:dyDescent="0.2">
      <c r="A126">
        <f t="shared" si="28"/>
        <v>4700000000</v>
      </c>
      <c r="B126">
        <f t="shared" si="22"/>
        <v>0</v>
      </c>
      <c r="C126">
        <f t="shared" si="23"/>
        <v>0</v>
      </c>
      <c r="D126">
        <f t="shared" si="23"/>
        <v>0</v>
      </c>
      <c r="E126">
        <f t="shared" si="23"/>
        <v>0</v>
      </c>
      <c r="F126">
        <f t="shared" si="23"/>
        <v>0</v>
      </c>
      <c r="G126">
        <f t="shared" si="31"/>
        <v>0</v>
      </c>
      <c r="H126">
        <f t="shared" si="32"/>
        <v>0</v>
      </c>
      <c r="I126">
        <f t="shared" si="33"/>
        <v>0</v>
      </c>
      <c r="J126">
        <f t="shared" si="34"/>
        <v>0</v>
      </c>
      <c r="K126">
        <f t="shared" si="18"/>
        <v>0</v>
      </c>
      <c r="L126">
        <f t="shared" si="18"/>
        <v>0</v>
      </c>
      <c r="M126">
        <f t="shared" si="29"/>
        <v>0</v>
      </c>
      <c r="N126" t="e">
        <f t="shared" si="30"/>
        <v>#REF!</v>
      </c>
    </row>
    <row r="127" spans="1:14" x14ac:dyDescent="0.2">
      <c r="A127">
        <f t="shared" si="28"/>
        <v>5600000000</v>
      </c>
      <c r="B127">
        <f t="shared" si="22"/>
        <v>0</v>
      </c>
      <c r="C127">
        <f t="shared" si="23"/>
        <v>0</v>
      </c>
      <c r="D127">
        <f t="shared" si="23"/>
        <v>0</v>
      </c>
      <c r="E127">
        <f t="shared" si="23"/>
        <v>0</v>
      </c>
      <c r="F127">
        <f t="shared" si="23"/>
        <v>0</v>
      </c>
      <c r="G127">
        <f t="shared" si="31"/>
        <v>0</v>
      </c>
      <c r="H127">
        <f t="shared" si="32"/>
        <v>0</v>
      </c>
      <c r="I127">
        <f t="shared" si="33"/>
        <v>0</v>
      </c>
      <c r="J127">
        <f t="shared" si="34"/>
        <v>0</v>
      </c>
      <c r="K127">
        <f t="shared" si="18"/>
        <v>0</v>
      </c>
      <c r="L127">
        <f t="shared" si="18"/>
        <v>0</v>
      </c>
      <c r="M127">
        <f t="shared" si="29"/>
        <v>0</v>
      </c>
      <c r="N127" t="e">
        <f t="shared" si="30"/>
        <v>#REF!</v>
      </c>
    </row>
    <row r="128" spans="1:14" x14ac:dyDescent="0.2">
      <c r="A128">
        <f t="shared" si="28"/>
        <v>6800000000</v>
      </c>
      <c r="B128">
        <f t="shared" si="22"/>
        <v>0</v>
      </c>
      <c r="C128">
        <f t="shared" si="23"/>
        <v>0</v>
      </c>
      <c r="D128">
        <f t="shared" si="23"/>
        <v>0</v>
      </c>
      <c r="E128">
        <f t="shared" si="23"/>
        <v>0</v>
      </c>
      <c r="F128">
        <f t="shared" si="23"/>
        <v>0</v>
      </c>
      <c r="G128">
        <f t="shared" si="31"/>
        <v>0</v>
      </c>
      <c r="H128">
        <f t="shared" si="32"/>
        <v>0</v>
      </c>
      <c r="I128">
        <f t="shared" si="33"/>
        <v>0</v>
      </c>
      <c r="J128">
        <f t="shared" si="34"/>
        <v>0</v>
      </c>
      <c r="K128">
        <f t="shared" si="18"/>
        <v>0</v>
      </c>
      <c r="L128">
        <f t="shared" si="18"/>
        <v>0</v>
      </c>
      <c r="M128">
        <f t="shared" si="29"/>
        <v>0</v>
      </c>
      <c r="N128" t="e">
        <f t="shared" si="30"/>
        <v>#REF!</v>
      </c>
    </row>
    <row r="129" spans="1:14" x14ac:dyDescent="0.2">
      <c r="A129">
        <f t="shared" si="28"/>
        <v>8200000000</v>
      </c>
      <c r="B129">
        <f t="shared" si="22"/>
        <v>0</v>
      </c>
      <c r="C129">
        <f t="shared" si="23"/>
        <v>0</v>
      </c>
      <c r="D129">
        <f t="shared" si="23"/>
        <v>0</v>
      </c>
      <c r="E129">
        <f t="shared" si="23"/>
        <v>0</v>
      </c>
      <c r="F129">
        <f t="shared" si="23"/>
        <v>0</v>
      </c>
      <c r="G129">
        <f t="shared" si="31"/>
        <v>0</v>
      </c>
      <c r="H129">
        <f t="shared" si="32"/>
        <v>0</v>
      </c>
      <c r="I129">
        <f t="shared" si="33"/>
        <v>0</v>
      </c>
      <c r="J129">
        <f t="shared" si="34"/>
        <v>0</v>
      </c>
      <c r="K129">
        <f t="shared" si="18"/>
        <v>0</v>
      </c>
      <c r="L129">
        <f t="shared" si="18"/>
        <v>0</v>
      </c>
      <c r="M129">
        <f t="shared" si="29"/>
        <v>0</v>
      </c>
      <c r="N129" t="e">
        <f t="shared" si="30"/>
        <v>#REF!</v>
      </c>
    </row>
    <row r="130" spans="1:14" x14ac:dyDescent="0.2">
      <c r="A130">
        <f t="shared" si="28"/>
        <v>10000000000</v>
      </c>
      <c r="B130">
        <f t="shared" si="22"/>
        <v>0</v>
      </c>
      <c r="C130">
        <f t="shared" si="23"/>
        <v>0</v>
      </c>
      <c r="D130">
        <f t="shared" si="23"/>
        <v>0</v>
      </c>
      <c r="E130">
        <f t="shared" si="23"/>
        <v>0</v>
      </c>
      <c r="F130">
        <f t="shared" si="23"/>
        <v>0</v>
      </c>
      <c r="G130">
        <f t="shared" si="31"/>
        <v>0</v>
      </c>
      <c r="H130">
        <f t="shared" si="32"/>
        <v>0</v>
      </c>
      <c r="I130">
        <f t="shared" si="33"/>
        <v>0</v>
      </c>
      <c r="J130">
        <f t="shared" si="34"/>
        <v>0</v>
      </c>
      <c r="K130">
        <f t="shared" si="18"/>
        <v>0</v>
      </c>
      <c r="L130">
        <f t="shared" si="18"/>
        <v>0</v>
      </c>
      <c r="M130">
        <f t="shared" si="29"/>
        <v>0</v>
      </c>
      <c r="N130" t="e">
        <f t="shared" si="30"/>
        <v>#REF!</v>
      </c>
    </row>
    <row r="131" spans="1:14" x14ac:dyDescent="0.2">
      <c r="A131">
        <f t="shared" si="28"/>
        <v>12000000000</v>
      </c>
      <c r="B131">
        <f t="shared" si="22"/>
        <v>0</v>
      </c>
      <c r="C131">
        <f t="shared" si="23"/>
        <v>0</v>
      </c>
      <c r="D131">
        <f t="shared" si="23"/>
        <v>0</v>
      </c>
      <c r="E131">
        <f t="shared" si="23"/>
        <v>0</v>
      </c>
      <c r="F131">
        <f t="shared" si="23"/>
        <v>0</v>
      </c>
      <c r="G131">
        <f t="shared" si="31"/>
        <v>0</v>
      </c>
      <c r="H131">
        <f t="shared" si="32"/>
        <v>0</v>
      </c>
      <c r="I131">
        <f t="shared" si="33"/>
        <v>0</v>
      </c>
      <c r="J131">
        <f t="shared" si="34"/>
        <v>0</v>
      </c>
      <c r="K131">
        <f t="shared" si="18"/>
        <v>0</v>
      </c>
      <c r="L131">
        <f t="shared" si="18"/>
        <v>0</v>
      </c>
      <c r="M131">
        <f t="shared" si="29"/>
        <v>0</v>
      </c>
      <c r="N131" t="e">
        <f t="shared" si="30"/>
        <v>#REF!</v>
      </c>
    </row>
    <row r="132" spans="1:14" x14ac:dyDescent="0.2">
      <c r="A132">
        <f t="shared" si="28"/>
        <v>15000000000</v>
      </c>
      <c r="B132">
        <f t="shared" si="22"/>
        <v>0</v>
      </c>
      <c r="C132">
        <f t="shared" si="23"/>
        <v>0</v>
      </c>
      <c r="D132">
        <f t="shared" si="23"/>
        <v>0</v>
      </c>
      <c r="E132">
        <f t="shared" si="23"/>
        <v>0</v>
      </c>
      <c r="F132">
        <f t="shared" si="23"/>
        <v>0</v>
      </c>
      <c r="G132">
        <f t="shared" si="31"/>
        <v>0</v>
      </c>
      <c r="H132">
        <f t="shared" si="32"/>
        <v>0</v>
      </c>
      <c r="I132">
        <f t="shared" si="33"/>
        <v>0</v>
      </c>
      <c r="J132">
        <f t="shared" si="34"/>
        <v>0</v>
      </c>
      <c r="K132">
        <f t="shared" si="18"/>
        <v>0</v>
      </c>
      <c r="L132">
        <f t="shared" si="18"/>
        <v>0</v>
      </c>
      <c r="M132">
        <f t="shared" si="29"/>
        <v>0</v>
      </c>
      <c r="N132" t="e">
        <f t="shared" si="30"/>
        <v>#REF!</v>
      </c>
    </row>
    <row r="133" spans="1:14" x14ac:dyDescent="0.2">
      <c r="A133">
        <f t="shared" si="28"/>
        <v>18000000000</v>
      </c>
      <c r="B133">
        <f t="shared" si="22"/>
        <v>0</v>
      </c>
      <c r="C133">
        <f t="shared" si="23"/>
        <v>0</v>
      </c>
      <c r="D133">
        <f t="shared" si="23"/>
        <v>0</v>
      </c>
      <c r="E133">
        <f t="shared" si="23"/>
        <v>0</v>
      </c>
      <c r="F133">
        <f t="shared" si="23"/>
        <v>0</v>
      </c>
      <c r="G133">
        <f t="shared" si="31"/>
        <v>0</v>
      </c>
      <c r="H133">
        <f t="shared" si="32"/>
        <v>0</v>
      </c>
      <c r="I133">
        <f t="shared" si="33"/>
        <v>0</v>
      </c>
      <c r="J133">
        <f t="shared" si="34"/>
        <v>0</v>
      </c>
      <c r="K133">
        <f>IF(IF((K$3*10^12-$A134)*(K$3*10^12-$A133)*-1&lt;0,0,1)*IF(ABS(K$3*10^12-$A134)&gt;(K$3*10^12-$A133),$A133,$A134)=K134,0,IF((K$3*10^12-$A134)*(K$3*10^12-$A133)*-1&lt;0,0,1)*IF(ABS(K$3*10^12-$A134)&gt;(K$3*10^12-$A133),$A133,$A134))</f>
        <v>0</v>
      </c>
      <c r="L133">
        <f>IF(IF((L$3*10^12-$A134)*(L$3*10^12-$A133)*-1&lt;0,0,1)*IF(ABS(L$3*10^12-$A134)&gt;(L$3*10^12-$A133),$A133,$A134)=L134,0,IF((L$3*10^12-$A134)*(L$3*10^12-$A133)*-1&lt;0,0,1)*IF(ABS(L$3*10^12-$A134)&gt;(L$3*10^12-$A133),$A133,$A134))</f>
        <v>0</v>
      </c>
      <c r="M133">
        <f t="shared" si="29"/>
        <v>0</v>
      </c>
      <c r="N133" t="e">
        <f t="shared" si="30"/>
        <v>#REF!</v>
      </c>
    </row>
    <row r="134" spans="1:14" x14ac:dyDescent="0.2">
      <c r="A134">
        <f t="shared" si="28"/>
        <v>22000000000</v>
      </c>
      <c r="B134">
        <f t="shared" si="22"/>
        <v>0</v>
      </c>
      <c r="C134">
        <f t="shared" si="23"/>
        <v>0</v>
      </c>
      <c r="D134">
        <f t="shared" si="23"/>
        <v>0</v>
      </c>
      <c r="E134">
        <f t="shared" si="23"/>
        <v>0</v>
      </c>
      <c r="F134">
        <f t="shared" ref="F134:L159" si="35">IF(IF((F$3*10^12-$A135)*(F$3*10^12-$A134)*-1&lt;0,0,1)*IF(ABS(F$3*10^12-$A135)&gt;(F$3*10^12-$A134),$A134,$A135)=F135,0,IF((F$3*10^12-$A135)*(F$3*10^12-$A134)*-1&lt;0,0,1)*IF(ABS(F$3*10^12-$A135)&gt;(F$3*10^12-$A134),$A134,$A135))</f>
        <v>0</v>
      </c>
      <c r="G134">
        <f t="shared" si="31"/>
        <v>0</v>
      </c>
      <c r="H134">
        <f t="shared" si="32"/>
        <v>0</v>
      </c>
      <c r="I134">
        <f t="shared" si="33"/>
        <v>0</v>
      </c>
      <c r="J134">
        <f t="shared" si="34"/>
        <v>0</v>
      </c>
      <c r="K134">
        <f>IF(IF((K$3*10^12-$A135)*(K$3*10^12-$A134)*-1&lt;0,0,1)*IF(ABS(K$3*10^12-$A135)&gt;(K$3*10^12-$A134),$A134,$A135)=K135,0,IF((K$3*10^12-$A135)*(K$3*10^12-$A134)*-1&lt;0,0,1)*IF(ABS(K$3*10^12-$A135)&gt;(K$3*10^12-$A134),$A134,$A135))</f>
        <v>0</v>
      </c>
      <c r="L134">
        <f>IF(IF((L$3*10^12-$A135)*(L$3*10^12-$A134)*-1&lt;0,0,1)*IF(ABS(L$3*10^12-$A135)&gt;(L$3*10^12-$A134),$A134,$A135)=L135,0,IF((L$3*10^12-$A135)*(L$3*10^12-$A134)*-1&lt;0,0,1)*IF(ABS(L$3*10^12-$A135)&gt;(L$3*10^12-$A134),$A134,$A135))</f>
        <v>0</v>
      </c>
      <c r="M134">
        <f t="shared" ref="M134:M159" si="36">IF(IF((M$3*10^12-$A135)*(M$3*10^12-$A134)*-1&lt;0,0,1)*IF(ABS(M$3*10^12-$A135)&gt;(M$3*10^12-$A134),$A134,$A135)=M135,0,IF((M$3*10^12-$A135)*(M$3*10^12-$A134)*-1&lt;0,0,1)*IF(ABS(M$3*10^12-$A135)&gt;(M$3*10^12-$A134),$A134,$A135))</f>
        <v>0</v>
      </c>
      <c r="N134" t="e">
        <f t="shared" ref="N134:N159" si="37">IF(IF((N$3*10^12-$A135)*(N$3*10^12-$A134)*-1&lt;0,0,1)*IF(ABS(N$3*10^12-$A135)&gt;(N$3*10^12-$A134),$A134,$A135)=N135,0,IF((N$3*10^12-$A135)*(N$3*10^12-$A134)*-1&lt;0,0,1)*IF(ABS(N$3*10^12-$A135)&gt;(N$3*10^12-$A134),$A134,$A135))</f>
        <v>#REF!</v>
      </c>
    </row>
    <row r="135" spans="1:14" x14ac:dyDescent="0.2">
      <c r="A135">
        <f t="shared" si="28"/>
        <v>27000000000</v>
      </c>
      <c r="B135">
        <f t="shared" ref="B135:B159" si="38">IF(IF((B$3*10^12-$A136)*(B$3*10^12-$A135)*-1&lt;0,0,1)*IF(ABS(B$3*10^12-$A136)&gt;(B$3*10^12-$A135),$A135,$A136)=B136,0,IF((B$3*10^12-$A136)*(B$3*10^12-$A135)*-1&lt;0,0,1)*IF(ABS(B$3*10^12-$A136)&gt;(B$3*10^12-$A135),$A135,$A136))</f>
        <v>0</v>
      </c>
      <c r="C135">
        <f t="shared" ref="C135:E159" si="39">IF(IF((C$3*10^12-$A136)*(C$3*10^12-$A135)*-1&lt;0,0,1)*IF(ABS(C$3*10^12-$A136)&gt;(C$3*10^12-$A135),$A135,$A136)=C136,0,IF((C$3*10^12-$A136)*(C$3*10^12-$A135)*-1&lt;0,0,1)*IF(ABS(C$3*10^12-$A136)&gt;(C$3*10^12-$A135),$A135,$A136))</f>
        <v>0</v>
      </c>
      <c r="D135">
        <f t="shared" si="39"/>
        <v>0</v>
      </c>
      <c r="E135">
        <f t="shared" si="39"/>
        <v>0</v>
      </c>
      <c r="F135">
        <f t="shared" si="35"/>
        <v>0</v>
      </c>
      <c r="G135">
        <f t="shared" si="35"/>
        <v>0</v>
      </c>
      <c r="H135">
        <f t="shared" si="35"/>
        <v>0</v>
      </c>
      <c r="I135">
        <f t="shared" si="35"/>
        <v>0</v>
      </c>
      <c r="J135">
        <f t="shared" si="35"/>
        <v>0</v>
      </c>
      <c r="K135">
        <f t="shared" si="35"/>
        <v>0</v>
      </c>
      <c r="L135">
        <f t="shared" si="35"/>
        <v>0</v>
      </c>
      <c r="M135">
        <f t="shared" si="36"/>
        <v>0</v>
      </c>
      <c r="N135" t="e">
        <f t="shared" si="37"/>
        <v>#REF!</v>
      </c>
    </row>
    <row r="136" spans="1:14" x14ac:dyDescent="0.2">
      <c r="A136">
        <f t="shared" si="28"/>
        <v>33000000000</v>
      </c>
      <c r="B136">
        <f t="shared" si="38"/>
        <v>0</v>
      </c>
      <c r="C136">
        <f t="shared" si="39"/>
        <v>0</v>
      </c>
      <c r="D136">
        <f t="shared" si="39"/>
        <v>0</v>
      </c>
      <c r="E136">
        <f t="shared" si="39"/>
        <v>0</v>
      </c>
      <c r="F136">
        <f t="shared" si="35"/>
        <v>0</v>
      </c>
      <c r="G136">
        <f t="shared" si="35"/>
        <v>0</v>
      </c>
      <c r="H136">
        <f t="shared" si="35"/>
        <v>0</v>
      </c>
      <c r="I136">
        <f t="shared" si="35"/>
        <v>0</v>
      </c>
      <c r="J136">
        <f t="shared" si="35"/>
        <v>0</v>
      </c>
      <c r="K136">
        <f t="shared" si="35"/>
        <v>0</v>
      </c>
      <c r="L136">
        <f t="shared" si="35"/>
        <v>0</v>
      </c>
      <c r="M136">
        <f t="shared" si="36"/>
        <v>0</v>
      </c>
      <c r="N136" t="e">
        <f t="shared" si="37"/>
        <v>#REF!</v>
      </c>
    </row>
    <row r="137" spans="1:14" x14ac:dyDescent="0.2">
      <c r="A137">
        <f t="shared" si="28"/>
        <v>39000000000</v>
      </c>
      <c r="B137">
        <f t="shared" si="38"/>
        <v>0</v>
      </c>
      <c r="C137">
        <f t="shared" si="39"/>
        <v>0</v>
      </c>
      <c r="D137">
        <f t="shared" si="39"/>
        <v>0</v>
      </c>
      <c r="E137">
        <f t="shared" si="39"/>
        <v>0</v>
      </c>
      <c r="F137">
        <f t="shared" si="35"/>
        <v>0</v>
      </c>
      <c r="G137">
        <f t="shared" si="35"/>
        <v>0</v>
      </c>
      <c r="H137">
        <f t="shared" si="35"/>
        <v>0</v>
      </c>
      <c r="I137">
        <f t="shared" si="35"/>
        <v>0</v>
      </c>
      <c r="J137">
        <f t="shared" si="35"/>
        <v>0</v>
      </c>
      <c r="K137">
        <f t="shared" si="35"/>
        <v>0</v>
      </c>
      <c r="L137">
        <f t="shared" si="35"/>
        <v>0</v>
      </c>
      <c r="M137">
        <f t="shared" si="36"/>
        <v>0</v>
      </c>
      <c r="N137" t="e">
        <f t="shared" si="37"/>
        <v>#REF!</v>
      </c>
    </row>
    <row r="138" spans="1:14" x14ac:dyDescent="0.2">
      <c r="A138">
        <f t="shared" si="28"/>
        <v>47000000000</v>
      </c>
      <c r="B138">
        <f t="shared" si="38"/>
        <v>0</v>
      </c>
      <c r="C138">
        <f t="shared" si="39"/>
        <v>0</v>
      </c>
      <c r="D138">
        <f t="shared" si="39"/>
        <v>0</v>
      </c>
      <c r="E138">
        <f t="shared" si="39"/>
        <v>0</v>
      </c>
      <c r="F138">
        <f t="shared" si="35"/>
        <v>0</v>
      </c>
      <c r="G138">
        <f t="shared" si="35"/>
        <v>0</v>
      </c>
      <c r="H138">
        <f t="shared" si="35"/>
        <v>0</v>
      </c>
      <c r="I138">
        <f t="shared" si="35"/>
        <v>0</v>
      </c>
      <c r="J138">
        <f t="shared" si="35"/>
        <v>0</v>
      </c>
      <c r="K138">
        <f t="shared" si="35"/>
        <v>0</v>
      </c>
      <c r="L138">
        <f t="shared" si="35"/>
        <v>0</v>
      </c>
      <c r="M138">
        <f t="shared" si="36"/>
        <v>0</v>
      </c>
      <c r="N138" t="e">
        <f t="shared" si="37"/>
        <v>#REF!</v>
      </c>
    </row>
    <row r="139" spans="1:14" x14ac:dyDescent="0.2">
      <c r="A139">
        <f t="shared" si="28"/>
        <v>56000000000</v>
      </c>
      <c r="B139">
        <f t="shared" si="38"/>
        <v>0</v>
      </c>
      <c r="C139">
        <f t="shared" si="39"/>
        <v>0</v>
      </c>
      <c r="D139">
        <f t="shared" si="39"/>
        <v>0</v>
      </c>
      <c r="E139">
        <f t="shared" si="39"/>
        <v>0</v>
      </c>
      <c r="F139">
        <f t="shared" si="35"/>
        <v>0</v>
      </c>
      <c r="G139">
        <f t="shared" si="35"/>
        <v>0</v>
      </c>
      <c r="H139">
        <f t="shared" si="35"/>
        <v>0</v>
      </c>
      <c r="I139">
        <f t="shared" si="35"/>
        <v>0</v>
      </c>
      <c r="J139">
        <f t="shared" si="35"/>
        <v>0</v>
      </c>
      <c r="K139">
        <f t="shared" si="35"/>
        <v>0</v>
      </c>
      <c r="L139">
        <f t="shared" si="35"/>
        <v>0</v>
      </c>
      <c r="M139">
        <f t="shared" si="36"/>
        <v>0</v>
      </c>
      <c r="N139" t="e">
        <f t="shared" si="37"/>
        <v>#REF!</v>
      </c>
    </row>
    <row r="140" spans="1:14" x14ac:dyDescent="0.2">
      <c r="A140">
        <f t="shared" si="28"/>
        <v>68000000000</v>
      </c>
      <c r="B140">
        <f t="shared" si="38"/>
        <v>0</v>
      </c>
      <c r="C140">
        <f t="shared" si="39"/>
        <v>0</v>
      </c>
      <c r="D140">
        <f t="shared" si="39"/>
        <v>0</v>
      </c>
      <c r="E140">
        <f t="shared" si="39"/>
        <v>0</v>
      </c>
      <c r="F140">
        <f t="shared" si="35"/>
        <v>0</v>
      </c>
      <c r="G140">
        <f t="shared" si="35"/>
        <v>0</v>
      </c>
      <c r="H140">
        <f t="shared" si="35"/>
        <v>0</v>
      </c>
      <c r="I140">
        <f t="shared" si="35"/>
        <v>0</v>
      </c>
      <c r="J140">
        <f t="shared" si="35"/>
        <v>0</v>
      </c>
      <c r="K140">
        <f t="shared" si="35"/>
        <v>0</v>
      </c>
      <c r="L140">
        <f t="shared" si="35"/>
        <v>0</v>
      </c>
      <c r="M140">
        <f t="shared" si="36"/>
        <v>0</v>
      </c>
      <c r="N140" t="e">
        <f t="shared" si="37"/>
        <v>#REF!</v>
      </c>
    </row>
    <row r="141" spans="1:14" x14ac:dyDescent="0.2">
      <c r="A141">
        <f t="shared" si="28"/>
        <v>82000000000</v>
      </c>
      <c r="B141">
        <f t="shared" si="38"/>
        <v>0</v>
      </c>
      <c r="C141">
        <f t="shared" si="39"/>
        <v>0</v>
      </c>
      <c r="D141">
        <f t="shared" si="39"/>
        <v>0</v>
      </c>
      <c r="E141">
        <f t="shared" si="39"/>
        <v>0</v>
      </c>
      <c r="F141">
        <f t="shared" si="35"/>
        <v>0</v>
      </c>
      <c r="G141">
        <f t="shared" si="35"/>
        <v>0</v>
      </c>
      <c r="H141">
        <f t="shared" si="35"/>
        <v>0</v>
      </c>
      <c r="I141">
        <f t="shared" si="35"/>
        <v>0</v>
      </c>
      <c r="J141">
        <f t="shared" si="35"/>
        <v>0</v>
      </c>
      <c r="K141">
        <f t="shared" si="35"/>
        <v>0</v>
      </c>
      <c r="L141">
        <f t="shared" si="35"/>
        <v>0</v>
      </c>
      <c r="M141">
        <f t="shared" si="36"/>
        <v>0</v>
      </c>
      <c r="N141" t="e">
        <f t="shared" si="37"/>
        <v>#REF!</v>
      </c>
    </row>
    <row r="142" spans="1:14" x14ac:dyDescent="0.2">
      <c r="A142">
        <f t="shared" si="28"/>
        <v>100000000000</v>
      </c>
      <c r="B142">
        <f t="shared" si="38"/>
        <v>0</v>
      </c>
      <c r="C142">
        <f t="shared" si="39"/>
        <v>0</v>
      </c>
      <c r="D142">
        <f t="shared" si="39"/>
        <v>0</v>
      </c>
      <c r="E142">
        <f t="shared" si="39"/>
        <v>0</v>
      </c>
      <c r="F142">
        <f t="shared" si="35"/>
        <v>0</v>
      </c>
      <c r="G142">
        <f t="shared" si="35"/>
        <v>0</v>
      </c>
      <c r="H142">
        <f t="shared" si="35"/>
        <v>0</v>
      </c>
      <c r="I142">
        <f t="shared" si="35"/>
        <v>0</v>
      </c>
      <c r="J142">
        <f t="shared" si="35"/>
        <v>0</v>
      </c>
      <c r="K142">
        <f t="shared" si="35"/>
        <v>0</v>
      </c>
      <c r="L142">
        <f t="shared" si="35"/>
        <v>0</v>
      </c>
      <c r="M142">
        <f t="shared" si="36"/>
        <v>0</v>
      </c>
      <c r="N142" t="e">
        <f t="shared" si="37"/>
        <v>#REF!</v>
      </c>
    </row>
    <row r="143" spans="1:14" x14ac:dyDescent="0.2">
      <c r="A143">
        <f t="shared" si="28"/>
        <v>120000000000</v>
      </c>
      <c r="B143">
        <f t="shared" si="38"/>
        <v>0</v>
      </c>
      <c r="C143">
        <f t="shared" si="39"/>
        <v>0</v>
      </c>
      <c r="D143">
        <f t="shared" si="39"/>
        <v>0</v>
      </c>
      <c r="E143">
        <f t="shared" si="39"/>
        <v>0</v>
      </c>
      <c r="F143">
        <f t="shared" si="35"/>
        <v>0</v>
      </c>
      <c r="G143">
        <f t="shared" si="35"/>
        <v>0</v>
      </c>
      <c r="H143">
        <f t="shared" si="35"/>
        <v>0</v>
      </c>
      <c r="I143">
        <f t="shared" si="35"/>
        <v>0</v>
      </c>
      <c r="J143">
        <f t="shared" si="35"/>
        <v>0</v>
      </c>
      <c r="K143">
        <f t="shared" si="35"/>
        <v>0</v>
      </c>
      <c r="L143">
        <f t="shared" si="35"/>
        <v>0</v>
      </c>
      <c r="M143">
        <f t="shared" si="36"/>
        <v>0</v>
      </c>
      <c r="N143" t="e">
        <f t="shared" si="37"/>
        <v>#REF!</v>
      </c>
    </row>
    <row r="144" spans="1:14" x14ac:dyDescent="0.2">
      <c r="A144">
        <f t="shared" si="28"/>
        <v>150000000000</v>
      </c>
      <c r="B144">
        <f t="shared" si="38"/>
        <v>0</v>
      </c>
      <c r="C144">
        <f t="shared" si="39"/>
        <v>0</v>
      </c>
      <c r="D144">
        <f t="shared" si="39"/>
        <v>0</v>
      </c>
      <c r="E144">
        <f t="shared" si="39"/>
        <v>0</v>
      </c>
      <c r="F144">
        <f t="shared" si="35"/>
        <v>0</v>
      </c>
      <c r="G144">
        <f t="shared" si="35"/>
        <v>0</v>
      </c>
      <c r="H144">
        <f t="shared" si="35"/>
        <v>0</v>
      </c>
      <c r="I144">
        <f t="shared" si="35"/>
        <v>0</v>
      </c>
      <c r="J144">
        <f t="shared" si="35"/>
        <v>0</v>
      </c>
      <c r="K144">
        <f t="shared" si="35"/>
        <v>0</v>
      </c>
      <c r="L144">
        <f t="shared" si="35"/>
        <v>0</v>
      </c>
      <c r="M144">
        <f t="shared" si="36"/>
        <v>0</v>
      </c>
      <c r="N144" t="e">
        <f t="shared" si="37"/>
        <v>#REF!</v>
      </c>
    </row>
    <row r="145" spans="1:14" x14ac:dyDescent="0.2">
      <c r="A145">
        <f t="shared" si="28"/>
        <v>180000000000</v>
      </c>
      <c r="B145">
        <f t="shared" si="38"/>
        <v>0</v>
      </c>
      <c r="C145">
        <f t="shared" si="39"/>
        <v>0</v>
      </c>
      <c r="D145">
        <f t="shared" si="39"/>
        <v>0</v>
      </c>
      <c r="E145">
        <f t="shared" si="39"/>
        <v>0</v>
      </c>
      <c r="F145">
        <f t="shared" si="35"/>
        <v>0</v>
      </c>
      <c r="G145">
        <f t="shared" si="35"/>
        <v>0</v>
      </c>
      <c r="H145">
        <f t="shared" si="35"/>
        <v>0</v>
      </c>
      <c r="I145">
        <f t="shared" si="35"/>
        <v>0</v>
      </c>
      <c r="J145">
        <f t="shared" si="35"/>
        <v>0</v>
      </c>
      <c r="K145">
        <f t="shared" si="35"/>
        <v>0</v>
      </c>
      <c r="L145">
        <f t="shared" si="35"/>
        <v>0</v>
      </c>
      <c r="M145">
        <f t="shared" si="36"/>
        <v>0</v>
      </c>
      <c r="N145" t="e">
        <f t="shared" si="37"/>
        <v>#REF!</v>
      </c>
    </row>
    <row r="146" spans="1:14" x14ac:dyDescent="0.2">
      <c r="A146">
        <f t="shared" si="28"/>
        <v>220000000000</v>
      </c>
      <c r="B146">
        <f t="shared" si="38"/>
        <v>0</v>
      </c>
      <c r="C146">
        <f t="shared" si="39"/>
        <v>0</v>
      </c>
      <c r="D146">
        <f t="shared" si="39"/>
        <v>0</v>
      </c>
      <c r="E146">
        <f t="shared" si="39"/>
        <v>0</v>
      </c>
      <c r="F146">
        <f t="shared" si="35"/>
        <v>0</v>
      </c>
      <c r="G146">
        <f t="shared" si="35"/>
        <v>0</v>
      </c>
      <c r="H146">
        <f t="shared" si="35"/>
        <v>0</v>
      </c>
      <c r="I146">
        <f t="shared" si="35"/>
        <v>0</v>
      </c>
      <c r="J146">
        <f t="shared" si="35"/>
        <v>0</v>
      </c>
      <c r="K146">
        <f t="shared" si="35"/>
        <v>0</v>
      </c>
      <c r="L146">
        <f t="shared" si="35"/>
        <v>0</v>
      </c>
      <c r="M146">
        <f t="shared" si="36"/>
        <v>0</v>
      </c>
      <c r="N146" t="e">
        <f t="shared" si="37"/>
        <v>#REF!</v>
      </c>
    </row>
    <row r="147" spans="1:14" x14ac:dyDescent="0.2">
      <c r="A147">
        <f t="shared" si="28"/>
        <v>270000000000</v>
      </c>
      <c r="B147">
        <f t="shared" si="38"/>
        <v>0</v>
      </c>
      <c r="C147">
        <f t="shared" si="39"/>
        <v>0</v>
      </c>
      <c r="D147">
        <f t="shared" si="39"/>
        <v>0</v>
      </c>
      <c r="E147">
        <f t="shared" si="39"/>
        <v>0</v>
      </c>
      <c r="F147">
        <f t="shared" si="35"/>
        <v>0</v>
      </c>
      <c r="G147">
        <f t="shared" si="35"/>
        <v>0</v>
      </c>
      <c r="H147">
        <f t="shared" si="35"/>
        <v>0</v>
      </c>
      <c r="I147">
        <f t="shared" si="35"/>
        <v>0</v>
      </c>
      <c r="J147">
        <f t="shared" si="35"/>
        <v>0</v>
      </c>
      <c r="K147">
        <f t="shared" si="35"/>
        <v>0</v>
      </c>
      <c r="L147">
        <f t="shared" si="35"/>
        <v>0</v>
      </c>
      <c r="M147">
        <f t="shared" si="36"/>
        <v>0</v>
      </c>
      <c r="N147" t="e">
        <f t="shared" si="37"/>
        <v>#REF!</v>
      </c>
    </row>
    <row r="148" spans="1:14" x14ac:dyDescent="0.2">
      <c r="A148">
        <f t="shared" si="28"/>
        <v>330000000000</v>
      </c>
      <c r="B148">
        <f t="shared" si="38"/>
        <v>0</v>
      </c>
      <c r="C148">
        <f t="shared" si="39"/>
        <v>0</v>
      </c>
      <c r="D148">
        <f t="shared" si="39"/>
        <v>0</v>
      </c>
      <c r="E148">
        <f t="shared" si="39"/>
        <v>0</v>
      </c>
      <c r="F148">
        <f t="shared" si="35"/>
        <v>0</v>
      </c>
      <c r="G148">
        <f t="shared" si="35"/>
        <v>0</v>
      </c>
      <c r="H148">
        <f t="shared" si="35"/>
        <v>0</v>
      </c>
      <c r="I148">
        <f t="shared" si="35"/>
        <v>0</v>
      </c>
      <c r="J148">
        <f t="shared" si="35"/>
        <v>0</v>
      </c>
      <c r="K148">
        <f t="shared" si="35"/>
        <v>0</v>
      </c>
      <c r="L148">
        <f t="shared" si="35"/>
        <v>0</v>
      </c>
      <c r="M148">
        <f t="shared" si="36"/>
        <v>0</v>
      </c>
      <c r="N148" t="e">
        <f t="shared" si="37"/>
        <v>#REF!</v>
      </c>
    </row>
    <row r="149" spans="1:14" x14ac:dyDescent="0.2">
      <c r="A149">
        <f t="shared" si="28"/>
        <v>390000000000</v>
      </c>
      <c r="B149">
        <f t="shared" si="38"/>
        <v>0</v>
      </c>
      <c r="C149">
        <f t="shared" si="39"/>
        <v>0</v>
      </c>
      <c r="D149">
        <f t="shared" si="39"/>
        <v>0</v>
      </c>
      <c r="E149">
        <f t="shared" si="39"/>
        <v>0</v>
      </c>
      <c r="F149">
        <f t="shared" si="35"/>
        <v>0</v>
      </c>
      <c r="G149">
        <f t="shared" si="35"/>
        <v>0</v>
      </c>
      <c r="H149">
        <f t="shared" si="35"/>
        <v>0</v>
      </c>
      <c r="I149">
        <f t="shared" si="35"/>
        <v>0</v>
      </c>
      <c r="J149">
        <f t="shared" si="35"/>
        <v>0</v>
      </c>
      <c r="K149">
        <f t="shared" si="35"/>
        <v>0</v>
      </c>
      <c r="L149">
        <f t="shared" si="35"/>
        <v>0</v>
      </c>
      <c r="M149">
        <f t="shared" si="36"/>
        <v>0</v>
      </c>
      <c r="N149" t="e">
        <f t="shared" si="37"/>
        <v>#REF!</v>
      </c>
    </row>
    <row r="150" spans="1:14" x14ac:dyDescent="0.2">
      <c r="A150">
        <f t="shared" si="28"/>
        <v>470000000000</v>
      </c>
      <c r="B150">
        <f t="shared" si="38"/>
        <v>0</v>
      </c>
      <c r="C150">
        <f t="shared" si="39"/>
        <v>0</v>
      </c>
      <c r="D150">
        <f t="shared" si="39"/>
        <v>0</v>
      </c>
      <c r="E150">
        <f t="shared" si="39"/>
        <v>0</v>
      </c>
      <c r="F150">
        <f t="shared" si="35"/>
        <v>0</v>
      </c>
      <c r="G150">
        <f t="shared" si="35"/>
        <v>0</v>
      </c>
      <c r="H150">
        <f t="shared" si="35"/>
        <v>0</v>
      </c>
      <c r="I150">
        <f t="shared" si="35"/>
        <v>0</v>
      </c>
      <c r="J150">
        <f t="shared" si="35"/>
        <v>0</v>
      </c>
      <c r="K150">
        <f t="shared" si="35"/>
        <v>0</v>
      </c>
      <c r="L150">
        <f t="shared" si="35"/>
        <v>0</v>
      </c>
      <c r="M150">
        <f t="shared" si="36"/>
        <v>0</v>
      </c>
      <c r="N150" t="e">
        <f t="shared" si="37"/>
        <v>#REF!</v>
      </c>
    </row>
    <row r="151" spans="1:14" x14ac:dyDescent="0.2">
      <c r="A151">
        <f t="shared" si="28"/>
        <v>560000000000</v>
      </c>
      <c r="B151">
        <f t="shared" si="38"/>
        <v>0</v>
      </c>
      <c r="C151">
        <f t="shared" si="39"/>
        <v>0</v>
      </c>
      <c r="D151">
        <f t="shared" si="39"/>
        <v>0</v>
      </c>
      <c r="E151">
        <f t="shared" si="39"/>
        <v>0</v>
      </c>
      <c r="F151">
        <f t="shared" si="35"/>
        <v>0</v>
      </c>
      <c r="G151">
        <f t="shared" si="35"/>
        <v>0</v>
      </c>
      <c r="H151">
        <f t="shared" si="35"/>
        <v>0</v>
      </c>
      <c r="I151">
        <f t="shared" si="35"/>
        <v>0</v>
      </c>
      <c r="J151">
        <f t="shared" si="35"/>
        <v>0</v>
      </c>
      <c r="K151">
        <f t="shared" si="35"/>
        <v>0</v>
      </c>
      <c r="L151">
        <f t="shared" si="35"/>
        <v>0</v>
      </c>
      <c r="M151">
        <f t="shared" si="36"/>
        <v>0</v>
      </c>
      <c r="N151" t="e">
        <f t="shared" si="37"/>
        <v>#REF!</v>
      </c>
    </row>
    <row r="152" spans="1:14" x14ac:dyDescent="0.2">
      <c r="A152">
        <f t="shared" si="28"/>
        <v>680000000000</v>
      </c>
      <c r="B152">
        <f t="shared" si="38"/>
        <v>0</v>
      </c>
      <c r="C152">
        <f t="shared" si="39"/>
        <v>0</v>
      </c>
      <c r="D152">
        <f t="shared" si="39"/>
        <v>0</v>
      </c>
      <c r="E152">
        <f t="shared" si="39"/>
        <v>0</v>
      </c>
      <c r="F152">
        <f t="shared" si="35"/>
        <v>0</v>
      </c>
      <c r="G152">
        <f t="shared" si="35"/>
        <v>0</v>
      </c>
      <c r="H152">
        <f t="shared" si="35"/>
        <v>0</v>
      </c>
      <c r="I152">
        <f t="shared" si="35"/>
        <v>0</v>
      </c>
      <c r="J152">
        <f t="shared" si="35"/>
        <v>0</v>
      </c>
      <c r="K152">
        <f t="shared" si="35"/>
        <v>0</v>
      </c>
      <c r="L152">
        <f t="shared" si="35"/>
        <v>0</v>
      </c>
      <c r="M152">
        <f t="shared" si="36"/>
        <v>0</v>
      </c>
      <c r="N152" t="e">
        <f t="shared" si="37"/>
        <v>#REF!</v>
      </c>
    </row>
    <row r="153" spans="1:14" x14ac:dyDescent="0.2">
      <c r="A153">
        <f t="shared" si="28"/>
        <v>820000000000</v>
      </c>
      <c r="B153">
        <f t="shared" si="38"/>
        <v>0</v>
      </c>
      <c r="C153">
        <f t="shared" si="39"/>
        <v>0</v>
      </c>
      <c r="D153">
        <f t="shared" si="39"/>
        <v>0</v>
      </c>
      <c r="E153">
        <f t="shared" si="39"/>
        <v>0</v>
      </c>
      <c r="F153">
        <f t="shared" si="35"/>
        <v>0</v>
      </c>
      <c r="G153">
        <f t="shared" si="35"/>
        <v>0</v>
      </c>
      <c r="H153">
        <f t="shared" si="35"/>
        <v>0</v>
      </c>
      <c r="I153">
        <f t="shared" si="35"/>
        <v>0</v>
      </c>
      <c r="J153">
        <f t="shared" si="35"/>
        <v>0</v>
      </c>
      <c r="K153">
        <f t="shared" si="35"/>
        <v>0</v>
      </c>
      <c r="L153">
        <f t="shared" si="35"/>
        <v>0</v>
      </c>
      <c r="M153">
        <f t="shared" si="36"/>
        <v>0</v>
      </c>
      <c r="N153" t="e">
        <f t="shared" si="37"/>
        <v>#REF!</v>
      </c>
    </row>
    <row r="154" spans="1:14" x14ac:dyDescent="0.2">
      <c r="A154">
        <f t="shared" si="28"/>
        <v>1000000000000</v>
      </c>
      <c r="B154">
        <f t="shared" si="38"/>
        <v>0</v>
      </c>
      <c r="C154">
        <f t="shared" si="39"/>
        <v>0</v>
      </c>
      <c r="D154">
        <f t="shared" si="39"/>
        <v>0</v>
      </c>
      <c r="E154">
        <f t="shared" si="39"/>
        <v>0</v>
      </c>
      <c r="F154">
        <f t="shared" si="35"/>
        <v>0</v>
      </c>
      <c r="G154">
        <f t="shared" si="35"/>
        <v>0</v>
      </c>
      <c r="H154">
        <f t="shared" si="35"/>
        <v>0</v>
      </c>
      <c r="I154">
        <f t="shared" si="35"/>
        <v>0</v>
      </c>
      <c r="J154">
        <f t="shared" si="35"/>
        <v>0</v>
      </c>
      <c r="K154">
        <f t="shared" si="35"/>
        <v>0</v>
      </c>
      <c r="L154">
        <f t="shared" si="35"/>
        <v>0</v>
      </c>
      <c r="M154">
        <f t="shared" si="36"/>
        <v>0</v>
      </c>
      <c r="N154" t="e">
        <f t="shared" si="37"/>
        <v>#REF!</v>
      </c>
    </row>
    <row r="155" spans="1:14" x14ac:dyDescent="0.2">
      <c r="A155">
        <f t="shared" si="28"/>
        <v>1200000000000</v>
      </c>
      <c r="B155">
        <f t="shared" si="38"/>
        <v>0</v>
      </c>
      <c r="C155">
        <f t="shared" si="39"/>
        <v>0</v>
      </c>
      <c r="D155">
        <f t="shared" si="39"/>
        <v>0</v>
      </c>
      <c r="E155">
        <f t="shared" si="39"/>
        <v>0</v>
      </c>
      <c r="F155">
        <f t="shared" si="35"/>
        <v>0</v>
      </c>
      <c r="G155">
        <f t="shared" si="35"/>
        <v>0</v>
      </c>
      <c r="H155">
        <f t="shared" si="35"/>
        <v>0</v>
      </c>
      <c r="I155">
        <f t="shared" si="35"/>
        <v>0</v>
      </c>
      <c r="J155">
        <f t="shared" si="35"/>
        <v>0</v>
      </c>
      <c r="K155">
        <f t="shared" si="35"/>
        <v>0</v>
      </c>
      <c r="L155">
        <f t="shared" si="35"/>
        <v>0</v>
      </c>
      <c r="M155">
        <f t="shared" si="36"/>
        <v>0</v>
      </c>
      <c r="N155" t="e">
        <f t="shared" si="37"/>
        <v>#REF!</v>
      </c>
    </row>
    <row r="156" spans="1:14" x14ac:dyDescent="0.2">
      <c r="A156">
        <f t="shared" si="28"/>
        <v>1500000000000</v>
      </c>
      <c r="B156">
        <f t="shared" si="38"/>
        <v>0</v>
      </c>
      <c r="C156">
        <f t="shared" si="39"/>
        <v>0</v>
      </c>
      <c r="D156">
        <f t="shared" si="39"/>
        <v>0</v>
      </c>
      <c r="E156">
        <f t="shared" si="39"/>
        <v>0</v>
      </c>
      <c r="F156">
        <f t="shared" si="35"/>
        <v>0</v>
      </c>
      <c r="G156">
        <f t="shared" si="35"/>
        <v>0</v>
      </c>
      <c r="H156">
        <f t="shared" si="35"/>
        <v>0</v>
      </c>
      <c r="I156">
        <f t="shared" si="35"/>
        <v>0</v>
      </c>
      <c r="J156">
        <f t="shared" si="35"/>
        <v>0</v>
      </c>
      <c r="K156">
        <f t="shared" si="35"/>
        <v>0</v>
      </c>
      <c r="L156">
        <f t="shared" si="35"/>
        <v>0</v>
      </c>
      <c r="M156">
        <f t="shared" si="36"/>
        <v>0</v>
      </c>
      <c r="N156" t="e">
        <f t="shared" si="37"/>
        <v>#REF!</v>
      </c>
    </row>
    <row r="157" spans="1:14" x14ac:dyDescent="0.2">
      <c r="A157">
        <f t="shared" si="28"/>
        <v>1800000000000</v>
      </c>
      <c r="B157">
        <f t="shared" si="38"/>
        <v>0</v>
      </c>
      <c r="C157">
        <f t="shared" si="39"/>
        <v>0</v>
      </c>
      <c r="D157">
        <f t="shared" si="39"/>
        <v>0</v>
      </c>
      <c r="E157">
        <f t="shared" si="39"/>
        <v>0</v>
      </c>
      <c r="F157">
        <f t="shared" si="35"/>
        <v>0</v>
      </c>
      <c r="G157">
        <f t="shared" si="35"/>
        <v>0</v>
      </c>
      <c r="H157">
        <f t="shared" si="35"/>
        <v>0</v>
      </c>
      <c r="I157">
        <f t="shared" si="35"/>
        <v>0</v>
      </c>
      <c r="J157">
        <f t="shared" si="35"/>
        <v>0</v>
      </c>
      <c r="K157">
        <f t="shared" si="35"/>
        <v>0</v>
      </c>
      <c r="L157">
        <f t="shared" si="35"/>
        <v>0</v>
      </c>
      <c r="M157">
        <f t="shared" si="36"/>
        <v>0</v>
      </c>
      <c r="N157" t="e">
        <f t="shared" si="37"/>
        <v>#REF!</v>
      </c>
    </row>
    <row r="158" spans="1:14" x14ac:dyDescent="0.2">
      <c r="A158">
        <f t="shared" si="28"/>
        <v>2200000000000</v>
      </c>
      <c r="B158">
        <f t="shared" si="38"/>
        <v>0</v>
      </c>
      <c r="C158">
        <f t="shared" si="39"/>
        <v>0</v>
      </c>
      <c r="D158">
        <f t="shared" si="39"/>
        <v>0</v>
      </c>
      <c r="E158">
        <f t="shared" si="39"/>
        <v>0</v>
      </c>
      <c r="F158">
        <f t="shared" si="35"/>
        <v>0</v>
      </c>
      <c r="G158">
        <f t="shared" si="35"/>
        <v>0</v>
      </c>
      <c r="H158">
        <f t="shared" si="35"/>
        <v>0</v>
      </c>
      <c r="I158">
        <f t="shared" si="35"/>
        <v>0</v>
      </c>
      <c r="J158">
        <f t="shared" si="35"/>
        <v>0</v>
      </c>
      <c r="K158">
        <f t="shared" si="35"/>
        <v>0</v>
      </c>
      <c r="L158">
        <f t="shared" si="35"/>
        <v>0</v>
      </c>
      <c r="M158">
        <f t="shared" si="36"/>
        <v>0</v>
      </c>
      <c r="N158" t="e">
        <f t="shared" si="37"/>
        <v>#REF!</v>
      </c>
    </row>
    <row r="159" spans="1:14" x14ac:dyDescent="0.2">
      <c r="A159" s="53">
        <f t="shared" si="28"/>
        <v>2700000000000</v>
      </c>
      <c r="B159">
        <f t="shared" si="38"/>
        <v>2700000000000</v>
      </c>
      <c r="C159">
        <f t="shared" si="39"/>
        <v>2700000000000</v>
      </c>
      <c r="D159">
        <f t="shared" si="39"/>
        <v>2700000000000</v>
      </c>
      <c r="E159">
        <f t="shared" si="39"/>
        <v>2700000000000</v>
      </c>
      <c r="F159">
        <f t="shared" si="35"/>
        <v>2700000000000</v>
      </c>
      <c r="G159">
        <f t="shared" si="35"/>
        <v>2700000000000</v>
      </c>
      <c r="H159">
        <f t="shared" si="35"/>
        <v>2700000000000</v>
      </c>
      <c r="I159">
        <f t="shared" si="35"/>
        <v>2700000000000</v>
      </c>
      <c r="J159">
        <f t="shared" si="35"/>
        <v>2700000000000</v>
      </c>
      <c r="K159">
        <f t="shared" si="35"/>
        <v>0</v>
      </c>
      <c r="L159">
        <f t="shared" si="35"/>
        <v>2700000000000</v>
      </c>
      <c r="M159">
        <f t="shared" si="36"/>
        <v>2700000000000</v>
      </c>
      <c r="N159" t="e">
        <f t="shared" si="37"/>
        <v>#REF!</v>
      </c>
    </row>
  </sheetData>
  <phoneticPr fontId="5" type="noConversion"/>
  <pageMargins left="0.75" right="0.75" top="1" bottom="1" header="0.5" footer="0.5"/>
  <pageSetup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7"/>
  <dimension ref="A1:CC692"/>
  <sheetViews>
    <sheetView topLeftCell="A663" workbookViewId="0">
      <selection activeCell="B691" sqref="B691:B692"/>
    </sheetView>
  </sheetViews>
  <sheetFormatPr defaultRowHeight="12.75" x14ac:dyDescent="0.2"/>
  <cols>
    <col min="1" max="1" width="10.42578125" customWidth="1"/>
    <col min="2" max="2" width="10" bestFit="1" customWidth="1"/>
    <col min="4" max="4" width="12.42578125" bestFit="1" customWidth="1"/>
    <col min="7" max="7" width="11.140625" customWidth="1"/>
    <col min="8" max="8" width="13.140625" bestFit="1" customWidth="1"/>
    <col min="13" max="14" width="12.42578125" bestFit="1" customWidth="1"/>
    <col min="16" max="16" width="12.42578125" bestFit="1" customWidth="1"/>
    <col min="18" max="18" width="13.140625" bestFit="1" customWidth="1"/>
    <col min="20" max="20" width="13.140625" bestFit="1" customWidth="1"/>
    <col min="22" max="22" width="13.140625" bestFit="1" customWidth="1"/>
    <col min="24" max="24" width="13.85546875" bestFit="1" customWidth="1"/>
    <col min="25" max="25" width="12.5703125" bestFit="1" customWidth="1"/>
    <col min="26" max="26" width="12.42578125" bestFit="1" customWidth="1"/>
    <col min="28" max="28" width="3.140625" style="6" customWidth="1"/>
    <col min="29" max="32" width="8.5703125" customWidth="1"/>
    <col min="33" max="33" width="13.140625" bestFit="1" customWidth="1"/>
    <col min="34" max="34" width="9.5703125" bestFit="1" customWidth="1"/>
    <col min="35" max="35" width="10" bestFit="1" customWidth="1"/>
    <col min="36" max="39" width="8.85546875" customWidth="1"/>
    <col min="43" max="43" width="12.42578125" bestFit="1" customWidth="1"/>
    <col min="45" max="46" width="12.42578125" bestFit="1" customWidth="1"/>
    <col min="47" max="47" width="13.140625" bestFit="1" customWidth="1"/>
    <col min="49" max="49" width="13.140625" bestFit="1" customWidth="1"/>
    <col min="50" max="50" width="11" bestFit="1" customWidth="1"/>
    <col min="54" max="54" width="12.42578125" customWidth="1"/>
    <col min="55" max="55" width="10.140625" customWidth="1"/>
    <col min="58" max="58" width="11" customWidth="1"/>
    <col min="59" max="59" width="13" customWidth="1"/>
    <col min="60" max="60" width="16.85546875" customWidth="1"/>
    <col min="62" max="62" width="12.28515625" customWidth="1"/>
    <col min="66" max="66" width="13.140625" bestFit="1" customWidth="1"/>
    <col min="72" max="72" width="10.5703125" customWidth="1"/>
  </cols>
  <sheetData>
    <row r="1" spans="1:81" ht="38.25" customHeight="1" x14ac:dyDescent="0.4">
      <c r="A1" s="564" t="s">
        <v>45</v>
      </c>
      <c r="B1" s="564"/>
      <c r="C1" s="564"/>
      <c r="D1" s="564"/>
      <c r="E1" s="564"/>
      <c r="F1" s="564"/>
      <c r="G1" s="564"/>
      <c r="AC1" s="8" t="s">
        <v>106</v>
      </c>
      <c r="AD1" s="5"/>
      <c r="AE1" s="5"/>
      <c r="AF1" s="5"/>
      <c r="AG1" s="5"/>
    </row>
    <row r="3" spans="1:81" x14ac:dyDescent="0.2">
      <c r="AT3">
        <f>AT9/10000000000000</f>
        <v>-4.3293885171643381E-6</v>
      </c>
      <c r="AU3">
        <f>AU9/10000000000000</f>
        <v>-4.0621389653893863E-3</v>
      </c>
    </row>
    <row r="4" spans="1:81" x14ac:dyDescent="0.2">
      <c r="AT4">
        <f>AT3*1000</f>
        <v>-4.3293885171643383E-3</v>
      </c>
      <c r="AU4">
        <f>AU3*1000</f>
        <v>-4.0621389653893862</v>
      </c>
      <c r="BJ4" s="5" t="s">
        <v>111</v>
      </c>
      <c r="BK4" s="5"/>
    </row>
    <row r="5" spans="1:81" x14ac:dyDescent="0.2">
      <c r="AC5" t="s">
        <v>93</v>
      </c>
      <c r="AD5" t="s">
        <v>94</v>
      </c>
      <c r="AE5" t="s">
        <v>95</v>
      </c>
      <c r="AF5" t="s">
        <v>96</v>
      </c>
      <c r="AJ5" t="s">
        <v>93</v>
      </c>
      <c r="AK5" t="s">
        <v>94</v>
      </c>
      <c r="AL5" t="s">
        <v>95</v>
      </c>
      <c r="AM5" t="s">
        <v>96</v>
      </c>
      <c r="BJ5" t="s">
        <v>84</v>
      </c>
      <c r="BK5">
        <f>SUM(BJ9:BJ626)/1000</f>
        <v>40.5</v>
      </c>
    </row>
    <row r="6" spans="1:81" x14ac:dyDescent="0.2">
      <c r="C6" s="565" t="s">
        <v>46</v>
      </c>
      <c r="D6" s="565"/>
      <c r="E6" s="565"/>
      <c r="F6" s="565"/>
      <c r="G6" s="565"/>
      <c r="H6" s="565"/>
      <c r="J6" s="7" t="s">
        <v>76</v>
      </c>
      <c r="M6" s="7" t="s">
        <v>37</v>
      </c>
      <c r="N6" s="5"/>
      <c r="O6" s="5"/>
      <c r="P6" s="5"/>
      <c r="Q6" s="5"/>
      <c r="R6" s="5"/>
      <c r="S6" s="5"/>
      <c r="T6" s="5"/>
      <c r="U6" s="5"/>
      <c r="V6" s="5"/>
      <c r="X6" s="7" t="s">
        <v>105</v>
      </c>
      <c r="Y6" s="5"/>
      <c r="Z6" s="5"/>
      <c r="AC6" s="5" t="s">
        <v>86</v>
      </c>
      <c r="AD6" s="5"/>
      <c r="AE6" s="5"/>
      <c r="AF6" s="5"/>
      <c r="AG6" s="5"/>
      <c r="AH6" s="5"/>
      <c r="AJ6" s="5" t="s">
        <v>87</v>
      </c>
      <c r="AK6" s="5"/>
      <c r="AL6" s="5"/>
      <c r="AM6" s="5"/>
      <c r="AN6" s="5"/>
      <c r="AO6" s="5"/>
      <c r="AQ6" s="5" t="s">
        <v>107</v>
      </c>
      <c r="AR6" s="5"/>
      <c r="AT6" s="5" t="s">
        <v>108</v>
      </c>
      <c r="AU6" s="5"/>
      <c r="AV6" s="5"/>
      <c r="AW6" s="5"/>
      <c r="AX6" s="5"/>
      <c r="AY6" s="5"/>
      <c r="BA6" s="5" t="s">
        <v>109</v>
      </c>
      <c r="BB6" s="5"/>
      <c r="BC6" s="5"/>
      <c r="BF6" s="5" t="s">
        <v>333</v>
      </c>
      <c r="BG6" s="5"/>
      <c r="BH6" s="5"/>
      <c r="BJ6" t="s">
        <v>85</v>
      </c>
      <c r="BK6" s="4">
        <f>SUM(BK10:BK627)</f>
        <v>64.049368753733475</v>
      </c>
      <c r="BM6" s="5" t="s">
        <v>334</v>
      </c>
      <c r="BN6" s="5"/>
      <c r="BU6" s="2"/>
    </row>
    <row r="7" spans="1:81" x14ac:dyDescent="0.2">
      <c r="A7" s="2"/>
      <c r="B7" s="2"/>
      <c r="C7" s="2" t="s">
        <v>47</v>
      </c>
      <c r="D7" s="2"/>
      <c r="E7" s="2"/>
      <c r="F7" s="2" t="s">
        <v>48</v>
      </c>
      <c r="G7" s="2"/>
      <c r="H7" s="2"/>
      <c r="I7" s="2"/>
      <c r="J7" s="2"/>
      <c r="M7" s="562" t="s">
        <v>50</v>
      </c>
      <c r="N7" s="562"/>
      <c r="O7" s="562" t="s">
        <v>64</v>
      </c>
      <c r="P7" s="562"/>
      <c r="Q7" s="562" t="s">
        <v>65</v>
      </c>
      <c r="R7" s="562"/>
      <c r="S7" s="562" t="s">
        <v>66</v>
      </c>
      <c r="T7" s="562"/>
      <c r="U7" s="562" t="s">
        <v>67</v>
      </c>
      <c r="V7" s="562"/>
      <c r="AC7" t="s">
        <v>90</v>
      </c>
      <c r="AE7" t="s">
        <v>91</v>
      </c>
      <c r="AG7" t="s">
        <v>92</v>
      </c>
      <c r="AJ7" t="s">
        <v>90</v>
      </c>
      <c r="AL7" t="s">
        <v>91</v>
      </c>
      <c r="AN7" t="s">
        <v>92</v>
      </c>
      <c r="AQ7" t="s">
        <v>83</v>
      </c>
      <c r="AT7" t="s">
        <v>90</v>
      </c>
      <c r="AW7" t="s">
        <v>91</v>
      </c>
      <c r="BU7" s="2"/>
    </row>
    <row r="8" spans="1:81" x14ac:dyDescent="0.2">
      <c r="A8" s="2" t="s">
        <v>44</v>
      </c>
      <c r="B8" s="2"/>
      <c r="C8" s="2" t="s">
        <v>68</v>
      </c>
      <c r="D8" s="2" t="s">
        <v>69</v>
      </c>
      <c r="E8" s="2"/>
      <c r="F8" s="2" t="s">
        <v>68</v>
      </c>
      <c r="G8" s="2"/>
      <c r="H8" s="2" t="s">
        <v>69</v>
      </c>
      <c r="I8" s="2"/>
      <c r="J8" s="2" t="s">
        <v>68</v>
      </c>
      <c r="M8" s="2" t="s">
        <v>68</v>
      </c>
      <c r="N8" s="2" t="s">
        <v>69</v>
      </c>
      <c r="O8" s="2" t="s">
        <v>68</v>
      </c>
      <c r="P8" s="2" t="s">
        <v>69</v>
      </c>
      <c r="Q8" s="2" t="s">
        <v>68</v>
      </c>
      <c r="R8" s="2" t="s">
        <v>69</v>
      </c>
      <c r="S8" s="2" t="s">
        <v>68</v>
      </c>
      <c r="T8" s="2" t="s">
        <v>69</v>
      </c>
      <c r="U8" s="2" t="s">
        <v>68</v>
      </c>
      <c r="V8" s="2" t="s">
        <v>69</v>
      </c>
      <c r="X8" s="2" t="s">
        <v>71</v>
      </c>
      <c r="Y8" s="2" t="s">
        <v>72</v>
      </c>
      <c r="Z8" s="2" t="s">
        <v>73</v>
      </c>
      <c r="AC8" t="s">
        <v>88</v>
      </c>
      <c r="AD8" t="s">
        <v>89</v>
      </c>
      <c r="AE8" t="s">
        <v>88</v>
      </c>
      <c r="AF8" t="s">
        <v>89</v>
      </c>
      <c r="AG8" t="s">
        <v>97</v>
      </c>
      <c r="AH8" t="s">
        <v>98</v>
      </c>
      <c r="AJ8" t="s">
        <v>88</v>
      </c>
      <c r="AK8" t="s">
        <v>89</v>
      </c>
      <c r="AL8" t="s">
        <v>88</v>
      </c>
      <c r="AM8" t="s">
        <v>89</v>
      </c>
      <c r="AN8" t="s">
        <v>100</v>
      </c>
      <c r="AO8" t="s">
        <v>99</v>
      </c>
      <c r="AQ8" t="s">
        <v>88</v>
      </c>
      <c r="AR8" t="s">
        <v>89</v>
      </c>
      <c r="AT8" t="s">
        <v>88</v>
      </c>
      <c r="AU8" t="s">
        <v>89</v>
      </c>
      <c r="AV8" t="s">
        <v>69</v>
      </c>
      <c r="AW8" t="s">
        <v>88</v>
      </c>
      <c r="AX8" t="s">
        <v>89</v>
      </c>
      <c r="AY8" t="s">
        <v>69</v>
      </c>
      <c r="BA8" t="s">
        <v>101</v>
      </c>
      <c r="BB8" t="s">
        <v>103</v>
      </c>
      <c r="BC8" t="s">
        <v>102</v>
      </c>
      <c r="BF8" t="s">
        <v>71</v>
      </c>
      <c r="BG8" t="s">
        <v>72</v>
      </c>
      <c r="BH8" t="s">
        <v>104</v>
      </c>
      <c r="BM8" t="s">
        <v>71</v>
      </c>
      <c r="BN8" t="s">
        <v>335</v>
      </c>
      <c r="BQ8" s="2"/>
      <c r="BR8" s="2"/>
      <c r="BS8" s="2"/>
      <c r="BT8" t="s">
        <v>341</v>
      </c>
      <c r="BY8" s="2"/>
      <c r="BZ8" s="2"/>
      <c r="CA8" s="2"/>
      <c r="CB8" s="2"/>
    </row>
    <row r="9" spans="1:81" x14ac:dyDescent="0.2">
      <c r="A9">
        <v>1</v>
      </c>
      <c r="B9">
        <f>A9/1000</f>
        <v>1E-3</v>
      </c>
      <c r="C9">
        <f t="shared" ref="C9:C72" si="0">SQRT((A9/Fesr)^2+1)</f>
        <v>1.0000000000000291</v>
      </c>
      <c r="D9">
        <f t="shared" ref="D9:D72" si="1">ATAN(A9/Fesr)</f>
        <v>2.4127431551999535E-7</v>
      </c>
      <c r="F9">
        <f t="shared" ref="F9:F72" si="2">(Ro/(Ro+Rdcr))/SQRT((A9/(Q*Fo))^2+(1-(A9^2/Fo^2))^2)</f>
        <v>0.99040552481688227</v>
      </c>
      <c r="G9">
        <f t="shared" ref="G9:G72" si="3">-ATAN(A9*Fo/(Q*(Fo^2-A9^2)))</f>
        <v>-3.9802097961197906E-5</v>
      </c>
      <c r="H9">
        <f t="shared" ref="H9:H72" si="4">IF(G9&gt;0,G9-Pi,G9)</f>
        <v>-3.9802097961197906E-5</v>
      </c>
      <c r="J9">
        <f t="shared" ref="J9:J72" si="5">Vin/Vramp</f>
        <v>15</v>
      </c>
      <c r="M9">
        <f t="shared" ref="M9:M72" si="6">1/(2*Pi*_Rfb1*(Cc1ea_u+Cc2ea_u)*A9)</f>
        <v>225.67486710021609</v>
      </c>
      <c r="N9">
        <f t="shared" ref="N9:N72" si="7">-Pi/2</f>
        <v>-1.5707963250000001</v>
      </c>
      <c r="O9">
        <f t="shared" ref="O9:O72" si="8">SQRT(1+(A9/Fz1_u)^2)</f>
        <v>1.0000004404092242</v>
      </c>
      <c r="P9">
        <f t="shared" ref="P9:P72" si="9">ATAN2(Fz1_u,A9)</f>
        <v>9.3851911270602124E-4</v>
      </c>
      <c r="Q9">
        <f t="shared" ref="Q9:Q72" si="10">SQRT(1+(A9/Fz2_u)^2)</f>
        <v>1.0000000097524759</v>
      </c>
      <c r="R9">
        <f t="shared" ref="R9:R72" si="11">ATAN2(Fz2_u,A9)</f>
        <v>1.3966012866625867E-4</v>
      </c>
      <c r="S9">
        <f t="shared" ref="S9:S72" si="12">1/SQRT(1+(A9/Fp1_u)^2)</f>
        <v>0.99999999999222511</v>
      </c>
      <c r="T9">
        <f t="shared" ref="T9:T72" si="13">-ATAN2(Fp1_u,A9)</f>
        <v>-3.9433270942595608E-6</v>
      </c>
      <c r="U9">
        <f t="shared" ref="U9:U72" si="14">1/SQRT(1+(A9/Fp2_u)^2)</f>
        <v>0.99999999999070455</v>
      </c>
      <c r="V9">
        <f t="shared" ref="V9:V72" si="15">-ATAN2(Fp2_u,A9)</f>
        <v>-4.311727664265777E-6</v>
      </c>
      <c r="X9">
        <f>20*LOG(C9*J9*O9*Q9*F9*M9*S9*U9)</f>
        <v>70.507754085027088</v>
      </c>
      <c r="Y9">
        <f t="shared" ref="Y9:Y72" si="16">(180/Pi)*(D9+H9+N9+P9+R9+T9+V9)</f>
        <v>-89.940964527869554</v>
      </c>
      <c r="Z9">
        <f>Y9+180</f>
        <v>90.059035472130446</v>
      </c>
      <c r="AC9">
        <v>1</v>
      </c>
      <c r="AD9">
        <f t="shared" ref="AD9:AD72" si="17">Rcea1_u*Cc1ea_u*A9*2*Pi</f>
        <v>9.3851938826100003E-4</v>
      </c>
      <c r="AE9">
        <f t="shared" ref="AE9:AE72" si="18">-Rcea1_u*Cc1ea_u*Cc2ea_u*(A9*2*Pi)^2</f>
        <v>-1.0614404203355716E-12</v>
      </c>
      <c r="AF9">
        <f t="shared" ref="AF9:AF72" si="19">(Cc2ea_u+Cc1ea_u)*A9*2*Pi</f>
        <v>2.4617520005399999E-7</v>
      </c>
      <c r="AG9">
        <f>AC9*AE9/(AE9^2+AF9^2)+AD9*AF9/(AE9^2+AF9^2)</f>
        <v>3794.8894136144327</v>
      </c>
      <c r="AH9">
        <f>AD9*AE9/(AE9^2+AF9^2)-AC9*AF9/(AE9^2+AF9^2)</f>
        <v>-4062147.6241664197</v>
      </c>
      <c r="AI9">
        <f>SQRT(AG9^2+AH9^2)</f>
        <v>4062149.3967734068</v>
      </c>
      <c r="AJ9">
        <f t="shared" ref="AJ9:AJ72" si="20">_Rfb1</f>
        <v>18000</v>
      </c>
      <c r="AK9">
        <f t="shared" ref="AK9:AK72" si="21">_Rfb1*Rcea2_u*Cc3ea_u*A9*2*Pi</f>
        <v>7.0979887697040001E-2</v>
      </c>
      <c r="AL9">
        <v>1</v>
      </c>
      <c r="AM9">
        <f t="shared" ref="AM9:AM72" si="22">(_Rfb1+Rcea2_u)*Cc3ea_u*A9*2*Pi</f>
        <v>1.3966012957428002E-4</v>
      </c>
      <c r="AN9">
        <f>AJ9*AL9/(AL9^2+AM9^2)+AK9*AM9/(AL9^2+AM9^2)</f>
        <v>17999.999658823934</v>
      </c>
      <c r="AO9">
        <f>AK9*AL9/(AL9^2+AM9^2)-AJ9*AM9/(AL9^2+AM9^2)</f>
        <v>-2.4429023969913066</v>
      </c>
      <c r="AP9" s="51">
        <f>SQRT(AN9^2+AO9^2)</f>
        <v>17999.999824595383</v>
      </c>
      <c r="AQ9">
        <f t="shared" ref="AQ9:AQ72" si="23">Eadcg/(1+(Eadcg*A9/GBP)^2)</f>
        <v>9999.9600001600011</v>
      </c>
      <c r="AR9">
        <f t="shared" ref="AR9:AR72" si="24">-(A9*Eadcg*Eadcg/GBP)/(1+(Eadcg*A9/GBP)^2)</f>
        <v>-19.99992000032</v>
      </c>
      <c r="AT9">
        <f>-AR9*AH9+AG9*AQ9</f>
        <v>-43293885.171643384</v>
      </c>
      <c r="AU9">
        <f>AQ9*AH9+AG9*AR9</f>
        <v>-40621389653.89386</v>
      </c>
      <c r="AV9">
        <f>ATAN2(AT9,AU9)</f>
        <v>-1.5718621167431945</v>
      </c>
      <c r="AW9">
        <f t="shared" ref="AW9:AW73" si="25">AG9-AH9*AO9/_Rfb2+AG9*AN9/_Rfb2+AN9-AO9*AR9+AQ9*AN9</f>
        <v>180038456.90605599</v>
      </c>
      <c r="AX9">
        <f t="shared" ref="AX9:AX73" si="26">AH9+AH9*AN9/_Rfb2+AG9*AO9/_Rfb2+AO9+AO9*AQ9+AN9*AR9</f>
        <v>-26280623.380839981</v>
      </c>
      <c r="AY9">
        <f>ATAN2(AW9,AX9)</f>
        <v>-0.14494854511626407</v>
      </c>
      <c r="BA9">
        <f t="shared" ref="BA9:BA72" si="27">SQRT(AT9^2+AU9^2)/SQRT(AW9^2+AX9^2)</f>
        <v>223.26024365879067</v>
      </c>
      <c r="BB9" s="51">
        <f>20*LOG(BA9)</f>
        <v>46.976227887599258</v>
      </c>
      <c r="BC9">
        <f>AV9-AY9</f>
        <v>-1.4269135716269306</v>
      </c>
      <c r="BD9">
        <f t="shared" ref="BD9:BD72" si="28">BC9*180/Pi-180</f>
        <v>-261.75612547758141</v>
      </c>
      <c r="BF9">
        <f t="shared" ref="BF9:BF72" si="29">20*LOG(BA9*J9*F9*C9)</f>
        <v>70.414314155198312</v>
      </c>
      <c r="BG9">
        <f t="shared" ref="BG9:BG72" si="30">(180/Pi)*(D9+H9+BC9)</f>
        <v>-81.758392145812948</v>
      </c>
      <c r="BH9">
        <f>IF(BG9&gt;180,BG9-180,BG9+180)</f>
        <v>98.241607854187052</v>
      </c>
      <c r="BI9">
        <f>IF(BH9&gt;180,BH9-360,BH9)</f>
        <v>98.241607854187052</v>
      </c>
      <c r="BJ9">
        <f t="shared" ref="BJ9:BJ72" si="31">SUM((BF10&lt;0)*(BF9&gt;0))*A9</f>
        <v>0</v>
      </c>
      <c r="BK9">
        <f>IF(BJ9&gt;0,BI9,0)</f>
        <v>0</v>
      </c>
      <c r="BM9">
        <f>20*LOG(J9*F9*C9)</f>
        <v>23.438086267599054</v>
      </c>
      <c r="BN9">
        <f t="shared" ref="BN9:BN72" si="32">(H9+D9)*180/Pi</f>
        <v>-2.2666682315487414E-3</v>
      </c>
      <c r="BQ9" s="56">
        <f>20*LOG(BA9*7)</f>
        <v>63.878188687884396</v>
      </c>
      <c r="BR9" s="56"/>
      <c r="BS9" s="56"/>
      <c r="BT9" s="56" t="s">
        <v>44</v>
      </c>
      <c r="BU9" s="56" t="s">
        <v>68</v>
      </c>
      <c r="BV9" s="56" t="s">
        <v>69</v>
      </c>
      <c r="BW9" s="56"/>
      <c r="BY9" s="56"/>
      <c r="BZ9" s="56"/>
      <c r="CA9" s="56"/>
      <c r="CC9" s="56"/>
    </row>
    <row r="10" spans="1:81" x14ac:dyDescent="0.2">
      <c r="A10">
        <v>2</v>
      </c>
      <c r="B10">
        <f t="shared" ref="B10:B73" si="33">A10/1000</f>
        <v>2E-3</v>
      </c>
      <c r="C10">
        <f t="shared" si="0"/>
        <v>1.0000000000001164</v>
      </c>
      <c r="D10">
        <f t="shared" si="1"/>
        <v>4.8254863103996254E-7</v>
      </c>
      <c r="F10">
        <f t="shared" si="2"/>
        <v>0.99040555594758661</v>
      </c>
      <c r="G10">
        <f t="shared" si="3"/>
        <v>-7.9604198487592009E-5</v>
      </c>
      <c r="H10">
        <f t="shared" si="4"/>
        <v>-7.9604198487592009E-5</v>
      </c>
      <c r="J10">
        <f t="shared" si="5"/>
        <v>15</v>
      </c>
      <c r="M10">
        <f t="shared" si="6"/>
        <v>112.83743355010805</v>
      </c>
      <c r="N10">
        <f t="shared" si="7"/>
        <v>-1.5707963250000001</v>
      </c>
      <c r="O10">
        <f t="shared" si="8"/>
        <v>1.0000017616357326</v>
      </c>
      <c r="P10">
        <f t="shared" si="9"/>
        <v>1.877036572085665E-3</v>
      </c>
      <c r="Q10">
        <f t="shared" si="10"/>
        <v>1.0000000390099029</v>
      </c>
      <c r="R10">
        <f t="shared" si="11"/>
        <v>2.7932025188438943E-4</v>
      </c>
      <c r="S10">
        <f t="shared" si="12"/>
        <v>0.99999999996890043</v>
      </c>
      <c r="T10">
        <f t="shared" si="13"/>
        <v>-7.8866541883964864E-6</v>
      </c>
      <c r="U10">
        <f t="shared" si="14"/>
        <v>0.99999999996281796</v>
      </c>
      <c r="V10">
        <f t="shared" si="15"/>
        <v>-8.6234553283712345E-6</v>
      </c>
      <c r="X10">
        <f t="shared" ref="X10:X73" si="34">20*LOG(C10*J10*O10*Q10*F10*M10*S10*U10)</f>
        <v>64.487166174462502</v>
      </c>
      <c r="Y10">
        <f t="shared" si="16"/>
        <v>-89.881929150926851</v>
      </c>
      <c r="Z10">
        <f t="shared" ref="Z10:Z73" si="35">Y10+180</f>
        <v>90.118070849073149</v>
      </c>
      <c r="AC10">
        <v>1</v>
      </c>
      <c r="AD10">
        <f t="shared" si="17"/>
        <v>1.8770387765220001E-3</v>
      </c>
      <c r="AE10">
        <f t="shared" si="18"/>
        <v>-4.2457616813422862E-12</v>
      </c>
      <c r="AF10">
        <f t="shared" si="19"/>
        <v>4.9235040010799999E-7</v>
      </c>
      <c r="AG10">
        <f t="shared" ref="AG10:AG73" si="36">AC10*AE10/(AE10^2+AF10^2)+AD10*AF10/(AE10^2+AF10^2)</f>
        <v>3794.889413402781</v>
      </c>
      <c r="AH10">
        <f t="shared" ref="AH10:AH73" si="37">AD10*AE10/(AE10^2+AF10^2)-AC10*AF10/(AE10^2+AF10^2)</f>
        <v>-2031073.8366270044</v>
      </c>
      <c r="AJ10">
        <f t="shared" si="20"/>
        <v>18000</v>
      </c>
      <c r="AK10">
        <f t="shared" si="21"/>
        <v>0.14195977539408</v>
      </c>
      <c r="AL10">
        <v>1</v>
      </c>
      <c r="AM10">
        <f t="shared" si="22"/>
        <v>2.7932025914856004E-4</v>
      </c>
      <c r="AN10">
        <f t="shared" ref="AN10:AN73" si="38">AJ10*AL10/(AL10^2+AM10^2)+AK10*AM10/(AL10^2+AM10^2)</f>
        <v>17999.998635295815</v>
      </c>
      <c r="AO10">
        <f t="shared" ref="AO10:AO73" si="39">AK10*AL10/(AL10^2+AM10^2)-AJ10*AM10/(AL10^2+AM10^2)</f>
        <v>-4.885804508090474</v>
      </c>
      <c r="AQ10">
        <f t="shared" si="23"/>
        <v>9999.8400025599585</v>
      </c>
      <c r="AR10">
        <f t="shared" si="24"/>
        <v>-39.999360010239833</v>
      </c>
      <c r="AT10">
        <f t="shared" ref="AT10:AT21" si="40">-AR10*AH10+AG10*AQ10</f>
        <v>-43293366.637186162</v>
      </c>
      <c r="AU10">
        <f t="shared" ref="AU10:AU21" si="41">AQ10*AH10+AG10*AR10</f>
        <v>-20310565192.803493</v>
      </c>
      <c r="AV10">
        <f t="shared" ref="AV10:AV73" si="42">ATAN2(AT10,AU10)</f>
        <v>-1.5729278923450107</v>
      </c>
      <c r="AW10">
        <f t="shared" si="25"/>
        <v>180036140.14093065</v>
      </c>
      <c r="AX10">
        <f t="shared" si="26"/>
        <v>-13716950.992143458</v>
      </c>
      <c r="AY10">
        <f>ATAN2(AW10,AX10)</f>
        <v>-7.6043071891860492E-2</v>
      </c>
      <c r="BA10">
        <f t="shared" si="27"/>
        <v>112.48805967548805</v>
      </c>
      <c r="BB10">
        <f t="shared" ref="BB10:BB73" si="43">20*LOG(BA10)</f>
        <v>41.022128512546196</v>
      </c>
      <c r="BC10">
        <f t="shared" ref="BC10:BC73" si="44">AV10-AY10</f>
        <v>-1.4968848204531502</v>
      </c>
      <c r="BD10">
        <f t="shared" si="28"/>
        <v>-265.76518272716453</v>
      </c>
      <c r="BF10">
        <f t="shared" si="29"/>
        <v>64.460215053163324</v>
      </c>
      <c r="BG10">
        <f t="shared" si="30"/>
        <v>-85.769716063774595</v>
      </c>
      <c r="BH10">
        <f t="shared" ref="BH10:BH73" si="45">IF(BG10&gt;180,BG10-180,BG10+180)</f>
        <v>94.230283936225405</v>
      </c>
      <c r="BI10">
        <f t="shared" ref="BI10:BI73" si="46">IF(BH10&gt;180,BH10-360,BH10)</f>
        <v>94.230283936225405</v>
      </c>
      <c r="BJ10">
        <f t="shared" si="31"/>
        <v>0</v>
      </c>
      <c r="BK10">
        <f t="shared" ref="BK10:BK73" si="47">IF(BJ10&gt;0,BI10,0)</f>
        <v>0</v>
      </c>
      <c r="BM10">
        <f t="shared" ref="BM10:BM73" si="48">20*LOG(J10*F10*C10)</f>
        <v>23.438086540617128</v>
      </c>
      <c r="BN10">
        <f t="shared" si="32"/>
        <v>-4.5333366100724004E-3</v>
      </c>
      <c r="BQ10" s="56">
        <f t="shared" ref="BQ10:BQ73" si="49">20*LOG(BA10*7)</f>
        <v>57.924089312831335</v>
      </c>
      <c r="BR10" s="57"/>
      <c r="BS10" s="57"/>
      <c r="BT10" s="57">
        <v>100</v>
      </c>
      <c r="BU10" s="57">
        <v>35.359299999999998</v>
      </c>
      <c r="BV10" s="57">
        <v>-267.66769999999997</v>
      </c>
      <c r="BW10" s="61"/>
      <c r="BY10" s="57"/>
      <c r="BZ10" s="57"/>
      <c r="CA10" s="57"/>
      <c r="CC10" s="57"/>
    </row>
    <row r="11" spans="1:81" x14ac:dyDescent="0.2">
      <c r="A11">
        <v>3</v>
      </c>
      <c r="B11">
        <f t="shared" si="33"/>
        <v>3.0000000000000001E-3</v>
      </c>
      <c r="C11">
        <f t="shared" si="0"/>
        <v>1.000000000000262</v>
      </c>
      <c r="D11">
        <f t="shared" si="1"/>
        <v>7.2382294655987361E-7</v>
      </c>
      <c r="F11">
        <f t="shared" si="2"/>
        <v>0.99040560783209819</v>
      </c>
      <c r="G11">
        <f t="shared" si="3"/>
        <v>-1.1940630414437905E-4</v>
      </c>
      <c r="H11">
        <f t="shared" si="4"/>
        <v>-1.1940630414437905E-4</v>
      </c>
      <c r="J11">
        <f t="shared" si="5"/>
        <v>15</v>
      </c>
      <c r="M11">
        <f t="shared" si="6"/>
        <v>75.22495570007203</v>
      </c>
      <c r="N11">
        <f t="shared" si="7"/>
        <v>-1.5707963250000001</v>
      </c>
      <c r="O11">
        <f t="shared" si="8"/>
        <v>1.0000039636760343</v>
      </c>
      <c r="P11">
        <f t="shared" si="9"/>
        <v>2.8155507248300285E-3</v>
      </c>
      <c r="Q11">
        <f t="shared" si="10"/>
        <v>1.0000000877722792</v>
      </c>
      <c r="R11">
        <f t="shared" si="11"/>
        <v>4.1898036420626579E-4</v>
      </c>
      <c r="S11">
        <f t="shared" si="12"/>
        <v>0.99999999993002575</v>
      </c>
      <c r="T11">
        <f t="shared" si="13"/>
        <v>-1.1829981282288139E-5</v>
      </c>
      <c r="U11">
        <f t="shared" si="14"/>
        <v>0.99999999991634048</v>
      </c>
      <c r="V11">
        <f t="shared" si="15"/>
        <v>-1.2935182992156058E-5</v>
      </c>
      <c r="X11">
        <f t="shared" si="34"/>
        <v>60.965360997806542</v>
      </c>
      <c r="Y11">
        <f t="shared" si="16"/>
        <v>-89.822893964358641</v>
      </c>
      <c r="Z11">
        <f t="shared" si="35"/>
        <v>90.177106035641359</v>
      </c>
      <c r="AC11">
        <v>1</v>
      </c>
      <c r="AD11">
        <f t="shared" si="17"/>
        <v>2.8155581647829999E-3</v>
      </c>
      <c r="AE11">
        <f t="shared" si="18"/>
        <v>-9.5529637830201424E-12</v>
      </c>
      <c r="AF11">
        <f t="shared" si="19"/>
        <v>7.3852560016200004E-7</v>
      </c>
      <c r="AG11">
        <f t="shared" si="36"/>
        <v>3794.8894130500257</v>
      </c>
      <c r="AH11">
        <f t="shared" si="37"/>
        <v>-1354049.2516888853</v>
      </c>
      <c r="AJ11">
        <f t="shared" si="20"/>
        <v>18000</v>
      </c>
      <c r="AK11">
        <f t="shared" si="21"/>
        <v>0.21293966309112003</v>
      </c>
      <c r="AL11">
        <v>1</v>
      </c>
      <c r="AM11">
        <f t="shared" si="22"/>
        <v>4.1898038872284E-4</v>
      </c>
      <c r="AN11">
        <f t="shared" si="38"/>
        <v>17999.996929415891</v>
      </c>
      <c r="AO11">
        <f t="shared" si="39"/>
        <v>-7.3287060474054764</v>
      </c>
      <c r="AQ11">
        <f t="shared" si="23"/>
        <v>9999.6400129595349</v>
      </c>
      <c r="AR11">
        <f t="shared" si="24"/>
        <v>-59.997840077757203</v>
      </c>
      <c r="AT11">
        <f t="shared" si="40"/>
        <v>-43292502.440744989</v>
      </c>
      <c r="AU11">
        <f t="shared" si="41"/>
        <v>-13540232761.87421</v>
      </c>
      <c r="AV11">
        <f t="shared" si="42"/>
        <v>-1.5739936392546139</v>
      </c>
      <c r="AW11">
        <f t="shared" si="25"/>
        <v>180032278.98931891</v>
      </c>
      <c r="AX11">
        <f t="shared" si="26"/>
        <v>-9785323.7309481706</v>
      </c>
      <c r="AY11">
        <f t="shared" ref="AY11:AY74" si="50">ATAN2(AW11,AX11)</f>
        <v>-5.4299732691623949E-2</v>
      </c>
      <c r="BA11">
        <f t="shared" si="27"/>
        <v>75.099562288965529</v>
      </c>
      <c r="BB11">
        <f t="shared" si="43"/>
        <v>37.512748115305492</v>
      </c>
      <c r="BC11">
        <f t="shared" si="44"/>
        <v>-1.51969390656299</v>
      </c>
      <c r="BD11">
        <f t="shared" si="28"/>
        <v>-267.07204709730212</v>
      </c>
      <c r="BF11">
        <f t="shared" si="29"/>
        <v>60.950835110952767</v>
      </c>
      <c r="BG11">
        <f t="shared" si="30"/>
        <v>-87.07884710258466</v>
      </c>
      <c r="BH11">
        <f t="shared" si="45"/>
        <v>92.92115289741534</v>
      </c>
      <c r="BI11">
        <f t="shared" si="46"/>
        <v>92.92115289741534</v>
      </c>
      <c r="BJ11">
        <f t="shared" si="31"/>
        <v>0</v>
      </c>
      <c r="BK11">
        <f t="shared" si="47"/>
        <v>0</v>
      </c>
      <c r="BM11">
        <f t="shared" si="48"/>
        <v>23.438086995647271</v>
      </c>
      <c r="BN11">
        <f t="shared" si="32"/>
        <v>-6.8000052825459246E-3</v>
      </c>
      <c r="BQ11" s="56">
        <f t="shared" si="49"/>
        <v>54.41470891559063</v>
      </c>
      <c r="BR11" s="58"/>
      <c r="BS11" s="58"/>
      <c r="BT11" s="58">
        <v>102.32899999999999</v>
      </c>
      <c r="BU11" s="58">
        <v>34.936799999999998</v>
      </c>
      <c r="BV11" s="58">
        <v>-265.91489999999999</v>
      </c>
      <c r="BW11" s="61"/>
      <c r="BY11" s="58"/>
      <c r="BZ11" s="58"/>
      <c r="CA11" s="58"/>
      <c r="CC11" s="58"/>
    </row>
    <row r="12" spans="1:81" x14ac:dyDescent="0.2">
      <c r="A12">
        <v>4</v>
      </c>
      <c r="B12">
        <f t="shared" si="33"/>
        <v>4.0000000000000001E-3</v>
      </c>
      <c r="C12">
        <f t="shared" si="0"/>
        <v>1.0000000000004658</v>
      </c>
      <c r="D12">
        <f t="shared" si="1"/>
        <v>9.650972620797004E-7</v>
      </c>
      <c r="F12">
        <f t="shared" si="2"/>
        <v>0.99040568047042266</v>
      </c>
      <c r="G12">
        <f t="shared" si="3"/>
        <v>-1.5920841749675677E-4</v>
      </c>
      <c r="H12">
        <f t="shared" si="4"/>
        <v>-1.5920841749675677E-4</v>
      </c>
      <c r="J12">
        <f t="shared" si="5"/>
        <v>15</v>
      </c>
      <c r="M12">
        <f t="shared" si="6"/>
        <v>56.418716775054023</v>
      </c>
      <c r="N12">
        <f t="shared" si="7"/>
        <v>-1.5707963250000001</v>
      </c>
      <c r="O12">
        <f t="shared" si="8"/>
        <v>1.0000070465243103</v>
      </c>
      <c r="P12">
        <f t="shared" si="9"/>
        <v>3.7540599176651606E-3</v>
      </c>
      <c r="Q12">
        <f t="shared" si="10"/>
        <v>1.0000001560396021</v>
      </c>
      <c r="R12">
        <f t="shared" si="11"/>
        <v>5.586404601837636E-4</v>
      </c>
      <c r="S12">
        <f t="shared" si="12"/>
        <v>0.99999999987560129</v>
      </c>
      <c r="T12">
        <f t="shared" si="13"/>
        <v>-1.5773308375811885E-5</v>
      </c>
      <c r="U12">
        <f t="shared" si="14"/>
        <v>0.99999999985127208</v>
      </c>
      <c r="V12">
        <f t="shared" si="15"/>
        <v>-1.7246910655459922E-5</v>
      </c>
      <c r="X12">
        <f t="shared" si="34"/>
        <v>58.466614271739715</v>
      </c>
      <c r="Y12">
        <f t="shared" si="16"/>
        <v>-89.763859063349628</v>
      </c>
      <c r="Z12">
        <f t="shared" si="35"/>
        <v>90.236140936650372</v>
      </c>
      <c r="AC12">
        <v>1</v>
      </c>
      <c r="AD12">
        <f t="shared" si="17"/>
        <v>3.7540775530440001E-3</v>
      </c>
      <c r="AE12">
        <f t="shared" si="18"/>
        <v>-1.6983046725369145E-11</v>
      </c>
      <c r="AF12">
        <f t="shared" si="19"/>
        <v>9.8470080021599998E-7</v>
      </c>
      <c r="AG12">
        <f t="shared" si="36"/>
        <v>3794.8894125561715</v>
      </c>
      <c r="AH12">
        <f t="shared" si="37"/>
        <v>-1015536.9674010911</v>
      </c>
      <c r="AJ12">
        <f t="shared" si="20"/>
        <v>18000</v>
      </c>
      <c r="AK12">
        <f t="shared" si="21"/>
        <v>0.28391955078816</v>
      </c>
      <c r="AL12">
        <v>1</v>
      </c>
      <c r="AM12">
        <f t="shared" si="22"/>
        <v>5.5864051829712007E-4</v>
      </c>
      <c r="AN12">
        <f t="shared" si="38"/>
        <v>17999.994541184555</v>
      </c>
      <c r="AO12">
        <f t="shared" si="39"/>
        <v>-9.7716067290445103</v>
      </c>
      <c r="AQ12">
        <f t="shared" si="23"/>
        <v>9999.3600409573774</v>
      </c>
      <c r="AR12">
        <f t="shared" si="24"/>
        <v>-79.994880327659018</v>
      </c>
      <c r="AT12">
        <f t="shared" si="40"/>
        <v>-43291292.62379764</v>
      </c>
      <c r="AU12">
        <f t="shared" si="41"/>
        <v>-10155023343.66992</v>
      </c>
      <c r="AV12">
        <f t="shared" si="42"/>
        <v>-1.5750593431277735</v>
      </c>
      <c r="AW12">
        <f t="shared" si="25"/>
        <v>180026873.63660061</v>
      </c>
      <c r="AX12">
        <f t="shared" si="26"/>
        <v>-8011684.5796295013</v>
      </c>
      <c r="AY12">
        <f t="shared" si="50"/>
        <v>-4.44733703877132E-2</v>
      </c>
      <c r="BA12">
        <f t="shared" si="27"/>
        <v>56.353111434633</v>
      </c>
      <c r="BB12">
        <f t="shared" si="43"/>
        <v>35.018357996493272</v>
      </c>
      <c r="BC12">
        <f t="shared" si="44"/>
        <v>-1.5305859727400604</v>
      </c>
      <c r="BD12">
        <f t="shared" si="28"/>
        <v>-267.69611652013856</v>
      </c>
      <c r="BF12">
        <f t="shared" si="29"/>
        <v>58.456445629182774</v>
      </c>
      <c r="BG12">
        <f t="shared" si="30"/>
        <v>-87.705183194534499</v>
      </c>
      <c r="BH12">
        <f t="shared" si="45"/>
        <v>92.294816805465501</v>
      </c>
      <c r="BI12">
        <f t="shared" si="46"/>
        <v>92.294816805465501</v>
      </c>
      <c r="BJ12">
        <f t="shared" si="31"/>
        <v>0</v>
      </c>
      <c r="BK12">
        <f t="shared" si="47"/>
        <v>0</v>
      </c>
      <c r="BM12">
        <f t="shared" si="48"/>
        <v>23.438087632689502</v>
      </c>
      <c r="BN12">
        <f t="shared" si="32"/>
        <v>-9.066674395944321E-3</v>
      </c>
      <c r="BQ12" s="56">
        <f t="shared" si="49"/>
        <v>51.92031879677841</v>
      </c>
      <c r="BR12" s="57"/>
      <c r="BS12" s="57"/>
      <c r="BT12" s="57">
        <v>104.71299999999999</v>
      </c>
      <c r="BU12" s="57">
        <v>34.190800000000003</v>
      </c>
      <c r="BV12" s="57">
        <v>-264.93219999999997</v>
      </c>
      <c r="BW12" s="61"/>
      <c r="BY12" s="57"/>
      <c r="BZ12" s="57"/>
      <c r="CA12" s="57"/>
      <c r="CC12" s="57"/>
    </row>
    <row r="13" spans="1:81" x14ac:dyDescent="0.2">
      <c r="A13">
        <v>5</v>
      </c>
      <c r="B13">
        <f t="shared" si="33"/>
        <v>5.0000000000000001E-3</v>
      </c>
      <c r="C13">
        <f t="shared" si="0"/>
        <v>1.0000000000007276</v>
      </c>
      <c r="D13">
        <f t="shared" si="1"/>
        <v>1.2063715775994149E-6</v>
      </c>
      <c r="F13">
        <f t="shared" si="2"/>
        <v>0.99040577386256834</v>
      </c>
      <c r="G13">
        <f t="shared" si="3"/>
        <v>-1.9901054110992451E-4</v>
      </c>
      <c r="H13">
        <f t="shared" si="4"/>
        <v>-1.9901054110992451E-4</v>
      </c>
      <c r="J13">
        <f t="shared" si="5"/>
        <v>15</v>
      </c>
      <c r="M13">
        <f t="shared" si="6"/>
        <v>45.134973420043217</v>
      </c>
      <c r="N13">
        <f t="shared" si="7"/>
        <v>-1.5707963250000001</v>
      </c>
      <c r="O13">
        <f t="shared" si="8"/>
        <v>1.0000110101724149</v>
      </c>
      <c r="P13">
        <f t="shared" si="9"/>
        <v>4.6925624973695327E-3</v>
      </c>
      <c r="Q13">
        <f t="shared" si="10"/>
        <v>1.0000002438118678</v>
      </c>
      <c r="R13">
        <f t="shared" si="11"/>
        <v>6.9830053436876268E-4</v>
      </c>
      <c r="S13">
        <f t="shared" si="12"/>
        <v>0.99999999980562704</v>
      </c>
      <c r="T13">
        <f t="shared" si="13"/>
        <v>-1.9716635468845085E-5</v>
      </c>
      <c r="U13">
        <f t="shared" si="14"/>
        <v>0.99999999976761256</v>
      </c>
      <c r="V13">
        <f t="shared" si="15"/>
        <v>-2.1558638318122513E-5</v>
      </c>
      <c r="X13">
        <f t="shared" si="34"/>
        <v>56.52845001917774</v>
      </c>
      <c r="Y13">
        <f t="shared" si="16"/>
        <v>-89.704824543081529</v>
      </c>
      <c r="Z13">
        <f t="shared" si="35"/>
        <v>90.295175456918471</v>
      </c>
      <c r="AC13">
        <v>1</v>
      </c>
      <c r="AD13">
        <f t="shared" si="17"/>
        <v>4.6925969413050004E-3</v>
      </c>
      <c r="AE13">
        <f t="shared" si="18"/>
        <v>-2.6536010508389286E-11</v>
      </c>
      <c r="AF13">
        <f t="shared" si="19"/>
        <v>1.2308760002700001E-6</v>
      </c>
      <c r="AG13">
        <f t="shared" si="36"/>
        <v>3794.8894119212137</v>
      </c>
      <c r="AH13">
        <f t="shared" si="37"/>
        <v>-812429.60337342613</v>
      </c>
      <c r="AJ13">
        <f t="shared" si="20"/>
        <v>18000</v>
      </c>
      <c r="AK13">
        <f t="shared" si="21"/>
        <v>0.3548994384852</v>
      </c>
      <c r="AL13">
        <v>1</v>
      </c>
      <c r="AM13">
        <f t="shared" si="22"/>
        <v>6.9830064787140009E-4</v>
      </c>
      <c r="AN13">
        <f t="shared" si="38"/>
        <v>17999.991470602359</v>
      </c>
      <c r="AO13">
        <f t="shared" si="39"/>
        <v>-12.214506267116104</v>
      </c>
      <c r="AQ13">
        <f t="shared" si="23"/>
        <v>9999.0000999900003</v>
      </c>
      <c r="AR13">
        <f t="shared" si="24"/>
        <v>-99.990000999900005</v>
      </c>
      <c r="AT13">
        <f t="shared" si="40"/>
        <v>-43289737.244406037</v>
      </c>
      <c r="AU13">
        <f t="shared" si="41"/>
        <v>-8123863136.3618174</v>
      </c>
      <c r="AV13">
        <f t="shared" si="42"/>
        <v>-1.5761249896225102</v>
      </c>
      <c r="AW13">
        <f t="shared" si="25"/>
        <v>180019924.34227657</v>
      </c>
      <c r="AX13">
        <f t="shared" si="26"/>
        <v>-7101214.7227370152</v>
      </c>
      <c r="AY13">
        <f t="shared" si="50"/>
        <v>-3.942638514563692E-2</v>
      </c>
      <c r="BA13">
        <f t="shared" si="27"/>
        <v>45.093148463674019</v>
      </c>
      <c r="BB13">
        <f t="shared" si="43"/>
        <v>33.082211187685424</v>
      </c>
      <c r="BC13">
        <f t="shared" si="44"/>
        <v>-1.5366986044768733</v>
      </c>
      <c r="BD13">
        <f t="shared" si="28"/>
        <v>-268.04634452077585</v>
      </c>
      <c r="BF13">
        <f t="shared" si="29"/>
        <v>56.52029963942929</v>
      </c>
      <c r="BG13">
        <f t="shared" si="30"/>
        <v>-88.057677864873085</v>
      </c>
      <c r="BH13">
        <f t="shared" si="45"/>
        <v>91.942322135126915</v>
      </c>
      <c r="BI13">
        <f t="shared" si="46"/>
        <v>91.942322135126915</v>
      </c>
      <c r="BJ13">
        <f t="shared" si="31"/>
        <v>0</v>
      </c>
      <c r="BK13">
        <f t="shared" si="47"/>
        <v>0</v>
      </c>
      <c r="BM13">
        <f t="shared" si="48"/>
        <v>23.438088451743859</v>
      </c>
      <c r="BN13">
        <f t="shared" si="32"/>
        <v>-1.1333344097242688E-2</v>
      </c>
      <c r="BQ13" s="56">
        <f t="shared" si="49"/>
        <v>49.984171987970562</v>
      </c>
      <c r="BR13" s="58"/>
      <c r="BS13" s="58"/>
      <c r="BT13" s="58">
        <v>107.152</v>
      </c>
      <c r="BU13" s="58">
        <v>34.477699999999999</v>
      </c>
      <c r="BV13" s="58">
        <v>-262.3057</v>
      </c>
      <c r="BW13" s="61"/>
      <c r="BY13" s="58"/>
      <c r="BZ13" s="58"/>
      <c r="CA13" s="58"/>
      <c r="CC13" s="58"/>
    </row>
    <row r="14" spans="1:81" x14ac:dyDescent="0.2">
      <c r="A14">
        <v>6</v>
      </c>
      <c r="B14">
        <f t="shared" si="33"/>
        <v>6.0000000000000001E-3</v>
      </c>
      <c r="C14">
        <f t="shared" si="0"/>
        <v>1.0000000000010478</v>
      </c>
      <c r="D14">
        <f t="shared" si="1"/>
        <v>1.4476458931189887E-6</v>
      </c>
      <c r="F14">
        <f t="shared" si="2"/>
        <v>0.99040588800854645</v>
      </c>
      <c r="G14">
        <f t="shared" si="3"/>
        <v>-2.3881267754908379E-4</v>
      </c>
      <c r="H14">
        <f t="shared" si="4"/>
        <v>-2.3881267754908379E-4</v>
      </c>
      <c r="J14">
        <f t="shared" si="5"/>
        <v>15</v>
      </c>
      <c r="M14">
        <f t="shared" si="6"/>
        <v>37.612477850036015</v>
      </c>
      <c r="N14">
        <f t="shared" si="7"/>
        <v>-1.5707963250000001</v>
      </c>
      <c r="O14">
        <f t="shared" si="8"/>
        <v>1.0000158546098743</v>
      </c>
      <c r="P14">
        <f t="shared" si="9"/>
        <v>5.6310568107915109E-3</v>
      </c>
      <c r="Q14">
        <f t="shared" si="10"/>
        <v>1.0000003510890707</v>
      </c>
      <c r="R14">
        <f t="shared" si="11"/>
        <v>8.3796058131314791E-4</v>
      </c>
      <c r="S14">
        <f t="shared" si="12"/>
        <v>0.99999999972010301</v>
      </c>
      <c r="T14">
        <f t="shared" si="13"/>
        <v>-2.3659962561265101E-5</v>
      </c>
      <c r="U14">
        <f t="shared" si="14"/>
        <v>0.99999999966536213</v>
      </c>
      <c r="V14">
        <f t="shared" si="15"/>
        <v>-2.5870365979983513E-5</v>
      </c>
      <c r="X14">
        <f t="shared" si="34"/>
        <v>54.944869107142374</v>
      </c>
      <c r="Y14">
        <f t="shared" si="16"/>
        <v>-89.645790498732111</v>
      </c>
      <c r="Z14">
        <f t="shared" si="35"/>
        <v>90.354209501267889</v>
      </c>
      <c r="AC14">
        <v>1</v>
      </c>
      <c r="AD14">
        <f t="shared" si="17"/>
        <v>5.6311163295659997E-3</v>
      </c>
      <c r="AE14">
        <f t="shared" si="18"/>
        <v>-3.8211855132080569E-11</v>
      </c>
      <c r="AF14">
        <f t="shared" si="19"/>
        <v>1.4770512003240001E-6</v>
      </c>
      <c r="AG14">
        <f t="shared" si="36"/>
        <v>3794.889411145155</v>
      </c>
      <c r="AH14">
        <f t="shared" si="37"/>
        <v>-677024.69947582611</v>
      </c>
      <c r="AJ14">
        <f t="shared" si="20"/>
        <v>18000</v>
      </c>
      <c r="AK14">
        <f t="shared" si="21"/>
        <v>0.42587932618224006</v>
      </c>
      <c r="AL14">
        <v>1</v>
      </c>
      <c r="AM14">
        <f t="shared" si="22"/>
        <v>8.3796077744568E-4</v>
      </c>
      <c r="AN14">
        <f t="shared" si="38"/>
        <v>17999.987717670032</v>
      </c>
      <c r="AO14">
        <f t="shared" si="39"/>
        <v>-14.65740437572923</v>
      </c>
      <c r="AQ14">
        <f t="shared" si="23"/>
        <v>9998.5602073301452</v>
      </c>
      <c r="AR14">
        <f t="shared" si="24"/>
        <v>-119.98272248796174</v>
      </c>
      <c r="AT14">
        <f t="shared" si="40"/>
        <v>-43287836.377209269</v>
      </c>
      <c r="AU14">
        <f t="shared" si="41"/>
        <v>-6769727540.721735</v>
      </c>
      <c r="AV14">
        <f t="shared" si="42"/>
        <v>-1.5771905643998463</v>
      </c>
      <c r="AW14">
        <f t="shared" si="25"/>
        <v>180011431.43993741</v>
      </c>
      <c r="AX14">
        <f t="shared" si="26"/>
        <v>-6622301.7144437144</v>
      </c>
      <c r="AY14">
        <f t="shared" si="50"/>
        <v>-3.6771646122181464E-2</v>
      </c>
      <c r="BA14">
        <f t="shared" si="27"/>
        <v>37.582554889011682</v>
      </c>
      <c r="BB14">
        <f t="shared" si="43"/>
        <v>31.49972600836303</v>
      </c>
      <c r="BC14">
        <f t="shared" si="44"/>
        <v>-1.5404189182776649</v>
      </c>
      <c r="BD14">
        <f t="shared" si="28"/>
        <v>-268.25950280026905</v>
      </c>
      <c r="BF14">
        <f t="shared" si="29"/>
        <v>54.937815461173408</v>
      </c>
      <c r="BG14">
        <f t="shared" si="30"/>
        <v>-88.273102814802471</v>
      </c>
      <c r="BH14">
        <f t="shared" si="45"/>
        <v>91.726897185197529</v>
      </c>
      <c r="BI14">
        <f t="shared" si="46"/>
        <v>91.726897185197529</v>
      </c>
      <c r="BJ14">
        <f t="shared" si="31"/>
        <v>0</v>
      </c>
      <c r="BK14">
        <f t="shared" si="47"/>
        <v>0</v>
      </c>
      <c r="BM14">
        <f t="shared" si="48"/>
        <v>23.438089452810384</v>
      </c>
      <c r="BN14">
        <f t="shared" si="32"/>
        <v>-1.3600014533416247E-2</v>
      </c>
      <c r="BQ14" s="56">
        <f t="shared" si="49"/>
        <v>48.401686808648165</v>
      </c>
      <c r="BR14" s="58"/>
      <c r="BS14" s="58"/>
      <c r="BT14" s="58">
        <v>109.648</v>
      </c>
      <c r="BU14" s="58">
        <v>34.114400000000003</v>
      </c>
      <c r="BV14" s="58">
        <v>-262.76620000000003</v>
      </c>
      <c r="BW14" s="61"/>
      <c r="BY14" s="58"/>
      <c r="BZ14" s="58"/>
      <c r="CA14" s="58"/>
      <c r="CC14" s="58"/>
    </row>
    <row r="15" spans="1:81" x14ac:dyDescent="0.2">
      <c r="A15">
        <v>7</v>
      </c>
      <c r="B15">
        <f t="shared" si="33"/>
        <v>7.0000000000000001E-3</v>
      </c>
      <c r="C15">
        <f t="shared" si="0"/>
        <v>1.0000000000014262</v>
      </c>
      <c r="D15">
        <f t="shared" si="1"/>
        <v>1.6889202086383944E-6</v>
      </c>
      <c r="F15">
        <f t="shared" si="2"/>
        <v>0.99040602290836999</v>
      </c>
      <c r="G15">
        <f t="shared" si="3"/>
        <v>-2.7861482937943855E-4</v>
      </c>
      <c r="H15">
        <f t="shared" si="4"/>
        <v>-2.7861482937943855E-4</v>
      </c>
      <c r="J15">
        <f t="shared" si="5"/>
        <v>15</v>
      </c>
      <c r="M15">
        <f t="shared" si="6"/>
        <v>32.239266728602303</v>
      </c>
      <c r="N15">
        <f t="shared" si="7"/>
        <v>-1.5707963250000001</v>
      </c>
      <c r="O15">
        <f t="shared" si="8"/>
        <v>1.0000215798238881</v>
      </c>
      <c r="P15">
        <f t="shared" si="9"/>
        <v>6.5695412048668335E-3</v>
      </c>
      <c r="Q15">
        <f t="shared" si="10"/>
        <v>1.0000004778712048</v>
      </c>
      <c r="R15">
        <f t="shared" si="11"/>
        <v>9.7762059556881042E-4</v>
      </c>
      <c r="S15">
        <f t="shared" si="12"/>
        <v>0.99999999961902919</v>
      </c>
      <c r="T15">
        <f t="shared" si="13"/>
        <v>-2.7603289652949307E-5</v>
      </c>
      <c r="U15">
        <f t="shared" si="14"/>
        <v>0.99999999954452057</v>
      </c>
      <c r="V15">
        <f t="shared" si="15"/>
        <v>-3.0182093640882598E-5</v>
      </c>
      <c r="X15">
        <f t="shared" si="34"/>
        <v>53.6059853245428</v>
      </c>
      <c r="Y15">
        <f t="shared" si="16"/>
        <v>-89.586757025474071</v>
      </c>
      <c r="Z15">
        <f t="shared" si="35"/>
        <v>90.413242974525929</v>
      </c>
      <c r="AC15">
        <v>1</v>
      </c>
      <c r="AD15">
        <f t="shared" si="17"/>
        <v>6.569635717827E-3</v>
      </c>
      <c r="AE15">
        <f t="shared" si="18"/>
        <v>-5.2010580596442996E-11</v>
      </c>
      <c r="AF15">
        <f t="shared" si="19"/>
        <v>1.723226400378E-6</v>
      </c>
      <c r="AG15">
        <f t="shared" si="36"/>
        <v>3794.8894102279951</v>
      </c>
      <c r="AH15">
        <f t="shared" si="37"/>
        <v>-580306.91565254889</v>
      </c>
      <c r="AJ15">
        <f t="shared" si="20"/>
        <v>18000</v>
      </c>
      <c r="AK15">
        <f t="shared" si="21"/>
        <v>0.49685921387928</v>
      </c>
      <c r="AL15">
        <v>1</v>
      </c>
      <c r="AM15">
        <f t="shared" si="22"/>
        <v>9.7762090701996002E-4</v>
      </c>
      <c r="AN15">
        <f t="shared" si="38"/>
        <v>17999.983282388454</v>
      </c>
      <c r="AO15">
        <f t="shared" si="39"/>
        <v>-17.100300768993439</v>
      </c>
      <c r="AQ15">
        <f t="shared" si="23"/>
        <v>9998.0403840847193</v>
      </c>
      <c r="AR15">
        <f t="shared" si="24"/>
        <v>-139.97256537718607</v>
      </c>
      <c r="AT15">
        <f t="shared" si="40"/>
        <v>-43285590.113414668</v>
      </c>
      <c r="AU15">
        <f t="shared" si="41"/>
        <v>-5802463158.2639017</v>
      </c>
      <c r="AV15">
        <f t="shared" si="42"/>
        <v>-1.5782560531245535</v>
      </c>
      <c r="AW15">
        <f t="shared" si="25"/>
        <v>180001395.33722335</v>
      </c>
      <c r="AX15">
        <f t="shared" si="26"/>
        <v>-6389963.5031018276</v>
      </c>
      <c r="AY15">
        <f t="shared" si="50"/>
        <v>-3.5484620961179082E-2</v>
      </c>
      <c r="BA15">
        <f t="shared" si="27"/>
        <v>32.216260153156135</v>
      </c>
      <c r="BB15">
        <f t="shared" si="43"/>
        <v>30.161502472677828</v>
      </c>
      <c r="BC15">
        <f t="shared" si="44"/>
        <v>-1.5427714321633745</v>
      </c>
      <c r="BD15">
        <f t="shared" si="28"/>
        <v>-268.39429191732017</v>
      </c>
      <c r="BF15">
        <f t="shared" si="29"/>
        <v>53.599593108566957</v>
      </c>
      <c r="BG15">
        <f t="shared" si="30"/>
        <v>-88.410158603171595</v>
      </c>
      <c r="BH15">
        <f t="shared" si="45"/>
        <v>91.589841396828405</v>
      </c>
      <c r="BI15">
        <f t="shared" si="46"/>
        <v>91.589841396828405</v>
      </c>
      <c r="BJ15">
        <f t="shared" si="31"/>
        <v>0</v>
      </c>
      <c r="BK15">
        <f t="shared" si="47"/>
        <v>0</v>
      </c>
      <c r="BM15">
        <f t="shared" si="48"/>
        <v>23.438090635889125</v>
      </c>
      <c r="BN15">
        <f t="shared" si="32"/>
        <v>-1.5866685851440358E-2</v>
      </c>
      <c r="BQ15" s="56">
        <f t="shared" si="49"/>
        <v>47.063463272962963</v>
      </c>
      <c r="BR15" s="58"/>
      <c r="BS15" s="58"/>
      <c r="BT15" s="58">
        <v>112.202</v>
      </c>
      <c r="BU15" s="58">
        <v>34.297699999999999</v>
      </c>
      <c r="BV15" s="58">
        <v>-267.01279999999997</v>
      </c>
      <c r="BW15" s="61"/>
      <c r="BY15" s="58"/>
      <c r="BZ15" s="58"/>
      <c r="CA15" s="58"/>
      <c r="CC15" s="58"/>
    </row>
    <row r="16" spans="1:81" x14ac:dyDescent="0.2">
      <c r="A16">
        <v>8</v>
      </c>
      <c r="B16">
        <f t="shared" si="33"/>
        <v>8.0000000000000002E-3</v>
      </c>
      <c r="C16">
        <f t="shared" si="0"/>
        <v>1.000000000001863</v>
      </c>
      <c r="D16">
        <f t="shared" si="1"/>
        <v>1.930194524157603E-6</v>
      </c>
      <c r="F16">
        <f t="shared" si="2"/>
        <v>0.99040617856205471</v>
      </c>
      <c r="G16">
        <f t="shared" si="3"/>
        <v>-3.1841699916619609E-4</v>
      </c>
      <c r="H16">
        <f t="shared" si="4"/>
        <v>-3.1841699916619609E-4</v>
      </c>
      <c r="J16">
        <f t="shared" si="5"/>
        <v>15</v>
      </c>
      <c r="M16">
        <f t="shared" si="6"/>
        <v>28.209358387527011</v>
      </c>
      <c r="N16">
        <f t="shared" si="7"/>
        <v>-1.5707963250000001</v>
      </c>
      <c r="O16">
        <f t="shared" si="8"/>
        <v>1.000028185799329</v>
      </c>
      <c r="P16">
        <f t="shared" si="9"/>
        <v>7.5080140266360696E-3</v>
      </c>
      <c r="Q16">
        <f t="shared" si="10"/>
        <v>1.0000006241582626</v>
      </c>
      <c r="R16">
        <f t="shared" si="11"/>
        <v>1.1172805716876495E-3</v>
      </c>
      <c r="S16">
        <f t="shared" si="12"/>
        <v>0.99999999950240559</v>
      </c>
      <c r="T16">
        <f t="shared" si="13"/>
        <v>-3.1546616743775055E-5</v>
      </c>
      <c r="U16">
        <f t="shared" si="14"/>
        <v>0.9999999994050881</v>
      </c>
      <c r="V16">
        <f t="shared" si="15"/>
        <v>-3.449382130065945E-5</v>
      </c>
      <c r="X16">
        <f t="shared" si="34"/>
        <v>52.446206395834487</v>
      </c>
      <c r="Y16">
        <f t="shared" si="16"/>
        <v>-89.527724218474106</v>
      </c>
      <c r="Z16">
        <f t="shared" si="35"/>
        <v>90.472275781525894</v>
      </c>
      <c r="AC16">
        <v>1</v>
      </c>
      <c r="AD16">
        <f t="shared" si="17"/>
        <v>7.5081551060880002E-3</v>
      </c>
      <c r="AE16">
        <f t="shared" si="18"/>
        <v>-6.7932186901476579E-11</v>
      </c>
      <c r="AF16">
        <f t="shared" si="19"/>
        <v>1.969401600432E-6</v>
      </c>
      <c r="AG16">
        <f t="shared" si="36"/>
        <v>3794.8894091697348</v>
      </c>
      <c r="AH16">
        <f t="shared" si="37"/>
        <v>-507768.5818757235</v>
      </c>
      <c r="AJ16">
        <f t="shared" si="20"/>
        <v>18000</v>
      </c>
      <c r="AK16">
        <f t="shared" si="21"/>
        <v>0.56783910157632</v>
      </c>
      <c r="AL16">
        <v>1</v>
      </c>
      <c r="AM16">
        <f t="shared" si="22"/>
        <v>1.1172810365942401E-3</v>
      </c>
      <c r="AN16">
        <f t="shared" si="38"/>
        <v>17999.978164758653</v>
      </c>
      <c r="AO16">
        <f t="shared" si="39"/>
        <v>-19.543195161018915</v>
      </c>
      <c r="AQ16">
        <f t="shared" si="23"/>
        <v>9997.4406551922712</v>
      </c>
      <c r="AR16">
        <f t="shared" si="24"/>
        <v>-159.95905048307634</v>
      </c>
      <c r="AT16">
        <f t="shared" si="40"/>
        <v>-43282998.560786851</v>
      </c>
      <c r="AU16">
        <f t="shared" si="41"/>
        <v>-5076993290.7802629</v>
      </c>
      <c r="AV16">
        <f t="shared" si="42"/>
        <v>-1.5793214414659047</v>
      </c>
      <c r="AW16">
        <f t="shared" si="25"/>
        <v>179989816.51577535</v>
      </c>
      <c r="AX16">
        <f t="shared" si="26"/>
        <v>-6311704.4379364029</v>
      </c>
      <c r="AY16">
        <f t="shared" si="50"/>
        <v>-3.5052645254729745E-2</v>
      </c>
      <c r="BA16">
        <f t="shared" si="27"/>
        <v>28.190811414688557</v>
      </c>
      <c r="BB16">
        <f t="shared" si="43"/>
        <v>29.002151526548946</v>
      </c>
      <c r="BC16">
        <f t="shared" si="44"/>
        <v>-1.544268796211175</v>
      </c>
      <c r="BD16">
        <f t="shared" si="28"/>
        <v>-268.48008455775175</v>
      </c>
      <c r="BF16">
        <f t="shared" si="29"/>
        <v>52.440243527529105</v>
      </c>
      <c r="BG16">
        <f t="shared" si="30"/>
        <v>-88.498217915950065</v>
      </c>
      <c r="BH16">
        <f t="shared" si="45"/>
        <v>91.501782084049935</v>
      </c>
      <c r="BI16">
        <f t="shared" si="46"/>
        <v>91.501782084049935</v>
      </c>
      <c r="BJ16">
        <f t="shared" si="31"/>
        <v>0</v>
      </c>
      <c r="BK16">
        <f t="shared" si="47"/>
        <v>0</v>
      </c>
      <c r="BM16">
        <f t="shared" si="48"/>
        <v>23.438092000980156</v>
      </c>
      <c r="BN16">
        <f t="shared" si="32"/>
        <v>-1.8133358198290581E-2</v>
      </c>
      <c r="BQ16" s="56">
        <f t="shared" si="49"/>
        <v>45.904112326834081</v>
      </c>
      <c r="BR16" s="59"/>
      <c r="BS16" s="59"/>
      <c r="BT16" s="59">
        <v>114.815</v>
      </c>
      <c r="BU16" s="59">
        <v>33.346499999999999</v>
      </c>
      <c r="BV16" s="59">
        <v>-266.20479999999998</v>
      </c>
      <c r="BW16" s="61"/>
      <c r="BY16" s="59"/>
      <c r="BZ16" s="59"/>
      <c r="CA16" s="59"/>
      <c r="CC16" s="59"/>
    </row>
    <row r="17" spans="1:81" x14ac:dyDescent="0.2">
      <c r="A17">
        <v>9</v>
      </c>
      <c r="B17">
        <f t="shared" si="33"/>
        <v>8.9999999999999993E-3</v>
      </c>
      <c r="C17">
        <f t="shared" si="0"/>
        <v>1.0000000000023577</v>
      </c>
      <c r="D17">
        <f t="shared" si="1"/>
        <v>2.1714688396765871E-6</v>
      </c>
      <c r="F17">
        <f t="shared" si="2"/>
        <v>0.99040635496961837</v>
      </c>
      <c r="G17">
        <f t="shared" si="3"/>
        <v>-3.5821918947456723E-4</v>
      </c>
      <c r="H17">
        <f t="shared" si="4"/>
        <v>-3.5821918947456723E-4</v>
      </c>
      <c r="J17">
        <f t="shared" si="5"/>
        <v>15</v>
      </c>
      <c r="M17">
        <f t="shared" si="6"/>
        <v>25.074985233357342</v>
      </c>
      <c r="N17">
        <f t="shared" si="7"/>
        <v>-1.5707963250000001</v>
      </c>
      <c r="O17">
        <f t="shared" si="8"/>
        <v>1.0000356725187425</v>
      </c>
      <c r="P17">
        <f t="shared" si="9"/>
        <v>8.4464736232620907E-3</v>
      </c>
      <c r="Q17">
        <f t="shared" si="10"/>
        <v>1.0000007899502357</v>
      </c>
      <c r="R17">
        <f t="shared" si="11"/>
        <v>1.2569405042215725E-3</v>
      </c>
      <c r="S17">
        <f t="shared" si="12"/>
        <v>0.99999999937023198</v>
      </c>
      <c r="T17">
        <f t="shared" si="13"/>
        <v>-3.5489943833619718E-5</v>
      </c>
      <c r="U17">
        <f t="shared" si="14"/>
        <v>0.99999999924706473</v>
      </c>
      <c r="V17">
        <f t="shared" si="15"/>
        <v>-3.8805548959153754E-5</v>
      </c>
      <c r="X17">
        <f t="shared" si="34"/>
        <v>51.423223958261708</v>
      </c>
      <c r="Y17">
        <f t="shared" si="16"/>
        <v>-89.468692172891949</v>
      </c>
      <c r="Z17">
        <f t="shared" si="35"/>
        <v>90.531307827108051</v>
      </c>
      <c r="AC17">
        <v>1</v>
      </c>
      <c r="AD17">
        <f t="shared" si="17"/>
        <v>8.4466744943490005E-3</v>
      </c>
      <c r="AE17">
        <f t="shared" si="18"/>
        <v>-8.5976674047181286E-11</v>
      </c>
      <c r="AF17">
        <f t="shared" si="19"/>
        <v>2.2155768004860001E-6</v>
      </c>
      <c r="AG17">
        <f t="shared" si="36"/>
        <v>3794.8894079703705</v>
      </c>
      <c r="AH17">
        <f t="shared" si="37"/>
        <v>-451349.88146319886</v>
      </c>
      <c r="AJ17">
        <f t="shared" si="20"/>
        <v>18000</v>
      </c>
      <c r="AK17">
        <f t="shared" si="21"/>
        <v>0.63881898927336001</v>
      </c>
      <c r="AL17">
        <v>1</v>
      </c>
      <c r="AM17">
        <f t="shared" si="22"/>
        <v>1.2569411661685201E-3</v>
      </c>
      <c r="AN17">
        <f t="shared" si="38"/>
        <v>17999.972364781832</v>
      </c>
      <c r="AO17">
        <f t="shared" si="39"/>
        <v>-21.986087265916648</v>
      </c>
      <c r="AQ17">
        <f t="shared" si="23"/>
        <v>9996.7610494199889</v>
      </c>
      <c r="AR17">
        <f t="shared" si="24"/>
        <v>-179.94169888955977</v>
      </c>
      <c r="AT17">
        <f t="shared" si="40"/>
        <v>-43280061.84363474</v>
      </c>
      <c r="AU17">
        <f t="shared" si="41"/>
        <v>-4512719773.5188036</v>
      </c>
      <c r="AV17">
        <f t="shared" si="42"/>
        <v>-1.5803867150984197</v>
      </c>
      <c r="AW17">
        <f t="shared" si="25"/>
        <v>179976695.53117758</v>
      </c>
      <c r="AX17">
        <f t="shared" si="26"/>
        <v>-6336133.9384355638</v>
      </c>
      <c r="AY17">
        <f t="shared" si="50"/>
        <v>-3.5190768273907179E-2</v>
      </c>
      <c r="BA17">
        <f t="shared" si="27"/>
        <v>25.059540092398702</v>
      </c>
      <c r="BB17">
        <f t="shared" si="43"/>
        <v>27.979461926006799</v>
      </c>
      <c r="BC17">
        <f t="shared" si="44"/>
        <v>-1.5451959468245124</v>
      </c>
      <c r="BD17">
        <f t="shared" si="28"/>
        <v>-268.5332063749297</v>
      </c>
      <c r="BF17">
        <f t="shared" si="29"/>
        <v>51.417555474090335</v>
      </c>
      <c r="BG17">
        <f t="shared" si="30"/>
        <v>-88.553606406650616</v>
      </c>
      <c r="BH17">
        <f t="shared" si="45"/>
        <v>91.446393593349384</v>
      </c>
      <c r="BI17">
        <f t="shared" si="46"/>
        <v>91.446393593349384</v>
      </c>
      <c r="BJ17">
        <f t="shared" si="31"/>
        <v>0</v>
      </c>
      <c r="BK17">
        <f t="shared" si="47"/>
        <v>0</v>
      </c>
      <c r="BM17">
        <f t="shared" si="48"/>
        <v>23.43809354808354</v>
      </c>
      <c r="BN17">
        <f t="shared" si="32"/>
        <v>-2.0400031720942659E-2</v>
      </c>
      <c r="BQ17" s="56">
        <f t="shared" si="49"/>
        <v>44.881422726291937</v>
      </c>
      <c r="BR17" s="59"/>
      <c r="BS17" s="59"/>
      <c r="BT17" s="59">
        <v>117.49</v>
      </c>
      <c r="BU17" s="59">
        <v>33.0246</v>
      </c>
      <c r="BV17" s="59">
        <v>-264.9049</v>
      </c>
      <c r="BW17" s="61"/>
      <c r="BY17" s="59"/>
      <c r="BZ17" s="59"/>
      <c r="CA17" s="59"/>
      <c r="CC17" s="59"/>
    </row>
    <row r="18" spans="1:81" x14ac:dyDescent="0.2">
      <c r="A18">
        <v>10</v>
      </c>
      <c r="B18">
        <f t="shared" si="33"/>
        <v>0.01</v>
      </c>
      <c r="C18">
        <f t="shared" si="0"/>
        <v>1.0000000000029106</v>
      </c>
      <c r="D18">
        <f t="shared" si="1"/>
        <v>2.4127431551953183E-6</v>
      </c>
      <c r="F18">
        <f t="shared" si="2"/>
        <v>0.99040655213108164</v>
      </c>
      <c r="G18">
        <f t="shared" si="3"/>
        <v>-3.9802140286976693E-4</v>
      </c>
      <c r="H18">
        <f t="shared" si="4"/>
        <v>-3.9802140286976693E-4</v>
      </c>
      <c r="J18">
        <f t="shared" si="5"/>
        <v>15</v>
      </c>
      <c r="M18">
        <f t="shared" si="6"/>
        <v>22.567486710021608</v>
      </c>
      <c r="N18">
        <f t="shared" si="7"/>
        <v>-1.5707963250000001</v>
      </c>
      <c r="O18">
        <f t="shared" si="8"/>
        <v>1.000044039962348</v>
      </c>
      <c r="P18">
        <f t="shared" si="9"/>
        <v>9.3849183420475334E-3</v>
      </c>
      <c r="Q18">
        <f t="shared" si="10"/>
        <v>1.0000009752471142</v>
      </c>
      <c r="R18">
        <f t="shared" si="11"/>
        <v>1.396600387722498E-3</v>
      </c>
      <c r="S18">
        <f t="shared" si="12"/>
        <v>0.9999999992225086</v>
      </c>
      <c r="T18">
        <f t="shared" si="13"/>
        <v>-3.9433270922360657E-5</v>
      </c>
      <c r="U18">
        <f t="shared" si="14"/>
        <v>0.99999999907045023</v>
      </c>
      <c r="V18">
        <f t="shared" si="15"/>
        <v>-4.3117276616205203E-5</v>
      </c>
      <c r="X18">
        <f t="shared" si="34"/>
        <v>50.508150158608814</v>
      </c>
      <c r="Y18">
        <f t="shared" si="16"/>
        <v>-89.409660983879277</v>
      </c>
      <c r="Z18">
        <f t="shared" si="35"/>
        <v>90.590339016120723</v>
      </c>
      <c r="AC18">
        <v>1</v>
      </c>
      <c r="AD18">
        <f t="shared" si="17"/>
        <v>9.3851938826100007E-3</v>
      </c>
      <c r="AE18">
        <f t="shared" si="18"/>
        <v>-1.0614404203355714E-10</v>
      </c>
      <c r="AF18">
        <f t="shared" si="19"/>
        <v>2.4617520005400003E-6</v>
      </c>
      <c r="AG18">
        <f t="shared" si="36"/>
        <v>3794.8894066299063</v>
      </c>
      <c r="AH18">
        <f t="shared" si="37"/>
        <v>-406214.92440568528</v>
      </c>
      <c r="AJ18">
        <f t="shared" si="20"/>
        <v>18000</v>
      </c>
      <c r="AK18">
        <f t="shared" si="21"/>
        <v>0.70979887697040001</v>
      </c>
      <c r="AL18">
        <v>1</v>
      </c>
      <c r="AM18">
        <f t="shared" si="22"/>
        <v>1.3966012957428002E-3</v>
      </c>
      <c r="AN18">
        <f t="shared" si="38"/>
        <v>17999.96588245935</v>
      </c>
      <c r="AO18">
        <f t="shared" si="39"/>
        <v>-24.428976797798523</v>
      </c>
      <c r="AQ18">
        <f t="shared" si="23"/>
        <v>9996.0015993602556</v>
      </c>
      <c r="AR18">
        <f t="shared" si="24"/>
        <v>-199.92003198720514</v>
      </c>
      <c r="AT18">
        <f t="shared" si="40"/>
        <v>-43276780.10279689</v>
      </c>
      <c r="AU18">
        <f t="shared" si="41"/>
        <v>-4061283708.4547968</v>
      </c>
      <c r="AV18">
        <f t="shared" si="42"/>
        <v>-1.5814518597026157</v>
      </c>
      <c r="AW18">
        <f t="shared" si="25"/>
        <v>179962033.01289052</v>
      </c>
      <c r="AX18">
        <f t="shared" si="26"/>
        <v>-6432413.9625491388</v>
      </c>
      <c r="AY18">
        <f t="shared" si="50"/>
        <v>-3.5727962487669879E-2</v>
      </c>
      <c r="BA18">
        <f t="shared" si="27"/>
        <v>22.554325772438204</v>
      </c>
      <c r="BB18">
        <f t="shared" si="43"/>
        <v>27.064596980981218</v>
      </c>
      <c r="BC18">
        <f t="shared" si="44"/>
        <v>-1.5457238972149459</v>
      </c>
      <c r="BD18">
        <f t="shared" si="28"/>
        <v>-268.56345570412839</v>
      </c>
      <c r="BF18">
        <f t="shared" si="29"/>
        <v>50.502692258180574</v>
      </c>
      <c r="BG18">
        <f t="shared" si="30"/>
        <v>-88.586122410694728</v>
      </c>
      <c r="BH18">
        <f t="shared" si="45"/>
        <v>91.413877589305272</v>
      </c>
      <c r="BI18">
        <f t="shared" si="46"/>
        <v>91.413877589305272</v>
      </c>
      <c r="BJ18">
        <f t="shared" si="31"/>
        <v>0</v>
      </c>
      <c r="BK18">
        <f t="shared" si="47"/>
        <v>0</v>
      </c>
      <c r="BM18">
        <f t="shared" si="48"/>
        <v>23.438095277199359</v>
      </c>
      <c r="BN18">
        <f t="shared" si="32"/>
        <v>-2.2666706566372596E-2</v>
      </c>
      <c r="BQ18" s="56">
        <f t="shared" si="49"/>
        <v>43.966557781266353</v>
      </c>
      <c r="BR18" s="59"/>
      <c r="BS18" s="59"/>
      <c r="BT18" s="59">
        <v>120.226</v>
      </c>
      <c r="BU18" s="59">
        <v>33.735999999999997</v>
      </c>
      <c r="BV18" s="59">
        <v>-269.98079999999999</v>
      </c>
      <c r="BW18" s="61"/>
      <c r="BY18" s="59"/>
      <c r="BZ18" s="59"/>
      <c r="CA18" s="59"/>
      <c r="CC18" s="59"/>
    </row>
    <row r="19" spans="1:81" x14ac:dyDescent="0.2">
      <c r="A19">
        <f>A10*10</f>
        <v>20</v>
      </c>
      <c r="B19">
        <f t="shared" si="33"/>
        <v>0.02</v>
      </c>
      <c r="C19">
        <f t="shared" si="0"/>
        <v>1.0000000000116427</v>
      </c>
      <c r="D19">
        <f t="shared" si="1"/>
        <v>4.8254863103625465E-6</v>
      </c>
      <c r="F19">
        <f t="shared" si="2"/>
        <v>0.99040966521640661</v>
      </c>
      <c r="G19">
        <f t="shared" si="3"/>
        <v>-7.9604537094869678E-4</v>
      </c>
      <c r="H19">
        <f t="shared" si="4"/>
        <v>-7.9604537094869678E-4</v>
      </c>
      <c r="J19">
        <f t="shared" si="5"/>
        <v>15</v>
      </c>
      <c r="M19">
        <f t="shared" si="6"/>
        <v>11.283743355010804</v>
      </c>
      <c r="N19">
        <f t="shared" si="7"/>
        <v>-1.5707963250000001</v>
      </c>
      <c r="O19">
        <f t="shared" si="8"/>
        <v>1.0001761482143317</v>
      </c>
      <c r="P19">
        <f t="shared" si="9"/>
        <v>1.8768183790118631E-2</v>
      </c>
      <c r="Q19">
        <f t="shared" si="10"/>
        <v>1.0000039009827497</v>
      </c>
      <c r="R19">
        <f t="shared" si="11"/>
        <v>2.793195327348686E-3</v>
      </c>
      <c r="S19">
        <f t="shared" si="12"/>
        <v>0.99999999689003438</v>
      </c>
      <c r="T19">
        <f t="shared" si="13"/>
        <v>-7.8866541722085186E-5</v>
      </c>
      <c r="U19">
        <f t="shared" si="14"/>
        <v>0.99999999628180092</v>
      </c>
      <c r="V19">
        <f t="shared" si="15"/>
        <v>-8.6234553072091788E-5</v>
      </c>
      <c r="X19">
        <f t="shared" si="34"/>
        <v>44.488750266651856</v>
      </c>
      <c r="Y19">
        <f t="shared" si="16"/>
        <v>-88.819417130719899</v>
      </c>
      <c r="Z19">
        <f t="shared" si="35"/>
        <v>91.180582869280101</v>
      </c>
      <c r="AC19">
        <v>1</v>
      </c>
      <c r="AD19">
        <f t="shared" si="17"/>
        <v>1.8770387765220001E-2</v>
      </c>
      <c r="AE19">
        <f t="shared" si="18"/>
        <v>-4.2457616813422857E-10</v>
      </c>
      <c r="AF19">
        <f t="shared" si="19"/>
        <v>4.9235040010800005E-6</v>
      </c>
      <c r="AG19">
        <f t="shared" si="36"/>
        <v>3794.8893854646749</v>
      </c>
      <c r="AH19">
        <f t="shared" si="37"/>
        <v>-203107.7076407854</v>
      </c>
      <c r="AJ19">
        <f t="shared" si="20"/>
        <v>18000</v>
      </c>
      <c r="AK19">
        <f t="shared" si="21"/>
        <v>1.4195977539408</v>
      </c>
      <c r="AL19">
        <v>1</v>
      </c>
      <c r="AM19">
        <f t="shared" si="22"/>
        <v>2.7932025914856004E-3</v>
      </c>
      <c r="AN19">
        <f t="shared" si="38"/>
        <v>17999.86353063595</v>
      </c>
      <c r="AO19">
        <f t="shared" si="39"/>
        <v>-48.857667706218685</v>
      </c>
      <c r="AQ19">
        <f t="shared" si="23"/>
        <v>9984.0255591054301</v>
      </c>
      <c r="AR19">
        <f t="shared" si="24"/>
        <v>-399.36102236421721</v>
      </c>
      <c r="AT19">
        <f t="shared" si="40"/>
        <v>-43225029.155019373</v>
      </c>
      <c r="AU19">
        <f t="shared" si="41"/>
        <v>-2029348075.241653</v>
      </c>
      <c r="AV19">
        <f t="shared" si="42"/>
        <v>-1.59209306468114</v>
      </c>
      <c r="AW19">
        <f t="shared" si="25"/>
        <v>179730814.60266021</v>
      </c>
      <c r="AX19">
        <f t="shared" si="26"/>
        <v>-8971147.6874495838</v>
      </c>
      <c r="AY19">
        <f t="shared" si="50"/>
        <v>-4.9872963952055781E-2</v>
      </c>
      <c r="BA19">
        <f t="shared" si="27"/>
        <v>11.279560004676288</v>
      </c>
      <c r="BB19">
        <f t="shared" si="43"/>
        <v>21.045843178641341</v>
      </c>
      <c r="BC19">
        <f t="shared" si="44"/>
        <v>-1.5422201007290841</v>
      </c>
      <c r="BD19">
        <f t="shared" si="28"/>
        <v>-268.3627029529863</v>
      </c>
      <c r="BF19">
        <f t="shared" si="29"/>
        <v>44.483965757707928</v>
      </c>
      <c r="BG19">
        <f t="shared" si="30"/>
        <v>-88.408036513094714</v>
      </c>
      <c r="BH19">
        <f t="shared" si="45"/>
        <v>91.591963486905286</v>
      </c>
      <c r="BI19">
        <f t="shared" si="46"/>
        <v>91.591963486905286</v>
      </c>
      <c r="BJ19">
        <f t="shared" si="31"/>
        <v>0</v>
      </c>
      <c r="BK19">
        <f t="shared" si="47"/>
        <v>0</v>
      </c>
      <c r="BM19">
        <f t="shared" si="48"/>
        <v>23.43812257906659</v>
      </c>
      <c r="BN19">
        <f t="shared" si="32"/>
        <v>-4.5333560108405578E-2</v>
      </c>
      <c r="BQ19" s="56">
        <f t="shared" si="49"/>
        <v>37.947803978926473</v>
      </c>
      <c r="BR19" s="59"/>
      <c r="BS19" s="59"/>
      <c r="BT19" s="59">
        <v>123.027</v>
      </c>
      <c r="BU19" s="59">
        <v>32.764899999999997</v>
      </c>
      <c r="BV19" s="59">
        <v>-265.73410000000001</v>
      </c>
      <c r="BW19" s="61"/>
      <c r="BY19" s="59"/>
      <c r="BZ19" s="59"/>
      <c r="CA19" s="59"/>
      <c r="CC19" s="59"/>
    </row>
    <row r="20" spans="1:81" x14ac:dyDescent="0.2">
      <c r="A20">
        <f t="shared" ref="A20:A36" si="51">A11*10</f>
        <v>30</v>
      </c>
      <c r="B20">
        <f t="shared" si="33"/>
        <v>0.03</v>
      </c>
      <c r="C20">
        <f t="shared" si="0"/>
        <v>1.0000000000261959</v>
      </c>
      <c r="D20">
        <f t="shared" si="1"/>
        <v>7.2382294654735914E-6</v>
      </c>
      <c r="F20">
        <f t="shared" si="2"/>
        <v>0.99041485373202554</v>
      </c>
      <c r="G20">
        <f t="shared" si="3"/>
        <v>-1.194074469498325E-3</v>
      </c>
      <c r="H20">
        <f t="shared" si="4"/>
        <v>-1.194074469498325E-3</v>
      </c>
      <c r="J20">
        <f t="shared" si="5"/>
        <v>15</v>
      </c>
      <c r="M20">
        <f t="shared" si="6"/>
        <v>7.5224955700072034</v>
      </c>
      <c r="N20">
        <f t="shared" si="7"/>
        <v>-1.5707963250000001</v>
      </c>
      <c r="O20">
        <f t="shared" si="8"/>
        <v>1.0003962898661349</v>
      </c>
      <c r="P20">
        <f t="shared" si="9"/>
        <v>2.8148145196240152E-2</v>
      </c>
      <c r="Q20">
        <f t="shared" si="10"/>
        <v>1.0000087771897872</v>
      </c>
      <c r="R20">
        <f t="shared" si="11"/>
        <v>4.1897793709097702E-3</v>
      </c>
      <c r="S20">
        <f t="shared" si="12"/>
        <v>0.99999999300257714</v>
      </c>
      <c r="T20">
        <f t="shared" si="13"/>
        <v>-1.1829981227653748E-4</v>
      </c>
      <c r="U20">
        <f t="shared" si="14"/>
        <v>0.99999999163405218</v>
      </c>
      <c r="V20">
        <f t="shared" si="15"/>
        <v>-1.2935182920734113E-4</v>
      </c>
      <c r="X20">
        <f t="shared" si="34"/>
        <v>40.968924447572618</v>
      </c>
      <c r="Y20">
        <f t="shared" si="16"/>
        <v>-88.229363503440212</v>
      </c>
      <c r="Z20">
        <f t="shared" si="35"/>
        <v>91.770636496559788</v>
      </c>
      <c r="AC20">
        <v>1</v>
      </c>
      <c r="AD20">
        <f t="shared" si="17"/>
        <v>2.815558164783E-2</v>
      </c>
      <c r="AE20">
        <f t="shared" si="18"/>
        <v>-9.5529637830201431E-10</v>
      </c>
      <c r="AF20">
        <f t="shared" si="19"/>
        <v>7.3852560016200004E-6</v>
      </c>
      <c r="AG20">
        <f t="shared" si="36"/>
        <v>3794.889350189289</v>
      </c>
      <c r="AH20">
        <f t="shared" si="37"/>
        <v>-135405.41113601148</v>
      </c>
      <c r="AJ20">
        <f t="shared" si="20"/>
        <v>18000</v>
      </c>
      <c r="AK20">
        <f t="shared" si="21"/>
        <v>2.1293966309112</v>
      </c>
      <c r="AL20">
        <v>1</v>
      </c>
      <c r="AM20">
        <f t="shared" si="22"/>
        <v>4.1898038872284007E-3</v>
      </c>
      <c r="AN20">
        <f t="shared" si="38"/>
        <v>17999.692946925392</v>
      </c>
      <c r="AO20">
        <f t="shared" si="39"/>
        <v>-73.28578684703443</v>
      </c>
      <c r="AQ20">
        <f t="shared" si="23"/>
        <v>9964.1291351135915</v>
      </c>
      <c r="AR20">
        <f t="shared" si="24"/>
        <v>-597.8477481068154</v>
      </c>
      <c r="AT20">
        <f t="shared" si="40"/>
        <v>-43139052.590388596</v>
      </c>
      <c r="AU20">
        <f t="shared" si="41"/>
        <v>-1351465768.2046916</v>
      </c>
      <c r="AV20">
        <f t="shared" si="42"/>
        <v>-1.6027056885490716</v>
      </c>
      <c r="AW20">
        <f t="shared" si="25"/>
        <v>179346679.73224682</v>
      </c>
      <c r="AX20">
        <f t="shared" si="26"/>
        <v>-12354658.352545358</v>
      </c>
      <c r="AY20">
        <f t="shared" si="50"/>
        <v>-6.8778363439311763E-2</v>
      </c>
      <c r="BA20">
        <f t="shared" si="27"/>
        <v>7.5215063993637941</v>
      </c>
      <c r="BB20">
        <f t="shared" si="43"/>
        <v>17.526096586868817</v>
      </c>
      <c r="BC20">
        <f t="shared" si="44"/>
        <v>-1.5339273251097598</v>
      </c>
      <c r="BD20">
        <f t="shared" si="28"/>
        <v>-267.8875619090071</v>
      </c>
      <c r="BF20">
        <f t="shared" si="29"/>
        <v>40.96426466920822</v>
      </c>
      <c r="BG20">
        <f t="shared" si="30"/>
        <v>-87.955562616611886</v>
      </c>
      <c r="BH20">
        <f t="shared" si="45"/>
        <v>92.044437383388114</v>
      </c>
      <c r="BI20">
        <f t="shared" si="46"/>
        <v>92.044437383388114</v>
      </c>
      <c r="BJ20">
        <f t="shared" si="31"/>
        <v>0</v>
      </c>
      <c r="BK20">
        <f t="shared" si="47"/>
        <v>0</v>
      </c>
      <c r="BM20">
        <f t="shared" si="48"/>
        <v>23.438168082339409</v>
      </c>
      <c r="BN20">
        <f t="shared" si="32"/>
        <v>-6.8000707604760041E-2</v>
      </c>
      <c r="BQ20" s="56">
        <f t="shared" si="49"/>
        <v>34.428057387153956</v>
      </c>
      <c r="BR20" s="59"/>
      <c r="BS20" s="59"/>
      <c r="BT20" s="59">
        <v>125.893</v>
      </c>
      <c r="BU20" s="59">
        <v>32.247199999999999</v>
      </c>
      <c r="BV20" s="59">
        <v>-266.37110000000001</v>
      </c>
      <c r="BW20" s="61"/>
      <c r="BY20" s="59"/>
      <c r="BZ20" s="59"/>
      <c r="CA20" s="59"/>
      <c r="CC20" s="59"/>
    </row>
    <row r="21" spans="1:81" x14ac:dyDescent="0.2">
      <c r="A21">
        <f t="shared" si="51"/>
        <v>40</v>
      </c>
      <c r="B21">
        <f t="shared" si="33"/>
        <v>0.04</v>
      </c>
      <c r="C21">
        <f t="shared" si="0"/>
        <v>1.0000000000465707</v>
      </c>
      <c r="D21">
        <f t="shared" si="1"/>
        <v>9.6509726205003667E-6</v>
      </c>
      <c r="F21">
        <f t="shared" si="2"/>
        <v>0.99042211773805644</v>
      </c>
      <c r="G21">
        <f t="shared" si="3"/>
        <v>-1.5921112638849352E-3</v>
      </c>
      <c r="H21">
        <f t="shared" si="4"/>
        <v>-1.5921112638849352E-3</v>
      </c>
      <c r="J21">
        <f t="shared" si="5"/>
        <v>15</v>
      </c>
      <c r="M21">
        <f t="shared" si="6"/>
        <v>5.6418716775054021</v>
      </c>
      <c r="N21">
        <f t="shared" si="7"/>
        <v>-1.5707963250000001</v>
      </c>
      <c r="O21">
        <f t="shared" si="8"/>
        <v>1.0007044068192299</v>
      </c>
      <c r="P21">
        <f t="shared" si="9"/>
        <v>3.7523154899837215E-2</v>
      </c>
      <c r="Q21">
        <f t="shared" si="10"/>
        <v>1.0000156038396943</v>
      </c>
      <c r="R21">
        <f t="shared" si="11"/>
        <v>5.5863470706919811E-3</v>
      </c>
      <c r="S21">
        <f t="shared" si="12"/>
        <v>0.99999998756013742</v>
      </c>
      <c r="T21">
        <f t="shared" si="13"/>
        <v>-1.5773308246308144E-4</v>
      </c>
      <c r="U21">
        <f t="shared" si="14"/>
        <v>0.99999998512720389</v>
      </c>
      <c r="V21">
        <f t="shared" si="15"/>
        <v>-1.7246910486163464E-4</v>
      </c>
      <c r="X21">
        <f t="shared" si="34"/>
        <v>38.472947409141668</v>
      </c>
      <c r="Y21">
        <f t="shared" si="16"/>
        <v>-87.639594965136808</v>
      </c>
      <c r="Z21">
        <f t="shared" si="35"/>
        <v>92.360405034863192</v>
      </c>
      <c r="AC21">
        <v>1</v>
      </c>
      <c r="AD21">
        <f t="shared" si="17"/>
        <v>3.7540775530440003E-2</v>
      </c>
      <c r="AE21">
        <f t="shared" si="18"/>
        <v>-1.6983046725369143E-9</v>
      </c>
      <c r="AF21">
        <f t="shared" si="19"/>
        <v>9.8470080021600011E-6</v>
      </c>
      <c r="AG21">
        <f t="shared" si="36"/>
        <v>3794.8893008037517</v>
      </c>
      <c r="AH21">
        <f t="shared" si="37"/>
        <v>-101554.34469626448</v>
      </c>
      <c r="AJ21">
        <f t="shared" si="20"/>
        <v>18000</v>
      </c>
      <c r="AK21">
        <f t="shared" si="21"/>
        <v>2.8391955078816</v>
      </c>
      <c r="AL21">
        <v>1</v>
      </c>
      <c r="AM21">
        <f t="shared" si="22"/>
        <v>5.5864051829712007E-3</v>
      </c>
      <c r="AN21">
        <f t="shared" si="38"/>
        <v>17999.454135320171</v>
      </c>
      <c r="AO21">
        <f t="shared" si="39"/>
        <v>-97.713048364323427</v>
      </c>
      <c r="AQ21">
        <f t="shared" si="23"/>
        <v>9936.4069952305254</v>
      </c>
      <c r="AR21">
        <f t="shared" si="24"/>
        <v>-794.91255961844195</v>
      </c>
      <c r="AT21">
        <f t="shared" si="40"/>
        <v>-43019259.488249265</v>
      </c>
      <c r="AU21">
        <f t="shared" si="41"/>
        <v>-1012101906.203585</v>
      </c>
      <c r="AV21">
        <f t="shared" si="42"/>
        <v>-1.6132756267121582</v>
      </c>
      <c r="AW21">
        <f t="shared" si="25"/>
        <v>178811456.73282152</v>
      </c>
      <c r="AX21">
        <f t="shared" si="26"/>
        <v>-15926509.610782087</v>
      </c>
      <c r="AY21">
        <f t="shared" si="50"/>
        <v>-8.8834311707145119E-2</v>
      </c>
      <c r="BA21">
        <f t="shared" si="27"/>
        <v>5.64293406801196</v>
      </c>
      <c r="BB21">
        <f t="shared" si="43"/>
        <v>15.030099520141691</v>
      </c>
      <c r="BC21">
        <f t="shared" si="44"/>
        <v>-1.5244413150050131</v>
      </c>
      <c r="BD21">
        <f t="shared" si="28"/>
        <v>-267.34405356496563</v>
      </c>
      <c r="BF21">
        <f t="shared" si="29"/>
        <v>38.468331307400689</v>
      </c>
      <c r="BG21">
        <f t="shared" si="30"/>
        <v>-87.434721861005727</v>
      </c>
      <c r="BH21">
        <f t="shared" si="45"/>
        <v>92.565278138994273</v>
      </c>
      <c r="BI21">
        <f t="shared" si="46"/>
        <v>92.565278138994273</v>
      </c>
      <c r="BJ21">
        <f t="shared" si="31"/>
        <v>0</v>
      </c>
      <c r="BK21">
        <f t="shared" si="47"/>
        <v>0</v>
      </c>
      <c r="BM21">
        <f t="shared" si="48"/>
        <v>23.438231787258999</v>
      </c>
      <c r="BN21">
        <f t="shared" si="32"/>
        <v>-9.0668296040098725E-2</v>
      </c>
      <c r="BQ21" s="56">
        <f t="shared" si="49"/>
        <v>31.932060320426828</v>
      </c>
      <c r="BR21" s="59"/>
      <c r="BS21" s="59"/>
      <c r="BT21" s="59">
        <v>128.82499999999999</v>
      </c>
      <c r="BU21" s="59">
        <v>32.3142</v>
      </c>
      <c r="BV21" s="59">
        <v>-268.05959999999999</v>
      </c>
      <c r="BW21" s="61"/>
      <c r="BY21" s="59"/>
      <c r="BZ21" s="59"/>
      <c r="CA21" s="59"/>
      <c r="CC21" s="59"/>
    </row>
    <row r="22" spans="1:81" x14ac:dyDescent="0.2">
      <c r="A22">
        <f t="shared" si="51"/>
        <v>50</v>
      </c>
      <c r="B22">
        <f t="shared" si="33"/>
        <v>0.05</v>
      </c>
      <c r="C22">
        <f t="shared" si="0"/>
        <v>1.0000000000727667</v>
      </c>
      <c r="D22">
        <f t="shared" si="1"/>
        <v>1.2063715775414777E-5</v>
      </c>
      <c r="F22">
        <f t="shared" si="2"/>
        <v>0.99043145731866589</v>
      </c>
      <c r="G22">
        <f t="shared" si="3"/>
        <v>-1.9901583196319374E-3</v>
      </c>
      <c r="H22">
        <f t="shared" si="4"/>
        <v>-1.9901583196319374E-3</v>
      </c>
      <c r="J22">
        <f t="shared" si="5"/>
        <v>15</v>
      </c>
      <c r="M22">
        <f t="shared" si="6"/>
        <v>4.5134973420043218</v>
      </c>
      <c r="N22">
        <f t="shared" si="7"/>
        <v>-1.5707963250000001</v>
      </c>
      <c r="O22">
        <f t="shared" si="8"/>
        <v>1.0011004178429628</v>
      </c>
      <c r="P22">
        <f t="shared" si="9"/>
        <v>4.6891570459934188E-2</v>
      </c>
      <c r="Q22">
        <f t="shared" si="10"/>
        <v>1.0000243808925269</v>
      </c>
      <c r="R22">
        <f t="shared" si="11"/>
        <v>6.9828929793640682E-3</v>
      </c>
      <c r="S22">
        <f t="shared" si="12"/>
        <v>0.99999998056271477</v>
      </c>
      <c r="T22">
        <f t="shared" si="13"/>
        <v>-1.9716635215908092E-4</v>
      </c>
      <c r="U22">
        <f t="shared" si="14"/>
        <v>0.99999997676125651</v>
      </c>
      <c r="V22">
        <f t="shared" si="15"/>
        <v>-2.1558637987465371E-4</v>
      </c>
      <c r="X22">
        <f t="shared" si="34"/>
        <v>36.538341764284198</v>
      </c>
      <c r="Y22">
        <f t="shared" si="16"/>
        <v>-87.050206079832336</v>
      </c>
      <c r="Z22">
        <f t="shared" si="35"/>
        <v>92.949793920167664</v>
      </c>
      <c r="AC22">
        <v>1</v>
      </c>
      <c r="AD22">
        <f t="shared" si="17"/>
        <v>4.6925969413050002E-2</v>
      </c>
      <c r="AE22">
        <f t="shared" si="18"/>
        <v>-2.6536010508389282E-9</v>
      </c>
      <c r="AF22">
        <f t="shared" si="19"/>
        <v>1.2308760002699999E-5</v>
      </c>
      <c r="AG22">
        <f t="shared" si="36"/>
        <v>3794.8892373080625</v>
      </c>
      <c r="AH22">
        <f t="shared" si="37"/>
        <v>-81243.770282523168</v>
      </c>
      <c r="AJ22">
        <f t="shared" si="20"/>
        <v>18000</v>
      </c>
      <c r="AK22">
        <f t="shared" si="21"/>
        <v>3.5489943848520005</v>
      </c>
      <c r="AL22">
        <v>1</v>
      </c>
      <c r="AM22">
        <f t="shared" si="22"/>
        <v>6.9830064787139998E-3</v>
      </c>
      <c r="AN22">
        <f t="shared" si="38"/>
        <v>17999.147101409475</v>
      </c>
      <c r="AO22">
        <f t="shared" si="39"/>
        <v>-122.13916643561667</v>
      </c>
      <c r="AQ22">
        <f t="shared" si="23"/>
        <v>9900.9900990099013</v>
      </c>
      <c r="AR22">
        <f t="shared" si="24"/>
        <v>-990.09900990099004</v>
      </c>
      <c r="AT22">
        <f t="shared" ref="AT22:AT85" si="52">-AR22*AH22+AG22*AQ22</f>
        <v>-42866215.7519233</v>
      </c>
      <c r="AU22">
        <f t="shared" ref="AU22:AU85" si="53">AQ22*AH22+AG22*AR22</f>
        <v>-808151081.25003934</v>
      </c>
      <c r="AV22">
        <f t="shared" si="42"/>
        <v>-1.623788995205999</v>
      </c>
      <c r="AW22">
        <f t="shared" si="25"/>
        <v>178127674.84150258</v>
      </c>
      <c r="AX22">
        <f t="shared" si="26"/>
        <v>-19548405.292522438</v>
      </c>
      <c r="AY22">
        <f t="shared" si="50"/>
        <v>-0.10930636810115146</v>
      </c>
      <c r="BA22">
        <f t="shared" si="27"/>
        <v>4.5161838183672369</v>
      </c>
      <c r="BB22">
        <f t="shared" si="43"/>
        <v>13.095432206590443</v>
      </c>
      <c r="BC22">
        <f t="shared" si="44"/>
        <v>-1.5144826271048475</v>
      </c>
      <c r="BD22">
        <f t="shared" si="28"/>
        <v>-266.77346277814615</v>
      </c>
      <c r="BF22">
        <f t="shared" si="29"/>
        <v>36.533745900753431</v>
      </c>
      <c r="BG22">
        <f t="shared" si="30"/>
        <v>-86.886799250554233</v>
      </c>
      <c r="BH22">
        <f t="shared" si="45"/>
        <v>93.113200749445767</v>
      </c>
      <c r="BI22">
        <f t="shared" si="46"/>
        <v>93.113200749445767</v>
      </c>
      <c r="BJ22">
        <f t="shared" si="31"/>
        <v>0</v>
      </c>
      <c r="BK22">
        <f t="shared" si="47"/>
        <v>0</v>
      </c>
      <c r="BM22">
        <f t="shared" si="48"/>
        <v>23.438313694162993</v>
      </c>
      <c r="BN22">
        <f t="shared" si="32"/>
        <v>-0.11333647240808703</v>
      </c>
      <c r="BQ22" s="56">
        <f t="shared" si="49"/>
        <v>29.99739300687558</v>
      </c>
      <c r="BR22" s="59"/>
      <c r="BS22" s="59"/>
      <c r="BT22" s="59">
        <v>131.82599999999999</v>
      </c>
      <c r="BU22" s="59">
        <v>32.155799999999999</v>
      </c>
      <c r="BV22" s="59">
        <v>-263.3605</v>
      </c>
      <c r="BW22" s="61"/>
      <c r="BY22" s="59"/>
      <c r="BZ22" s="59"/>
      <c r="CA22" s="59"/>
      <c r="CC22" s="59"/>
    </row>
    <row r="23" spans="1:81" x14ac:dyDescent="0.2">
      <c r="A23">
        <f t="shared" si="51"/>
        <v>60</v>
      </c>
      <c r="B23">
        <f t="shared" si="33"/>
        <v>0.06</v>
      </c>
      <c r="C23">
        <f t="shared" si="0"/>
        <v>1.000000000104784</v>
      </c>
      <c r="D23">
        <f t="shared" si="1"/>
        <v>1.4476458930188733E-5</v>
      </c>
      <c r="F23">
        <f t="shared" si="2"/>
        <v>0.99044287258207231</v>
      </c>
      <c r="G23">
        <f t="shared" si="3"/>
        <v>-2.3882182024722544E-3</v>
      </c>
      <c r="H23">
        <f t="shared" si="4"/>
        <v>-2.3882182024722544E-3</v>
      </c>
      <c r="J23">
        <f t="shared" si="5"/>
        <v>15</v>
      </c>
      <c r="M23">
        <f t="shared" si="6"/>
        <v>3.7612477850036017</v>
      </c>
      <c r="N23">
        <f t="shared" si="7"/>
        <v>-1.5707963250000001</v>
      </c>
      <c r="O23">
        <f t="shared" si="8"/>
        <v>1.0015842186814399</v>
      </c>
      <c r="P23">
        <f t="shared" si="9"/>
        <v>5.6251756373621314E-2</v>
      </c>
      <c r="Q23">
        <f t="shared" si="10"/>
        <v>1.0000351082969305</v>
      </c>
      <c r="R23">
        <f t="shared" si="11"/>
        <v>8.3794116501047719E-3</v>
      </c>
      <c r="S23">
        <f t="shared" si="12"/>
        <v>0.99999997201030977</v>
      </c>
      <c r="T23">
        <f t="shared" si="13"/>
        <v>-2.3659962124189984E-4</v>
      </c>
      <c r="U23">
        <f t="shared" si="14"/>
        <v>0.99999996653620982</v>
      </c>
      <c r="V23">
        <f t="shared" si="15"/>
        <v>-2.5870365408607978E-4</v>
      </c>
      <c r="X23">
        <f t="shared" si="34"/>
        <v>34.95910657142322</v>
      </c>
      <c r="Y23">
        <f t="shared" si="16"/>
        <v>-86.461291014010328</v>
      </c>
      <c r="Z23">
        <f t="shared" si="35"/>
        <v>93.538708985989672</v>
      </c>
      <c r="AC23">
        <v>1</v>
      </c>
      <c r="AD23">
        <f t="shared" si="17"/>
        <v>5.6311163295660001E-2</v>
      </c>
      <c r="AE23">
        <f t="shared" si="18"/>
        <v>-3.8211855132080572E-9</v>
      </c>
      <c r="AF23">
        <f t="shared" si="19"/>
        <v>1.4770512003240001E-5</v>
      </c>
      <c r="AG23">
        <f t="shared" si="36"/>
        <v>3794.8891597022211</v>
      </c>
      <c r="AH23">
        <f t="shared" si="37"/>
        <v>-67703.441881779188</v>
      </c>
      <c r="AJ23">
        <f t="shared" si="20"/>
        <v>18000</v>
      </c>
      <c r="AK23">
        <f t="shared" si="21"/>
        <v>4.2587932618224</v>
      </c>
      <c r="AL23">
        <v>1</v>
      </c>
      <c r="AM23">
        <f t="shared" si="22"/>
        <v>8.3796077744568015E-3</v>
      </c>
      <c r="AN23">
        <f t="shared" si="38"/>
        <v>17998.771852378813</v>
      </c>
      <c r="AO23">
        <f t="shared" si="39"/>
        <v>-146.56385528304534</v>
      </c>
      <c r="AQ23">
        <f t="shared" si="23"/>
        <v>9858.0441640378558</v>
      </c>
      <c r="AR23">
        <f t="shared" si="24"/>
        <v>-1182.9652996845425</v>
      </c>
      <c r="AT23">
        <f t="shared" si="52"/>
        <v>-42680637.481380917</v>
      </c>
      <c r="AU23">
        <f t="shared" si="53"/>
        <v>-671912742.32002628</v>
      </c>
      <c r="AV23">
        <f t="shared" si="42"/>
        <v>-1.6342322000936997</v>
      </c>
      <c r="AW23">
        <f t="shared" si="25"/>
        <v>177298534.58125418</v>
      </c>
      <c r="AX23">
        <f t="shared" si="26"/>
        <v>-23168652.758510679</v>
      </c>
      <c r="AY23">
        <f t="shared" si="50"/>
        <v>-0.12993965348485714</v>
      </c>
      <c r="BA23">
        <f t="shared" si="27"/>
        <v>3.7653503879770795</v>
      </c>
      <c r="BB23">
        <f t="shared" si="43"/>
        <v>11.516107921409141</v>
      </c>
      <c r="BC23">
        <f t="shared" si="44"/>
        <v>-1.5042925466088426</v>
      </c>
      <c r="BD23">
        <f t="shared" si="28"/>
        <v>-266.18961417215934</v>
      </c>
      <c r="BF23">
        <f t="shared" si="29"/>
        <v>34.95452172489464</v>
      </c>
      <c r="BG23">
        <f t="shared" si="30"/>
        <v>-86.325619555873743</v>
      </c>
      <c r="BH23">
        <f t="shared" si="45"/>
        <v>93.674380444126257</v>
      </c>
      <c r="BI23">
        <f t="shared" si="46"/>
        <v>93.674380444126257</v>
      </c>
      <c r="BJ23">
        <f t="shared" si="31"/>
        <v>0</v>
      </c>
      <c r="BK23">
        <f t="shared" si="47"/>
        <v>0</v>
      </c>
      <c r="BM23">
        <f t="shared" si="48"/>
        <v>23.438413803485506</v>
      </c>
      <c r="BN23">
        <f t="shared" si="32"/>
        <v>-0.13600538371439461</v>
      </c>
      <c r="BQ23" s="56">
        <f t="shared" si="49"/>
        <v>28.418068721694279</v>
      </c>
      <c r="BR23" s="58"/>
      <c r="BS23" s="58"/>
      <c r="BT23" s="58">
        <v>134.89599999999999</v>
      </c>
      <c r="BU23" s="58">
        <v>32.875300000000003</v>
      </c>
      <c r="BV23" s="58">
        <v>-269.46539999999999</v>
      </c>
      <c r="BW23" s="61"/>
      <c r="BY23" s="58"/>
      <c r="BZ23" s="58"/>
      <c r="CA23" s="58"/>
      <c r="CC23" s="58"/>
    </row>
    <row r="24" spans="1:81" x14ac:dyDescent="0.2">
      <c r="A24">
        <f t="shared" si="51"/>
        <v>70</v>
      </c>
      <c r="B24">
        <f t="shared" si="33"/>
        <v>7.0000000000000007E-2</v>
      </c>
      <c r="C24">
        <f t="shared" si="0"/>
        <v>1.0000000001426226</v>
      </c>
      <c r="D24">
        <f t="shared" si="1"/>
        <v>1.6889202084794144E-5</v>
      </c>
      <c r="F24">
        <f t="shared" si="2"/>
        <v>0.99045636366054801</v>
      </c>
      <c r="G24">
        <f t="shared" si="3"/>
        <v>-2.786293478400714E-3</v>
      </c>
      <c r="H24">
        <f t="shared" si="4"/>
        <v>-2.786293478400714E-3</v>
      </c>
      <c r="J24">
        <f t="shared" si="5"/>
        <v>15</v>
      </c>
      <c r="M24">
        <f t="shared" si="6"/>
        <v>3.2239266728602298</v>
      </c>
      <c r="N24">
        <f t="shared" si="7"/>
        <v>-1.5707963250000001</v>
      </c>
      <c r="O24">
        <f t="shared" si="8"/>
        <v>1.0021556821903945</v>
      </c>
      <c r="P24">
        <f t="shared" si="9"/>
        <v>6.5602085776313795E-2</v>
      </c>
      <c r="Q24">
        <f t="shared" si="10"/>
        <v>1.0000477859901418</v>
      </c>
      <c r="R24">
        <f t="shared" si="11"/>
        <v>9.7758976367302592E-3</v>
      </c>
      <c r="S24">
        <f t="shared" si="12"/>
        <v>0.99999996190292217</v>
      </c>
      <c r="T24">
        <f t="shared" si="13"/>
        <v>-2.7603288958890216E-4</v>
      </c>
      <c r="U24">
        <f t="shared" si="14"/>
        <v>0.99999995445206424</v>
      </c>
      <c r="V24">
        <f t="shared" si="15"/>
        <v>-3.0182092733559423E-4</v>
      </c>
      <c r="X24">
        <f t="shared" si="34"/>
        <v>33.625353415424101</v>
      </c>
      <c r="Y24">
        <f t="shared" si="16"/>
        <v>-85.872943439193278</v>
      </c>
      <c r="Z24">
        <f t="shared" si="35"/>
        <v>94.127056560806722</v>
      </c>
      <c r="AC24">
        <v>1</v>
      </c>
      <c r="AD24">
        <f t="shared" si="17"/>
        <v>6.5696357178269993E-2</v>
      </c>
      <c r="AE24">
        <f t="shared" si="18"/>
        <v>-5.2010580596443006E-9</v>
      </c>
      <c r="AF24">
        <f t="shared" si="19"/>
        <v>1.7232264003779999E-5</v>
      </c>
      <c r="AG24">
        <f t="shared" si="36"/>
        <v>3794.8890679862329</v>
      </c>
      <c r="AH24">
        <f t="shared" si="37"/>
        <v>-58031.825488456554</v>
      </c>
      <c r="AJ24">
        <f t="shared" si="20"/>
        <v>18000</v>
      </c>
      <c r="AK24">
        <f t="shared" si="21"/>
        <v>4.9685921387927996</v>
      </c>
      <c r="AL24">
        <v>1</v>
      </c>
      <c r="AM24">
        <f t="shared" si="22"/>
        <v>9.7762090701996006E-3</v>
      </c>
      <c r="AN24">
        <f t="shared" si="38"/>
        <v>17998.328397009642</v>
      </c>
      <c r="AO24">
        <f t="shared" si="39"/>
        <v>-170.9868291844839</v>
      </c>
      <c r="AQ24">
        <f t="shared" si="23"/>
        <v>9807.7677520596299</v>
      </c>
      <c r="AR24">
        <f t="shared" si="24"/>
        <v>-1373.0874852883483</v>
      </c>
      <c r="AT24">
        <f t="shared" si="52"/>
        <v>-42463382.702998087</v>
      </c>
      <c r="AU24">
        <f t="shared" si="53"/>
        <v>-574373381.30614579</v>
      </c>
      <c r="AV24">
        <f t="shared" si="42"/>
        <v>-1.6445920034279897</v>
      </c>
      <c r="AW24">
        <f t="shared" si="25"/>
        <v>176327870.79796681</v>
      </c>
      <c r="AX24">
        <f t="shared" si="26"/>
        <v>-26760567.256141249</v>
      </c>
      <c r="AY24">
        <f t="shared" si="50"/>
        <v>-0.15061659144825423</v>
      </c>
      <c r="BA24">
        <f t="shared" si="27"/>
        <v>3.229327984048608</v>
      </c>
      <c r="BB24">
        <f t="shared" si="43"/>
        <v>10.182243120403516</v>
      </c>
      <c r="BC24">
        <f t="shared" si="44"/>
        <v>-1.4939754119797355</v>
      </c>
      <c r="BD24">
        <f t="shared" si="28"/>
        <v>-265.59848590056777</v>
      </c>
      <c r="BF24">
        <f t="shared" si="29"/>
        <v>33.620775236160661</v>
      </c>
      <c r="BG24">
        <f t="shared" si="30"/>
        <v>-85.75716107754748</v>
      </c>
      <c r="BH24">
        <f t="shared" si="45"/>
        <v>94.24283892245252</v>
      </c>
      <c r="BI24">
        <f t="shared" si="46"/>
        <v>94.24283892245252</v>
      </c>
      <c r="BJ24">
        <f t="shared" si="31"/>
        <v>0</v>
      </c>
      <c r="BK24">
        <f t="shared" si="47"/>
        <v>0</v>
      </c>
      <c r="BM24">
        <f t="shared" si="48"/>
        <v>23.438532115757145</v>
      </c>
      <c r="BN24">
        <f t="shared" si="32"/>
        <v>-0.15867517697969707</v>
      </c>
      <c r="BQ24" s="56">
        <f t="shared" si="49"/>
        <v>27.084203920688651</v>
      </c>
      <c r="BR24" s="58"/>
      <c r="BS24" s="58"/>
      <c r="BT24" s="58">
        <v>138.03800000000001</v>
      </c>
      <c r="BU24" s="58">
        <v>32.538699999999999</v>
      </c>
      <c r="BV24" s="58">
        <v>-267.95069999999998</v>
      </c>
      <c r="BW24" s="61"/>
      <c r="BY24" s="58"/>
      <c r="BZ24" s="58"/>
      <c r="CA24" s="58"/>
      <c r="CC24" s="58"/>
    </row>
    <row r="25" spans="1:81" x14ac:dyDescent="0.2">
      <c r="A25">
        <f t="shared" si="51"/>
        <v>80</v>
      </c>
      <c r="B25">
        <f t="shared" si="33"/>
        <v>0.08</v>
      </c>
      <c r="C25">
        <f t="shared" si="0"/>
        <v>1.0000000001862825</v>
      </c>
      <c r="D25">
        <f t="shared" si="1"/>
        <v>1.9301945239202926E-5</v>
      </c>
      <c r="F25">
        <f t="shared" si="2"/>
        <v>0.99047193071042328</v>
      </c>
      <c r="G25">
        <f t="shared" si="3"/>
        <v>-3.1843867137264555E-3</v>
      </c>
      <c r="H25">
        <f t="shared" si="4"/>
        <v>-3.1843867137264555E-3</v>
      </c>
      <c r="J25">
        <f t="shared" si="5"/>
        <v>15</v>
      </c>
      <c r="M25">
        <f t="shared" si="6"/>
        <v>2.820935838752701</v>
      </c>
      <c r="N25">
        <f t="shared" si="7"/>
        <v>-1.5707963250000001</v>
      </c>
      <c r="O25">
        <f t="shared" si="8"/>
        <v>1.0028146585036077</v>
      </c>
      <c r="P25">
        <f t="shared" si="9"/>
        <v>7.4940942119419304E-2</v>
      </c>
      <c r="Q25">
        <f t="shared" si="10"/>
        <v>1.0000624138979892</v>
      </c>
      <c r="R25">
        <f t="shared" si="11"/>
        <v>1.1172345493821538E-2</v>
      </c>
      <c r="S25">
        <f t="shared" si="12"/>
        <v>0.99999995024055233</v>
      </c>
      <c r="T25">
        <f t="shared" si="13"/>
        <v>-3.1546615707745172E-4</v>
      </c>
      <c r="U25">
        <f t="shared" si="14"/>
        <v>0.9999999405088198</v>
      </c>
      <c r="V25">
        <f t="shared" si="15"/>
        <v>-3.449381994628786E-4</v>
      </c>
      <c r="X25">
        <f t="shared" si="34"/>
        <v>32.471487425095731</v>
      </c>
      <c r="Y25">
        <f t="shared" si="16"/>
        <v>-85.285256435815</v>
      </c>
      <c r="Z25">
        <f t="shared" si="35"/>
        <v>94.714743564185</v>
      </c>
      <c r="AC25">
        <v>1</v>
      </c>
      <c r="AD25">
        <f t="shared" si="17"/>
        <v>7.5081551060880006E-2</v>
      </c>
      <c r="AE25">
        <f t="shared" si="18"/>
        <v>-6.7932186901476571E-9</v>
      </c>
      <c r="AF25">
        <f t="shared" si="19"/>
        <v>1.9694016004320002E-5</v>
      </c>
      <c r="AG25">
        <f t="shared" si="36"/>
        <v>3794.8889621600974</v>
      </c>
      <c r="AH25">
        <f t="shared" si="37"/>
        <v>-50778.154099766296</v>
      </c>
      <c r="AJ25">
        <f t="shared" si="20"/>
        <v>18000</v>
      </c>
      <c r="AK25">
        <f t="shared" si="21"/>
        <v>5.6783910157632</v>
      </c>
      <c r="AL25">
        <v>1</v>
      </c>
      <c r="AM25">
        <f t="shared" si="22"/>
        <v>1.1172810365942401E-2</v>
      </c>
      <c r="AN25">
        <f t="shared" si="38"/>
        <v>17997.816745678814</v>
      </c>
      <c r="AO25">
        <f t="shared" si="39"/>
        <v>-195.40780248468877</v>
      </c>
      <c r="AQ25">
        <f t="shared" si="23"/>
        <v>9750.3900156006239</v>
      </c>
      <c r="AR25">
        <f t="shared" si="24"/>
        <v>-1560.0624024960998</v>
      </c>
      <c r="AT25">
        <f t="shared" si="52"/>
        <v>-42215441.632239759</v>
      </c>
      <c r="AU25">
        <f t="shared" si="53"/>
        <v>-501027070.33650458</v>
      </c>
      <c r="AV25">
        <f t="shared" si="42"/>
        <v>-1.6548555850613416</v>
      </c>
      <c r="AW25">
        <f t="shared" si="25"/>
        <v>175220109.14061508</v>
      </c>
      <c r="AX25">
        <f t="shared" si="26"/>
        <v>-30307113.989283066</v>
      </c>
      <c r="AY25">
        <f t="shared" si="50"/>
        <v>-0.17127138638250702</v>
      </c>
      <c r="BA25">
        <f t="shared" si="27"/>
        <v>2.8275627282057516</v>
      </c>
      <c r="BB25">
        <f t="shared" si="43"/>
        <v>9.0282449666372777</v>
      </c>
      <c r="BC25">
        <f t="shared" si="44"/>
        <v>-1.4835841986788345</v>
      </c>
      <c r="BD25">
        <f t="shared" si="28"/>
        <v>-265.00311323372563</v>
      </c>
      <c r="BF25">
        <f t="shared" si="29"/>
        <v>32.466913598242272</v>
      </c>
      <c r="BG25">
        <f t="shared" si="30"/>
        <v>-85.184459232968308</v>
      </c>
      <c r="BH25">
        <f t="shared" si="45"/>
        <v>94.815540767031692</v>
      </c>
      <c r="BI25">
        <f t="shared" si="46"/>
        <v>94.815540767031692</v>
      </c>
      <c r="BJ25">
        <f t="shared" si="31"/>
        <v>0</v>
      </c>
      <c r="BK25">
        <f t="shared" si="47"/>
        <v>0</v>
      </c>
      <c r="BM25">
        <f t="shared" si="48"/>
        <v>23.438668631604994</v>
      </c>
      <c r="BN25">
        <f t="shared" si="32"/>
        <v>-0.18134599924267883</v>
      </c>
      <c r="BQ25" s="56">
        <f t="shared" si="49"/>
        <v>25.930205766922416</v>
      </c>
      <c r="BR25" s="58"/>
      <c r="BS25" s="58"/>
      <c r="BT25" s="58">
        <v>141.25399999999999</v>
      </c>
      <c r="BU25" s="58">
        <v>32.377000000000002</v>
      </c>
      <c r="BV25" s="58">
        <v>-263.11430000000001</v>
      </c>
      <c r="BW25" s="61"/>
      <c r="BY25" s="58"/>
      <c r="BZ25" s="58"/>
      <c r="CA25" s="58"/>
      <c r="CC25" s="58"/>
    </row>
    <row r="26" spans="1:81" x14ac:dyDescent="0.2">
      <c r="A26">
        <f t="shared" si="51"/>
        <v>90</v>
      </c>
      <c r="B26">
        <f t="shared" si="33"/>
        <v>0.09</v>
      </c>
      <c r="C26">
        <f t="shared" si="0"/>
        <v>1.0000000002357639</v>
      </c>
      <c r="D26">
        <f t="shared" si="1"/>
        <v>2.1714688393386978E-5</v>
      </c>
      <c r="F26">
        <f t="shared" si="2"/>
        <v>0.99048957391209025</v>
      </c>
      <c r="G26">
        <f t="shared" si="3"/>
        <v>-3.5825004751253485E-3</v>
      </c>
      <c r="H26">
        <f t="shared" si="4"/>
        <v>-3.5825004751253485E-3</v>
      </c>
      <c r="J26">
        <f t="shared" si="5"/>
        <v>15</v>
      </c>
      <c r="M26">
        <f t="shared" si="6"/>
        <v>2.5074985233357343</v>
      </c>
      <c r="N26">
        <f t="shared" si="7"/>
        <v>-1.5707963250000001</v>
      </c>
      <c r="O26">
        <f t="shared" si="8"/>
        <v>1.0035609752283858</v>
      </c>
      <c r="P26">
        <f t="shared" si="9"/>
        <v>8.4266720821139549E-2</v>
      </c>
      <c r="Q26">
        <f t="shared" si="10"/>
        <v>1.0000789919348976</v>
      </c>
      <c r="R26">
        <f t="shared" si="11"/>
        <v>1.2568749776851809E-2</v>
      </c>
      <c r="S26">
        <f t="shared" si="12"/>
        <v>0.99999993702320022</v>
      </c>
      <c r="T26">
        <f t="shared" si="13"/>
        <v>-3.5489942358491253E-4</v>
      </c>
      <c r="U26">
        <f t="shared" si="14"/>
        <v>0.99999992470647692</v>
      </c>
      <c r="V26">
        <f t="shared" si="15"/>
        <v>-3.880554703076143E-4</v>
      </c>
      <c r="X26">
        <f t="shared" si="34"/>
        <v>31.455197254940622</v>
      </c>
      <c r="Y26">
        <f t="shared" si="16"/>
        <v>-84.698322398632399</v>
      </c>
      <c r="Z26">
        <f t="shared" si="35"/>
        <v>95.301677601367601</v>
      </c>
      <c r="AC26">
        <v>1</v>
      </c>
      <c r="AD26">
        <f t="shared" si="17"/>
        <v>8.4466744943489991E-2</v>
      </c>
      <c r="AE26">
        <f t="shared" si="18"/>
        <v>-8.5976674047181275E-9</v>
      </c>
      <c r="AF26">
        <f t="shared" si="19"/>
        <v>2.2155768004859999E-5</v>
      </c>
      <c r="AG26">
        <f t="shared" si="36"/>
        <v>3794.8888422238174</v>
      </c>
      <c r="AH26">
        <f t="shared" si="37"/>
        <v>-45136.446047491576</v>
      </c>
      <c r="AJ26">
        <f t="shared" si="20"/>
        <v>18000</v>
      </c>
      <c r="AK26">
        <f t="shared" si="21"/>
        <v>6.3881898927335996</v>
      </c>
      <c r="AL26">
        <v>1</v>
      </c>
      <c r="AM26">
        <f t="shared" si="22"/>
        <v>1.2569411661685201E-2</v>
      </c>
      <c r="AN26">
        <f t="shared" si="38"/>
        <v>17997.236910357991</v>
      </c>
      <c r="AO26">
        <f t="shared" si="39"/>
        <v>-219.82648960643147</v>
      </c>
      <c r="AQ26">
        <f t="shared" si="23"/>
        <v>9686.1681518791174</v>
      </c>
      <c r="AR26">
        <f t="shared" si="24"/>
        <v>-1743.510267338241</v>
      </c>
      <c r="AT26">
        <f t="shared" si="52"/>
        <v>-41937925.671490379</v>
      </c>
      <c r="AU26">
        <f t="shared" si="53"/>
        <v>-443815633.85404754</v>
      </c>
      <c r="AV26">
        <f t="shared" si="42"/>
        <v>-1.6650105996752622</v>
      </c>
      <c r="AW26">
        <f t="shared" si="25"/>
        <v>173980216.88829681</v>
      </c>
      <c r="AX26">
        <f t="shared" si="26"/>
        <v>-33795820.214431196</v>
      </c>
      <c r="AY26">
        <f t="shared" si="50"/>
        <v>-0.19186155310842906</v>
      </c>
      <c r="BA26">
        <f t="shared" si="27"/>
        <v>2.5153021052088258</v>
      </c>
      <c r="BB26">
        <f t="shared" si="43"/>
        <v>8.0118030860151439</v>
      </c>
      <c r="BC26">
        <f t="shared" si="44"/>
        <v>-1.4731490465668331</v>
      </c>
      <c r="BD26">
        <f t="shared" si="28"/>
        <v>-264.40522305844775</v>
      </c>
      <c r="BF26">
        <f t="shared" si="29"/>
        <v>31.450626437767788</v>
      </c>
      <c r="BG26">
        <f t="shared" si="30"/>
        <v>-84.609241056010774</v>
      </c>
      <c r="BH26">
        <f t="shared" si="45"/>
        <v>95.390758943989226</v>
      </c>
      <c r="BI26">
        <f t="shared" si="46"/>
        <v>95.390758943989226</v>
      </c>
      <c r="BJ26">
        <f t="shared" si="31"/>
        <v>0</v>
      </c>
      <c r="BK26">
        <f t="shared" si="47"/>
        <v>0</v>
      </c>
      <c r="BM26">
        <f t="shared" si="48"/>
        <v>23.438823351752646</v>
      </c>
      <c r="BN26">
        <f t="shared" si="32"/>
        <v>-0.20401799756303637</v>
      </c>
      <c r="BQ26" s="56">
        <f t="shared" si="49"/>
        <v>24.913763886300281</v>
      </c>
      <c r="BR26" s="58"/>
      <c r="BS26" s="58"/>
      <c r="BT26" s="58">
        <v>144.54400000000001</v>
      </c>
      <c r="BU26" s="58">
        <v>31.499099999999999</v>
      </c>
      <c r="BV26" s="58">
        <v>-266.2885</v>
      </c>
      <c r="BW26" s="61"/>
      <c r="BY26" s="58"/>
      <c r="BZ26" s="58"/>
      <c r="CA26" s="58"/>
      <c r="CC26" s="58"/>
    </row>
    <row r="27" spans="1:81" x14ac:dyDescent="0.2">
      <c r="A27">
        <f t="shared" si="51"/>
        <v>100</v>
      </c>
      <c r="B27">
        <f t="shared" si="33"/>
        <v>0.1</v>
      </c>
      <c r="C27">
        <f t="shared" si="0"/>
        <v>1.0000000002910665</v>
      </c>
      <c r="D27">
        <f t="shared" si="1"/>
        <v>2.412743154731821E-5</v>
      </c>
      <c r="F27">
        <f t="shared" si="2"/>
        <v>0.99050929347000694</v>
      </c>
      <c r="G27">
        <f t="shared" si="3"/>
        <v>-3.9806373296924196E-3</v>
      </c>
      <c r="H27">
        <f t="shared" si="4"/>
        <v>-3.9806373296924196E-3</v>
      </c>
      <c r="J27">
        <f t="shared" si="5"/>
        <v>15</v>
      </c>
      <c r="M27">
        <f t="shared" si="6"/>
        <v>2.2567486710021609</v>
      </c>
      <c r="N27">
        <f t="shared" si="7"/>
        <v>-1.5707963250000001</v>
      </c>
      <c r="O27">
        <f t="shared" si="8"/>
        <v>1.0043944376694935</v>
      </c>
      <c r="P27">
        <f t="shared" si="9"/>
        <v>9.3577830886261884E-2</v>
      </c>
      <c r="Q27">
        <f t="shared" si="10"/>
        <v>1.000097520003888</v>
      </c>
      <c r="R27">
        <f t="shared" si="11"/>
        <v>1.3965105042313773E-2</v>
      </c>
      <c r="S27">
        <f t="shared" si="12"/>
        <v>0.9999999222508662</v>
      </c>
      <c r="T27">
        <f t="shared" si="13"/>
        <v>-3.9433268898864853E-4</v>
      </c>
      <c r="U27">
        <f t="shared" si="14"/>
        <v>0.99999990704503561</v>
      </c>
      <c r="V27">
        <f t="shared" si="15"/>
        <v>-4.3117273970948286E-4</v>
      </c>
      <c r="X27">
        <f t="shared" si="34"/>
        <v>30.547591687062372</v>
      </c>
      <c r="Y27">
        <f t="shared" si="16"/>
        <v>-84.112232943914023</v>
      </c>
      <c r="Z27">
        <f t="shared" si="35"/>
        <v>95.887767056085977</v>
      </c>
      <c r="AC27">
        <v>1</v>
      </c>
      <c r="AD27">
        <f t="shared" si="17"/>
        <v>9.3851938826100004E-2</v>
      </c>
      <c r="AE27">
        <f t="shared" si="18"/>
        <v>-1.0614404203355713E-8</v>
      </c>
      <c r="AF27">
        <f t="shared" si="19"/>
        <v>2.4617520005399998E-5</v>
      </c>
      <c r="AG27">
        <f t="shared" si="36"/>
        <v>3794.8887081773964</v>
      </c>
      <c r="AH27">
        <f t="shared" si="37"/>
        <v>-40623.112330701493</v>
      </c>
      <c r="AJ27">
        <f t="shared" si="20"/>
        <v>18000</v>
      </c>
      <c r="AK27">
        <f t="shared" si="21"/>
        <v>7.0979887697040009</v>
      </c>
      <c r="AL27">
        <v>1</v>
      </c>
      <c r="AM27">
        <f t="shared" si="22"/>
        <v>1.3966012957428E-2</v>
      </c>
      <c r="AN27">
        <f t="shared" si="38"/>
        <v>17996.588904612952</v>
      </c>
      <c r="AO27">
        <f t="shared" si="39"/>
        <v>-244.24260506162548</v>
      </c>
      <c r="AQ27">
        <f t="shared" si="23"/>
        <v>9615.3846153846152</v>
      </c>
      <c r="AR27">
        <f t="shared" si="24"/>
        <v>-1923.0769230769231</v>
      </c>
      <c r="AT27">
        <f t="shared" si="52"/>
        <v>-41632055.365027905</v>
      </c>
      <c r="AU27">
        <f t="shared" si="53"/>
        <v>-397904712.23400933</v>
      </c>
      <c r="AV27">
        <f t="shared" si="42"/>
        <v>-1.6750452284982249</v>
      </c>
      <c r="AW27">
        <f t="shared" si="25"/>
        <v>172613649.11634547</v>
      </c>
      <c r="AX27">
        <f t="shared" si="26"/>
        <v>-37216763.383798607</v>
      </c>
      <c r="AY27">
        <f t="shared" si="50"/>
        <v>-0.21235655846437962</v>
      </c>
      <c r="BA27">
        <f t="shared" si="27"/>
        <v>2.2656944383731625</v>
      </c>
      <c r="BB27">
        <f t="shared" si="43"/>
        <v>7.1040267718315757</v>
      </c>
      <c r="BC27">
        <f t="shared" si="44"/>
        <v>-1.4626886700338453</v>
      </c>
      <c r="BD27">
        <f t="shared" si="28"/>
        <v>-263.80588763030499</v>
      </c>
      <c r="BF27">
        <f t="shared" si="29"/>
        <v>30.543023048851765</v>
      </c>
      <c r="BG27">
        <f t="shared" si="30"/>
        <v>-84.032578949329491</v>
      </c>
      <c r="BH27">
        <f t="shared" si="45"/>
        <v>95.967421050670509</v>
      </c>
      <c r="BI27">
        <f t="shared" si="46"/>
        <v>95.967421050670509</v>
      </c>
      <c r="BJ27">
        <f t="shared" si="31"/>
        <v>0</v>
      </c>
      <c r="BK27">
        <f t="shared" si="47"/>
        <v>0</v>
      </c>
      <c r="BM27">
        <f t="shared" si="48"/>
        <v>23.438996277020188</v>
      </c>
      <c r="BN27">
        <f t="shared" si="32"/>
        <v>-0.22669131902448214</v>
      </c>
      <c r="BQ27" s="56">
        <f t="shared" si="49"/>
        <v>24.005987572116712</v>
      </c>
      <c r="BR27" s="58"/>
      <c r="BS27" s="58"/>
      <c r="BT27" s="58">
        <v>147.911</v>
      </c>
      <c r="BU27" s="58">
        <v>31.4819</v>
      </c>
      <c r="BV27" s="58">
        <v>-266.34629999999999</v>
      </c>
      <c r="BW27" s="61"/>
      <c r="BY27" s="58"/>
      <c r="BZ27" s="58"/>
      <c r="CA27" s="58"/>
      <c r="CC27" s="58"/>
    </row>
    <row r="28" spans="1:81" x14ac:dyDescent="0.2">
      <c r="A28">
        <f t="shared" si="51"/>
        <v>200</v>
      </c>
      <c r="B28">
        <f t="shared" si="33"/>
        <v>0.2</v>
      </c>
      <c r="C28">
        <f t="shared" si="0"/>
        <v>1.0000000011642658</v>
      </c>
      <c r="D28">
        <f t="shared" si="1"/>
        <v>4.8254863066545676E-5</v>
      </c>
      <c r="F28">
        <f t="shared" si="2"/>
        <v>0.99082075084388221</v>
      </c>
      <c r="G28">
        <f t="shared" si="3"/>
        <v>-7.9638411652864227E-3</v>
      </c>
      <c r="H28">
        <f t="shared" si="4"/>
        <v>-7.9638411652864227E-3</v>
      </c>
      <c r="J28">
        <f t="shared" si="5"/>
        <v>15</v>
      </c>
      <c r="M28">
        <f t="shared" si="6"/>
        <v>1.1283743355010805</v>
      </c>
      <c r="N28">
        <f t="shared" si="7"/>
        <v>-1.5707963250000001</v>
      </c>
      <c r="O28">
        <f t="shared" si="8"/>
        <v>1.0174638793026867</v>
      </c>
      <c r="P28">
        <f t="shared" si="9"/>
        <v>0.18554489622568537</v>
      </c>
      <c r="Q28">
        <f t="shared" si="10"/>
        <v>1.0003900229768927</v>
      </c>
      <c r="R28">
        <f t="shared" si="11"/>
        <v>2.7924765142538169E-2</v>
      </c>
      <c r="S28">
        <f t="shared" si="12"/>
        <v>0.9999996890035735</v>
      </c>
      <c r="T28">
        <f t="shared" si="13"/>
        <v>-7.8866525534123364E-4</v>
      </c>
      <c r="U28">
        <f t="shared" si="14"/>
        <v>0.99999962818029842</v>
      </c>
      <c r="V28">
        <f t="shared" si="15"/>
        <v>-8.6234531910043633E-4</v>
      </c>
      <c r="X28">
        <f t="shared" si="34"/>
        <v>24.644552168287689</v>
      </c>
      <c r="Y28">
        <f t="shared" si="16"/>
        <v>-78.317214961500113</v>
      </c>
      <c r="Z28">
        <f t="shared" si="35"/>
        <v>101.68278503849989</v>
      </c>
      <c r="AC28">
        <v>1</v>
      </c>
      <c r="AD28">
        <f t="shared" si="17"/>
        <v>0.18770387765220001</v>
      </c>
      <c r="AE28">
        <f t="shared" si="18"/>
        <v>-4.2457616813422851E-8</v>
      </c>
      <c r="AF28">
        <f t="shared" si="19"/>
        <v>4.9235040010799997E-5</v>
      </c>
      <c r="AG28">
        <f t="shared" si="36"/>
        <v>3794.886591656209</v>
      </c>
      <c r="AH28">
        <f t="shared" si="37"/>
        <v>-20314.010542519467</v>
      </c>
      <c r="AJ28">
        <f t="shared" si="20"/>
        <v>18000</v>
      </c>
      <c r="AK28">
        <f t="shared" si="21"/>
        <v>14.195977539408002</v>
      </c>
      <c r="AL28">
        <v>1</v>
      </c>
      <c r="AM28">
        <f t="shared" si="22"/>
        <v>2.7932025914855999E-2</v>
      </c>
      <c r="AN28">
        <f t="shared" si="38"/>
        <v>17986.363596217707</v>
      </c>
      <c r="AO28">
        <f t="shared" si="39"/>
        <v>-488.19959654416755</v>
      </c>
      <c r="AQ28">
        <f t="shared" si="23"/>
        <v>8620.689655172413</v>
      </c>
      <c r="AR28">
        <f t="shared" si="24"/>
        <v>-3448.2758620689651</v>
      </c>
      <c r="AT28">
        <f t="shared" si="52"/>
        <v>-37333772.632341191</v>
      </c>
      <c r="AU28">
        <f t="shared" si="53"/>
        <v>-188206596.37225819</v>
      </c>
      <c r="AV28">
        <f t="shared" si="42"/>
        <v>-1.7666201530006764</v>
      </c>
      <c r="AW28">
        <f t="shared" si="25"/>
        <v>153410613.60284892</v>
      </c>
      <c r="AX28">
        <f t="shared" si="26"/>
        <v>-66361021.170836426</v>
      </c>
      <c r="AY28">
        <f t="shared" si="50"/>
        <v>-0.40826604784712306</v>
      </c>
      <c r="BA28">
        <f t="shared" si="27"/>
        <v>1.1479242158112763</v>
      </c>
      <c r="BB28">
        <f t="shared" si="43"/>
        <v>1.1982643511105981</v>
      </c>
      <c r="BC28">
        <f t="shared" si="44"/>
        <v>-1.3583541051535533</v>
      </c>
      <c r="BD28">
        <f t="shared" si="28"/>
        <v>-257.82795739849962</v>
      </c>
      <c r="BF28">
        <f t="shared" si="29"/>
        <v>24.639991411848726</v>
      </c>
      <c r="BG28">
        <f t="shared" si="30"/>
        <v>-78.281487086506615</v>
      </c>
      <c r="BH28">
        <f t="shared" si="45"/>
        <v>101.71851291349338</v>
      </c>
      <c r="BI28">
        <f t="shared" si="46"/>
        <v>101.71851291349338</v>
      </c>
      <c r="BJ28">
        <f t="shared" si="31"/>
        <v>0</v>
      </c>
      <c r="BK28">
        <f t="shared" si="47"/>
        <v>0</v>
      </c>
      <c r="BM28">
        <f t="shared" si="48"/>
        <v>23.441727060738124</v>
      </c>
      <c r="BN28">
        <f t="shared" si="32"/>
        <v>-0.45352968800699789</v>
      </c>
      <c r="BQ28" s="56">
        <f t="shared" si="49"/>
        <v>18.100225151395733</v>
      </c>
      <c r="BR28" s="58"/>
      <c r="BS28" s="58"/>
      <c r="BT28" s="58">
        <v>151.35599999999999</v>
      </c>
      <c r="BU28" s="58">
        <v>31.0519</v>
      </c>
      <c r="BV28" s="58">
        <v>-267.0283</v>
      </c>
      <c r="BW28" s="61"/>
      <c r="BY28" s="58"/>
      <c r="BZ28" s="58"/>
      <c r="CA28" s="58"/>
      <c r="CC28" s="58"/>
    </row>
    <row r="29" spans="1:81" x14ac:dyDescent="0.2">
      <c r="A29">
        <f t="shared" si="51"/>
        <v>300</v>
      </c>
      <c r="B29">
        <f t="shared" si="33"/>
        <v>0.3</v>
      </c>
      <c r="C29">
        <f t="shared" si="0"/>
        <v>1.0000000026195983</v>
      </c>
      <c r="D29">
        <f t="shared" si="1"/>
        <v>7.2382294529591646E-5</v>
      </c>
      <c r="F29">
        <f t="shared" si="2"/>
        <v>0.991340247726889</v>
      </c>
      <c r="G29">
        <f t="shared" si="3"/>
        <v>-1.1952183256962144E-2</v>
      </c>
      <c r="H29">
        <f t="shared" si="4"/>
        <v>-1.1952183256962144E-2</v>
      </c>
      <c r="J29">
        <f t="shared" si="5"/>
        <v>15</v>
      </c>
      <c r="M29">
        <f t="shared" si="6"/>
        <v>0.75224955700072027</v>
      </c>
      <c r="N29">
        <f t="shared" si="7"/>
        <v>-1.5707963250000001</v>
      </c>
      <c r="O29">
        <f t="shared" si="8"/>
        <v>1.0388809738332694</v>
      </c>
      <c r="P29">
        <f t="shared" si="9"/>
        <v>0.27445082768704732</v>
      </c>
      <c r="Q29">
        <f t="shared" si="10"/>
        <v>1.0008773379697151</v>
      </c>
      <c r="R29">
        <f t="shared" si="11"/>
        <v>4.1873548085608267E-2</v>
      </c>
      <c r="S29">
        <f t="shared" si="12"/>
        <v>0.99999930025844863</v>
      </c>
      <c r="T29">
        <f t="shared" si="13"/>
        <v>-1.1829975764219207E-3</v>
      </c>
      <c r="U29">
        <f t="shared" si="14"/>
        <v>0.99999916340625461</v>
      </c>
      <c r="V29">
        <f t="shared" si="15"/>
        <v>-1.2935175778546889E-3</v>
      </c>
      <c r="X29">
        <f t="shared" si="34"/>
        <v>21.312438416865621</v>
      </c>
      <c r="Y29">
        <f t="shared" si="16"/>
        <v>-72.698504614189773</v>
      </c>
      <c r="Z29">
        <f t="shared" si="35"/>
        <v>107.30149538581023</v>
      </c>
      <c r="AC29">
        <v>1</v>
      </c>
      <c r="AD29">
        <f t="shared" si="17"/>
        <v>0.28155581647830003</v>
      </c>
      <c r="AE29">
        <f t="shared" si="18"/>
        <v>-9.5529637830201412E-8</v>
      </c>
      <c r="AF29">
        <f t="shared" si="19"/>
        <v>7.3852560016200009E-5</v>
      </c>
      <c r="AG29">
        <f t="shared" si="36"/>
        <v>3794.8830641261429</v>
      </c>
      <c r="AH29">
        <f t="shared" si="37"/>
        <v>-13545.400776700068</v>
      </c>
      <c r="AJ29">
        <f t="shared" si="20"/>
        <v>18000</v>
      </c>
      <c r="AK29">
        <f t="shared" si="21"/>
        <v>21.293966309111998</v>
      </c>
      <c r="AL29">
        <v>1</v>
      </c>
      <c r="AM29">
        <f t="shared" si="22"/>
        <v>4.1898038872284007E-2</v>
      </c>
      <c r="AN29">
        <f t="shared" si="38"/>
        <v>17969.347961511961</v>
      </c>
      <c r="AO29">
        <f t="shared" si="39"/>
        <v>-731.58647309191349</v>
      </c>
      <c r="AQ29">
        <f t="shared" si="23"/>
        <v>7352.9411764705892</v>
      </c>
      <c r="AR29">
        <f t="shared" si="24"/>
        <v>-4411.7647058823532</v>
      </c>
      <c r="AT29">
        <f t="shared" si="52"/>
        <v>-31855569.131572776</v>
      </c>
      <c r="AU29">
        <f t="shared" si="53"/>
        <v>-116340666.28805703</v>
      </c>
      <c r="AV29">
        <f t="shared" si="42"/>
        <v>-1.838058516956288</v>
      </c>
      <c r="AW29">
        <f t="shared" si="25"/>
        <v>128939139.0258064</v>
      </c>
      <c r="AX29">
        <f t="shared" si="26"/>
        <v>-84743635.990886673</v>
      </c>
      <c r="AY29">
        <f t="shared" si="50"/>
        <v>-0.58144627229741386</v>
      </c>
      <c r="BA29">
        <f t="shared" si="27"/>
        <v>0.78177187495316103</v>
      </c>
      <c r="BB29">
        <f t="shared" si="43"/>
        <v>-2.138399156263163</v>
      </c>
      <c r="BC29">
        <f t="shared" si="44"/>
        <v>-1.2566122446588741</v>
      </c>
      <c r="BD29">
        <f t="shared" si="28"/>
        <v>-251.99857818568466</v>
      </c>
      <c r="BF29">
        <f t="shared" si="29"/>
        <v>21.307880819427677</v>
      </c>
      <c r="BG29">
        <f t="shared" si="30"/>
        <v>-72.679240643065285</v>
      </c>
      <c r="BH29">
        <f t="shared" si="45"/>
        <v>107.32075935693472</v>
      </c>
      <c r="BI29">
        <f t="shared" si="46"/>
        <v>107.32075935693472</v>
      </c>
      <c r="BJ29">
        <f t="shared" si="31"/>
        <v>0</v>
      </c>
      <c r="BK29">
        <f t="shared" si="47"/>
        <v>0</v>
      </c>
      <c r="BM29">
        <f t="shared" si="48"/>
        <v>23.446279975690839</v>
      </c>
      <c r="BN29">
        <f t="shared" si="32"/>
        <v>-0.68066245738060904</v>
      </c>
      <c r="BQ29" s="56">
        <f t="shared" si="49"/>
        <v>14.763561644021973</v>
      </c>
      <c r="BR29" s="58"/>
      <c r="BS29" s="58"/>
      <c r="BT29" s="58">
        <v>154.88200000000001</v>
      </c>
      <c r="BU29" s="58">
        <v>31.248699999999999</v>
      </c>
      <c r="BV29" s="58">
        <v>-260.69729999999998</v>
      </c>
      <c r="BW29" s="61"/>
      <c r="BY29" s="58"/>
      <c r="BZ29" s="58"/>
      <c r="CA29" s="58"/>
      <c r="CC29" s="58"/>
    </row>
    <row r="30" spans="1:81" x14ac:dyDescent="0.2">
      <c r="A30">
        <f t="shared" si="51"/>
        <v>400</v>
      </c>
      <c r="B30">
        <f t="shared" si="33"/>
        <v>0.4</v>
      </c>
      <c r="C30">
        <f t="shared" si="0"/>
        <v>1.0000000046570636</v>
      </c>
      <c r="D30">
        <f t="shared" si="1"/>
        <v>9.650972590836538E-5</v>
      </c>
      <c r="F30">
        <f t="shared" si="2"/>
        <v>0.992068387108758</v>
      </c>
      <c r="G30">
        <f t="shared" si="3"/>
        <v>-1.5948245864709172E-2</v>
      </c>
      <c r="H30">
        <f t="shared" si="4"/>
        <v>-1.5948245864709172E-2</v>
      </c>
      <c r="J30">
        <f t="shared" si="5"/>
        <v>15</v>
      </c>
      <c r="M30">
        <f t="shared" si="6"/>
        <v>0.56418716775054023</v>
      </c>
      <c r="N30">
        <f t="shared" si="7"/>
        <v>-1.5707963250000001</v>
      </c>
      <c r="O30">
        <f t="shared" si="8"/>
        <v>1.0681437088438468</v>
      </c>
      <c r="P30">
        <f t="shared" si="9"/>
        <v>0.35912810644118004</v>
      </c>
      <c r="Q30">
        <f t="shared" si="10"/>
        <v>1.0015591806213116</v>
      </c>
      <c r="R30">
        <f t="shared" si="11"/>
        <v>5.580604703622917E-2</v>
      </c>
      <c r="S30">
        <f t="shared" si="12"/>
        <v>0.99999875601603561</v>
      </c>
      <c r="T30">
        <f t="shared" si="13"/>
        <v>-1.5773295295953328E-3</v>
      </c>
      <c r="U30">
        <f t="shared" si="14"/>
        <v>0.9999985127236819</v>
      </c>
      <c r="V30">
        <f t="shared" si="15"/>
        <v>-1.7246893556547836E-3</v>
      </c>
      <c r="X30">
        <f t="shared" si="34"/>
        <v>19.067223857108999</v>
      </c>
      <c r="Y30">
        <f t="shared" si="16"/>
        <v>-67.323453528704789</v>
      </c>
      <c r="Z30">
        <f t="shared" si="35"/>
        <v>112.67654647129521</v>
      </c>
      <c r="AC30">
        <v>1</v>
      </c>
      <c r="AD30">
        <f t="shared" si="17"/>
        <v>0.37540775530440001</v>
      </c>
      <c r="AE30">
        <f t="shared" si="18"/>
        <v>-1.698304672536914E-7</v>
      </c>
      <c r="AF30">
        <f t="shared" si="19"/>
        <v>9.8470080021599994E-5</v>
      </c>
      <c r="AG30">
        <f t="shared" si="36"/>
        <v>3794.8781255950685</v>
      </c>
      <c r="AH30">
        <f t="shared" si="37"/>
        <v>-10161.914011908424</v>
      </c>
      <c r="AJ30">
        <f t="shared" si="20"/>
        <v>18000</v>
      </c>
      <c r="AK30">
        <f t="shared" si="21"/>
        <v>28.391955078816004</v>
      </c>
      <c r="AL30">
        <v>1</v>
      </c>
      <c r="AM30">
        <f t="shared" si="22"/>
        <v>5.5864051829711998E-2</v>
      </c>
      <c r="AN30">
        <f t="shared" si="38"/>
        <v>17945.581656832699</v>
      </c>
      <c r="AO30">
        <f t="shared" si="39"/>
        <v>-974.12094871281477</v>
      </c>
      <c r="AQ30">
        <f t="shared" si="23"/>
        <v>6097.5609756097556</v>
      </c>
      <c r="AR30">
        <f t="shared" si="24"/>
        <v>-4878.0487804878048</v>
      </c>
      <c r="AT30">
        <f t="shared" si="52"/>
        <v>-26430811.487388238</v>
      </c>
      <c r="AU30">
        <f t="shared" si="53"/>
        <v>-80474490.929173648</v>
      </c>
      <c r="AV30">
        <f t="shared" si="42"/>
        <v>-1.888133851932924</v>
      </c>
      <c r="AW30">
        <f t="shared" si="25"/>
        <v>104711589.22116251</v>
      </c>
      <c r="AX30">
        <f t="shared" si="26"/>
        <v>-93545879.657937378</v>
      </c>
      <c r="AY30">
        <f t="shared" si="50"/>
        <v>-0.72913835790626647</v>
      </c>
      <c r="BA30">
        <f t="shared" si="27"/>
        <v>0.60325453687326813</v>
      </c>
      <c r="BB30">
        <f t="shared" si="43"/>
        <v>-4.3899880645006863</v>
      </c>
      <c r="BC30">
        <f t="shared" si="44"/>
        <v>-1.1589954940266576</v>
      </c>
      <c r="BD30">
        <f t="shared" si="28"/>
        <v>-246.40555035828669</v>
      </c>
      <c r="BF30">
        <f t="shared" si="29"/>
        <v>19.062669372733353</v>
      </c>
      <c r="BG30">
        <f t="shared" si="30"/>
        <v>-67.313787938032803</v>
      </c>
      <c r="BH30">
        <f t="shared" si="45"/>
        <v>112.6862120619672</v>
      </c>
      <c r="BI30">
        <f t="shared" si="46"/>
        <v>112.6862120619672</v>
      </c>
      <c r="BJ30">
        <f t="shared" si="31"/>
        <v>0</v>
      </c>
      <c r="BK30">
        <f t="shared" si="47"/>
        <v>0</v>
      </c>
      <c r="BM30">
        <f t="shared" si="48"/>
        <v>23.452657437234038</v>
      </c>
      <c r="BN30">
        <f t="shared" si="32"/>
        <v>-0.90823757974610264</v>
      </c>
      <c r="BQ30" s="56">
        <f t="shared" si="49"/>
        <v>12.511972735784449</v>
      </c>
      <c r="BR30" s="58"/>
      <c r="BS30" s="58"/>
      <c r="BT30" s="58">
        <v>158.489</v>
      </c>
      <c r="BU30" s="58">
        <v>31.003699999999998</v>
      </c>
      <c r="BV30" s="58">
        <v>-259.86900000000003</v>
      </c>
      <c r="BW30" s="61"/>
      <c r="BY30" s="58"/>
      <c r="BZ30" s="58"/>
      <c r="CA30" s="58"/>
      <c r="CC30" s="58"/>
    </row>
    <row r="31" spans="1:81" x14ac:dyDescent="0.2">
      <c r="A31">
        <f t="shared" si="51"/>
        <v>500</v>
      </c>
      <c r="B31">
        <f t="shared" si="33"/>
        <v>0.5</v>
      </c>
      <c r="C31">
        <f t="shared" si="0"/>
        <v>1.0000000072766619</v>
      </c>
      <c r="D31">
        <f t="shared" si="1"/>
        <v>1.2063715717477613E-4</v>
      </c>
      <c r="F31">
        <f t="shared" si="2"/>
        <v>0.99300601537960687</v>
      </c>
      <c r="G31">
        <f t="shared" si="3"/>
        <v>-1.9954627066499742E-2</v>
      </c>
      <c r="H31">
        <f t="shared" si="4"/>
        <v>-1.9954627066499742E-2</v>
      </c>
      <c r="J31">
        <f t="shared" si="5"/>
        <v>15</v>
      </c>
      <c r="M31">
        <f t="shared" si="6"/>
        <v>0.45134973420043223</v>
      </c>
      <c r="N31">
        <f t="shared" si="7"/>
        <v>-1.5707963250000001</v>
      </c>
      <c r="O31">
        <f t="shared" si="8"/>
        <v>1.1046287433049398</v>
      </c>
      <c r="P31">
        <f t="shared" si="9"/>
        <v>0.43875435372878574</v>
      </c>
      <c r="Q31">
        <f t="shared" si="10"/>
        <v>1.0024351539866188</v>
      </c>
      <c r="R31">
        <f t="shared" si="11"/>
        <v>6.9716893043871894E-2</v>
      </c>
      <c r="S31">
        <f t="shared" si="12"/>
        <v>0.99999805627709559</v>
      </c>
      <c r="T31">
        <f t="shared" si="13"/>
        <v>-1.9716609922267796E-3</v>
      </c>
      <c r="U31">
        <f t="shared" si="14"/>
        <v>0.9999976761336693</v>
      </c>
      <c r="V31">
        <f t="shared" si="15"/>
        <v>-2.1558604921843379E-3</v>
      </c>
      <c r="X31">
        <f t="shared" si="34"/>
        <v>17.436542145565859</v>
      </c>
      <c r="Y31">
        <f t="shared" si="16"/>
        <v>-62.239636998066601</v>
      </c>
      <c r="Z31">
        <f t="shared" si="35"/>
        <v>117.7603630019334</v>
      </c>
      <c r="AC31">
        <v>1</v>
      </c>
      <c r="AD31">
        <f t="shared" si="17"/>
        <v>0.46925969413049995</v>
      </c>
      <c r="AE31">
        <f t="shared" si="18"/>
        <v>-2.6536010508389284E-7</v>
      </c>
      <c r="AF31">
        <f t="shared" si="19"/>
        <v>1.2308760002699998E-4</v>
      </c>
      <c r="AG31">
        <f t="shared" si="36"/>
        <v>3794.8717760740014</v>
      </c>
      <c r="AH31">
        <f t="shared" si="37"/>
        <v>-8132.47644241745</v>
      </c>
      <c r="AJ31">
        <f t="shared" si="20"/>
        <v>18000</v>
      </c>
      <c r="AK31">
        <f t="shared" si="21"/>
        <v>35.489943848519999</v>
      </c>
      <c r="AL31">
        <v>1</v>
      </c>
      <c r="AM31">
        <f t="shared" si="22"/>
        <v>6.9830064787140003E-2</v>
      </c>
      <c r="AN31">
        <f t="shared" si="38"/>
        <v>17915.119877684545</v>
      </c>
      <c r="AO31">
        <f t="shared" si="39"/>
        <v>-1215.5240378795716</v>
      </c>
      <c r="AQ31">
        <f t="shared" si="23"/>
        <v>5000</v>
      </c>
      <c r="AR31">
        <f t="shared" si="24"/>
        <v>-5000</v>
      </c>
      <c r="AT31">
        <f t="shared" si="52"/>
        <v>-21688023.331717245</v>
      </c>
      <c r="AU31">
        <f t="shared" si="53"/>
        <v>-59636741.092457257</v>
      </c>
      <c r="AV31">
        <f t="shared" si="42"/>
        <v>-1.9195959969557435</v>
      </c>
      <c r="AW31">
        <f t="shared" si="25"/>
        <v>83537038.604386821</v>
      </c>
      <c r="AX31">
        <f t="shared" si="26"/>
        <v>-95707450.932981521</v>
      </c>
      <c r="AY31">
        <f t="shared" si="50"/>
        <v>-0.85319249995067536</v>
      </c>
      <c r="BA31">
        <f t="shared" si="27"/>
        <v>0.49952407429777429</v>
      </c>
      <c r="BB31">
        <f t="shared" si="43"/>
        <v>-6.0288715268288318</v>
      </c>
      <c r="BC31">
        <f t="shared" si="44"/>
        <v>-1.066403497005068</v>
      </c>
      <c r="BD31">
        <f t="shared" si="28"/>
        <v>-241.10041970619972</v>
      </c>
      <c r="BF31">
        <f t="shared" si="29"/>
        <v>17.431991304481432</v>
      </c>
      <c r="BG31">
        <f t="shared" si="30"/>
        <v>-62.236823620207637</v>
      </c>
      <c r="BH31">
        <f t="shared" si="45"/>
        <v>117.76317637979236</v>
      </c>
      <c r="BI31">
        <f t="shared" si="46"/>
        <v>117.76317637979236</v>
      </c>
      <c r="BJ31">
        <f t="shared" si="31"/>
        <v>0</v>
      </c>
      <c r="BK31">
        <f t="shared" si="47"/>
        <v>0</v>
      </c>
      <c r="BM31">
        <f t="shared" si="48"/>
        <v>23.460862831310262</v>
      </c>
      <c r="BN31">
        <f t="shared" si="32"/>
        <v>-1.1364039140079136</v>
      </c>
      <c r="BQ31" s="56">
        <f t="shared" si="49"/>
        <v>10.873089273456305</v>
      </c>
      <c r="BR31" s="58"/>
      <c r="BS31" s="58"/>
      <c r="BT31" s="58">
        <v>162.18100000000001</v>
      </c>
      <c r="BU31" s="58">
        <v>30.429300000000001</v>
      </c>
      <c r="BV31" s="58">
        <v>-262.39859999999999</v>
      </c>
      <c r="BW31" s="61"/>
      <c r="BY31" s="58"/>
      <c r="BZ31" s="58"/>
      <c r="CA31" s="58"/>
      <c r="CC31" s="58"/>
    </row>
    <row r="32" spans="1:81" x14ac:dyDescent="0.2">
      <c r="A32">
        <f t="shared" si="51"/>
        <v>600</v>
      </c>
      <c r="B32">
        <f t="shared" si="33"/>
        <v>0.6</v>
      </c>
      <c r="C32">
        <f t="shared" si="0"/>
        <v>1.000000010478393</v>
      </c>
      <c r="D32">
        <f t="shared" si="1"/>
        <v>1.4476458830073316E-4</v>
      </c>
      <c r="F32">
        <f t="shared" si="2"/>
        <v>0.99415422454537072</v>
      </c>
      <c r="G32">
        <f t="shared" si="3"/>
        <v>-2.3973946130770592E-2</v>
      </c>
      <c r="H32">
        <f t="shared" si="4"/>
        <v>-2.3973946130770592E-2</v>
      </c>
      <c r="J32">
        <f t="shared" si="5"/>
        <v>15</v>
      </c>
      <c r="M32">
        <f t="shared" si="6"/>
        <v>0.37612477850036014</v>
      </c>
      <c r="N32">
        <f t="shared" si="7"/>
        <v>-1.5707963250000001</v>
      </c>
      <c r="O32">
        <f t="shared" si="8"/>
        <v>1.1476474681586888</v>
      </c>
      <c r="P32">
        <f t="shared" si="9"/>
        <v>0.51285396213436552</v>
      </c>
      <c r="Q32">
        <f t="shared" si="10"/>
        <v>1.0035047496875009</v>
      </c>
      <c r="R32">
        <f t="shared" si="11"/>
        <v>8.3600767328150208E-2</v>
      </c>
      <c r="S32">
        <f t="shared" si="12"/>
        <v>0.99999720104260836</v>
      </c>
      <c r="T32">
        <f t="shared" si="13"/>
        <v>-2.3659918416824859E-3</v>
      </c>
      <c r="U32">
        <f t="shared" si="14"/>
        <v>0.99999665363761614</v>
      </c>
      <c r="V32">
        <f t="shared" si="15"/>
        <v>-2.587030827128398E-3</v>
      </c>
      <c r="X32">
        <f t="shared" si="34"/>
        <v>16.204044747188757</v>
      </c>
      <c r="Y32">
        <f t="shared" si="16"/>
        <v>-57.474760120405065</v>
      </c>
      <c r="Z32">
        <f t="shared" si="35"/>
        <v>122.52523987959493</v>
      </c>
      <c r="AC32">
        <v>1</v>
      </c>
      <c r="AD32">
        <f t="shared" si="17"/>
        <v>0.56311163295660005</v>
      </c>
      <c r="AE32">
        <f t="shared" si="18"/>
        <v>-3.8211855132080565E-7</v>
      </c>
      <c r="AF32">
        <f t="shared" si="19"/>
        <v>1.4770512003240002E-4</v>
      </c>
      <c r="AG32">
        <f t="shared" si="36"/>
        <v>3794.8640155771086</v>
      </c>
      <c r="AH32">
        <f t="shared" si="37"/>
        <v>-6780.0634651013961</v>
      </c>
      <c r="AJ32">
        <f t="shared" si="20"/>
        <v>18000</v>
      </c>
      <c r="AK32">
        <f t="shared" si="21"/>
        <v>42.587932618223995</v>
      </c>
      <c r="AL32">
        <v>1</v>
      </c>
      <c r="AM32">
        <f t="shared" si="22"/>
        <v>8.3796077744568015E-2</v>
      </c>
      <c r="AN32">
        <f t="shared" si="38"/>
        <v>17878.0330395819</v>
      </c>
      <c r="AO32">
        <f t="shared" si="39"/>
        <v>-1455.5211138865366</v>
      </c>
      <c r="AQ32">
        <f t="shared" si="23"/>
        <v>4098.3606557377052</v>
      </c>
      <c r="AR32">
        <f t="shared" si="24"/>
        <v>-4918.0327868852464</v>
      </c>
      <c r="AT32">
        <f t="shared" si="52"/>
        <v>-17791853.043215439</v>
      </c>
      <c r="AU32">
        <f t="shared" si="53"/>
        <v>-46450410.999155439</v>
      </c>
      <c r="AV32">
        <f t="shared" si="42"/>
        <v>-1.9365874460858528</v>
      </c>
      <c r="AW32">
        <f t="shared" si="25"/>
        <v>66151311.879505508</v>
      </c>
      <c r="AX32">
        <f t="shared" si="26"/>
        <v>-93936083.991422176</v>
      </c>
      <c r="AY32">
        <f t="shared" si="50"/>
        <v>-0.95724630095398078</v>
      </c>
      <c r="BA32">
        <f t="shared" si="27"/>
        <v>0.4329421655646235</v>
      </c>
      <c r="BB32">
        <f t="shared" si="43"/>
        <v>-7.2714022971224423</v>
      </c>
      <c r="BC32">
        <f t="shared" si="44"/>
        <v>-0.97934114513187198</v>
      </c>
      <c r="BD32">
        <f t="shared" si="28"/>
        <v>-236.11211438368272</v>
      </c>
      <c r="BF32">
        <f t="shared" si="29"/>
        <v>16.199498221774483</v>
      </c>
      <c r="BG32">
        <f t="shared" si="30"/>
        <v>-57.477425916877394</v>
      </c>
      <c r="BH32">
        <f t="shared" si="45"/>
        <v>122.52257408312261</v>
      </c>
      <c r="BI32">
        <f t="shared" si="46"/>
        <v>122.52257408312261</v>
      </c>
      <c r="BJ32">
        <f t="shared" si="31"/>
        <v>0</v>
      </c>
      <c r="BK32">
        <f t="shared" si="47"/>
        <v>0</v>
      </c>
      <c r="BM32">
        <f t="shared" si="48"/>
        <v>23.470900518896926</v>
      </c>
      <c r="BN32">
        <f t="shared" si="32"/>
        <v>-1.3653115331946597</v>
      </c>
      <c r="BQ32" s="56">
        <f t="shared" si="49"/>
        <v>9.6305585031626944</v>
      </c>
      <c r="BR32" s="58"/>
      <c r="BS32" s="58"/>
      <c r="BT32" s="58">
        <v>165.959</v>
      </c>
      <c r="BU32" s="58">
        <v>29.9194</v>
      </c>
      <c r="BV32" s="58">
        <v>-264.8295</v>
      </c>
      <c r="BW32" s="61"/>
      <c r="BY32" s="58"/>
      <c r="BZ32" s="58"/>
      <c r="CA32" s="58"/>
      <c r="CC32" s="58"/>
    </row>
    <row r="33" spans="1:81" x14ac:dyDescent="0.2">
      <c r="A33">
        <f t="shared" si="51"/>
        <v>700</v>
      </c>
      <c r="B33">
        <f t="shared" si="33"/>
        <v>0.7</v>
      </c>
      <c r="C33">
        <f t="shared" si="0"/>
        <v>1.0000000142622574</v>
      </c>
      <c r="D33">
        <f t="shared" si="1"/>
        <v>1.6889201925814572E-4</v>
      </c>
      <c r="F33">
        <f t="shared" si="2"/>
        <v>0.99551435509189168</v>
      </c>
      <c r="G33">
        <f t="shared" si="3"/>
        <v>-2.8008848975297526E-2</v>
      </c>
      <c r="H33">
        <f t="shared" si="4"/>
        <v>-2.8008848975297526E-2</v>
      </c>
      <c r="J33">
        <f t="shared" si="5"/>
        <v>15</v>
      </c>
      <c r="M33">
        <f t="shared" si="6"/>
        <v>0.322392667286023</v>
      </c>
      <c r="N33">
        <f t="shared" si="7"/>
        <v>-1.5707963250000001</v>
      </c>
      <c r="O33">
        <f t="shared" si="8"/>
        <v>1.1964953550471822</v>
      </c>
      <c r="P33">
        <f t="shared" si="9"/>
        <v>0.58125495995202547</v>
      </c>
      <c r="Q33">
        <f t="shared" si="10"/>
        <v>1.0047673493791611</v>
      </c>
      <c r="R33">
        <f t="shared" si="11"/>
        <v>9.7452413275077088E-2</v>
      </c>
      <c r="S33">
        <f t="shared" si="12"/>
        <v>0.99999619031377041</v>
      </c>
      <c r="T33">
        <f t="shared" si="13"/>
        <v>-2.7603219553298205E-3</v>
      </c>
      <c r="U33">
        <f t="shared" si="14"/>
        <v>0.99999544523723338</v>
      </c>
      <c r="V33">
        <f t="shared" si="15"/>
        <v>-3.0182002001737998E-3</v>
      </c>
      <c r="X33">
        <f t="shared" si="34"/>
        <v>15.249936913781355</v>
      </c>
      <c r="Y33">
        <f t="shared" si="16"/>
        <v>-53.039128914182832</v>
      </c>
      <c r="Z33">
        <f t="shared" si="35"/>
        <v>126.96087108581716</v>
      </c>
      <c r="AC33">
        <v>1</v>
      </c>
      <c r="AD33">
        <f t="shared" si="17"/>
        <v>0.65696357178269993</v>
      </c>
      <c r="AE33">
        <f t="shared" si="18"/>
        <v>-5.2010580596443001E-7</v>
      </c>
      <c r="AF33">
        <f t="shared" si="19"/>
        <v>1.723226400378E-4</v>
      </c>
      <c r="AG33">
        <f t="shared" si="36"/>
        <v>3794.8548441217022</v>
      </c>
      <c r="AH33">
        <f t="shared" si="37"/>
        <v>-5814.5216775777753</v>
      </c>
      <c r="AJ33">
        <f t="shared" si="20"/>
        <v>18000</v>
      </c>
      <c r="AK33">
        <f t="shared" si="21"/>
        <v>49.685921387927998</v>
      </c>
      <c r="AL33">
        <v>1</v>
      </c>
      <c r="AM33">
        <f t="shared" si="22"/>
        <v>9.7762090701995999E-2</v>
      </c>
      <c r="AN33">
        <f t="shared" si="38"/>
        <v>17834.406373634411</v>
      </c>
      <c r="AO33">
        <f t="shared" si="39"/>
        <v>-1693.8429321275746</v>
      </c>
      <c r="AQ33">
        <f t="shared" si="23"/>
        <v>3378.3783783783783</v>
      </c>
      <c r="AR33">
        <f t="shared" si="24"/>
        <v>-4729.72972972973</v>
      </c>
      <c r="AT33">
        <f t="shared" si="52"/>
        <v>-14680660.488132378</v>
      </c>
      <c r="AU33">
        <f t="shared" si="53"/>
        <v>-37592292.09239243</v>
      </c>
      <c r="AV33">
        <f t="shared" si="42"/>
        <v>-1.9431064078551201</v>
      </c>
      <c r="AW33">
        <f t="shared" si="25"/>
        <v>52278851.581053823</v>
      </c>
      <c r="AX33">
        <f t="shared" si="26"/>
        <v>-90114757.716119587</v>
      </c>
      <c r="AY33">
        <f t="shared" si="50"/>
        <v>-1.0451104702763643</v>
      </c>
      <c r="BA33">
        <f t="shared" si="27"/>
        <v>0.38737445583205843</v>
      </c>
      <c r="BB33">
        <f t="shared" si="43"/>
        <v>-8.2373804166305078</v>
      </c>
      <c r="BC33">
        <f t="shared" si="44"/>
        <v>-0.89799593757875584</v>
      </c>
      <c r="BD33">
        <f t="shared" si="28"/>
        <v>-231.45137730194779</v>
      </c>
      <c r="BF33">
        <f t="shared" si="29"/>
        <v>15.245395425099614</v>
      </c>
      <c r="BG33">
        <f t="shared" si="30"/>
        <v>-53.046489339177413</v>
      </c>
      <c r="BH33">
        <f t="shared" si="45"/>
        <v>126.95351066082259</v>
      </c>
      <c r="BI33">
        <f t="shared" si="46"/>
        <v>126.95351066082259</v>
      </c>
      <c r="BJ33">
        <f t="shared" si="31"/>
        <v>0</v>
      </c>
      <c r="BK33">
        <f t="shared" si="47"/>
        <v>0</v>
      </c>
      <c r="BM33">
        <f t="shared" si="48"/>
        <v>23.48277584173012</v>
      </c>
      <c r="BN33">
        <f t="shared" si="32"/>
        <v>-1.5951120372296159</v>
      </c>
      <c r="BQ33" s="56">
        <f t="shared" si="49"/>
        <v>8.6645803836546289</v>
      </c>
      <c r="BR33" s="58"/>
      <c r="BS33" s="58"/>
      <c r="BT33" s="58">
        <v>169.82400000000001</v>
      </c>
      <c r="BU33" s="58">
        <v>29.808900000000001</v>
      </c>
      <c r="BV33" s="58">
        <v>-267.72770000000003</v>
      </c>
      <c r="BW33" s="61"/>
      <c r="BY33" s="58"/>
      <c r="BZ33" s="58"/>
      <c r="CA33" s="58"/>
      <c r="CC33" s="58"/>
    </row>
    <row r="34" spans="1:81" x14ac:dyDescent="0.2">
      <c r="A34">
        <f t="shared" si="51"/>
        <v>800</v>
      </c>
      <c r="B34">
        <f t="shared" si="33"/>
        <v>0.8</v>
      </c>
      <c r="C34">
        <f t="shared" si="0"/>
        <v>1.0000000186282543</v>
      </c>
      <c r="D34">
        <f t="shared" si="1"/>
        <v>1.9301945001892306E-4</v>
      </c>
      <c r="F34">
        <f t="shared" si="2"/>
        <v>0.99708799950952198</v>
      </c>
      <c r="G34">
        <f t="shared" si="3"/>
        <v>-3.2062013735109633E-2</v>
      </c>
      <c r="H34">
        <f t="shared" si="4"/>
        <v>-3.2062013735109633E-2</v>
      </c>
      <c r="J34">
        <f t="shared" si="5"/>
        <v>15</v>
      </c>
      <c r="M34">
        <f t="shared" si="6"/>
        <v>0.28209358387527012</v>
      </c>
      <c r="N34">
        <f t="shared" si="7"/>
        <v>-1.5707963250000001</v>
      </c>
      <c r="O34">
        <f t="shared" si="8"/>
        <v>1.2504894765533827</v>
      </c>
      <c r="P34">
        <f t="shared" si="9"/>
        <v>0.64402283130984261</v>
      </c>
      <c r="Q34">
        <f t="shared" si="10"/>
        <v>1.0062222265222187</v>
      </c>
      <c r="R34">
        <f t="shared" si="11"/>
        <v>0.11126664807779225</v>
      </c>
      <c r="S34">
        <f t="shared" si="12"/>
        <v>0.99999502409199659</v>
      </c>
      <c r="T34">
        <f t="shared" si="13"/>
        <v>-3.1546512105375263E-3</v>
      </c>
      <c r="U34">
        <f t="shared" si="14"/>
        <v>0.99999405093454319</v>
      </c>
      <c r="V34">
        <f t="shared" si="15"/>
        <v>-3.4493684510095244E-3</v>
      </c>
      <c r="X34">
        <f t="shared" si="34"/>
        <v>14.499743354695852</v>
      </c>
      <c r="Y34">
        <f t="shared" si="16"/>
        <v>-48.92944179781567</v>
      </c>
      <c r="Z34">
        <f t="shared" si="35"/>
        <v>131.07055820218432</v>
      </c>
      <c r="AC34">
        <v>1</v>
      </c>
      <c r="AD34">
        <f t="shared" si="17"/>
        <v>0.75081551060880003</v>
      </c>
      <c r="AE34">
        <f t="shared" si="18"/>
        <v>-6.7932186901476561E-7</v>
      </c>
      <c r="AF34">
        <f t="shared" si="19"/>
        <v>1.9694016004319999E-4</v>
      </c>
      <c r="AG34">
        <f t="shared" si="36"/>
        <v>3794.8442617282435</v>
      </c>
      <c r="AH34">
        <f t="shared" si="37"/>
        <v>-5090.7743777428432</v>
      </c>
      <c r="AJ34">
        <f t="shared" si="20"/>
        <v>18000</v>
      </c>
      <c r="AK34">
        <f t="shared" si="21"/>
        <v>56.783910157632008</v>
      </c>
      <c r="AL34">
        <v>1</v>
      </c>
      <c r="AM34">
        <f t="shared" si="22"/>
        <v>0.111728103659424</v>
      </c>
      <c r="AN34">
        <f t="shared" si="38"/>
        <v>17784.339441182448</v>
      </c>
      <c r="AO34">
        <f t="shared" si="39"/>
        <v>-1930.2266104411831</v>
      </c>
      <c r="AQ34">
        <f t="shared" si="23"/>
        <v>2808.9887640449433</v>
      </c>
      <c r="AR34">
        <f t="shared" si="24"/>
        <v>-4494.3820224719093</v>
      </c>
      <c r="AT34">
        <f t="shared" si="52"/>
        <v>-12220209.95129299</v>
      </c>
      <c r="AU34">
        <f t="shared" si="53"/>
        <v>-31355407.855359636</v>
      </c>
      <c r="AV34">
        <f t="shared" si="42"/>
        <v>-1.9424198753873976</v>
      </c>
      <c r="AW34">
        <f t="shared" si="25"/>
        <v>41319631.721037053</v>
      </c>
      <c r="AX34">
        <f t="shared" si="26"/>
        <v>-85387843.700432748</v>
      </c>
      <c r="AY34">
        <f t="shared" si="50"/>
        <v>-1.1201071669457709</v>
      </c>
      <c r="BA34">
        <f t="shared" si="27"/>
        <v>0.35476080013248329</v>
      </c>
      <c r="BB34">
        <f t="shared" si="43"/>
        <v>-9.0012874851874081</v>
      </c>
      <c r="BC34">
        <f t="shared" si="44"/>
        <v>-0.82231270844162663</v>
      </c>
      <c r="BD34">
        <f t="shared" si="28"/>
        <v>-227.11504768751377</v>
      </c>
      <c r="BF34">
        <f t="shared" si="29"/>
        <v>14.495207644120072</v>
      </c>
      <c r="BG34">
        <f t="shared" si="30"/>
        <v>-48.941006559462473</v>
      </c>
      <c r="BH34">
        <f t="shared" si="45"/>
        <v>131.05899344053753</v>
      </c>
      <c r="BI34">
        <f t="shared" si="46"/>
        <v>131.05899344053753</v>
      </c>
      <c r="BJ34">
        <f t="shared" si="31"/>
        <v>0</v>
      </c>
      <c r="BK34">
        <f t="shared" si="47"/>
        <v>0</v>
      </c>
      <c r="BM34">
        <f t="shared" si="48"/>
        <v>23.49649512930748</v>
      </c>
      <c r="BN34">
        <f t="shared" si="32"/>
        <v>-1.8259588719487003</v>
      </c>
      <c r="BQ34" s="56">
        <f t="shared" si="49"/>
        <v>7.9006733150977295</v>
      </c>
      <c r="BR34" s="58"/>
      <c r="BS34" s="58"/>
      <c r="BT34" s="58">
        <v>173.78</v>
      </c>
      <c r="BU34" s="58">
        <v>30.070900000000002</v>
      </c>
      <c r="BV34" s="58">
        <v>-269.952</v>
      </c>
      <c r="BW34" s="61"/>
      <c r="BY34" s="58"/>
      <c r="BZ34" s="58"/>
      <c r="CA34" s="58"/>
      <c r="CC34" s="58"/>
    </row>
    <row r="35" spans="1:81" x14ac:dyDescent="0.2">
      <c r="A35">
        <f t="shared" si="51"/>
        <v>900</v>
      </c>
      <c r="B35">
        <f t="shared" si="33"/>
        <v>0.9</v>
      </c>
      <c r="C35">
        <f t="shared" si="0"/>
        <v>1.0000000235763844</v>
      </c>
      <c r="D35">
        <f t="shared" si="1"/>
        <v>2.1714688055497449E-4</v>
      </c>
      <c r="F35">
        <f t="shared" si="2"/>
        <v>0.99887700649284228</v>
      </c>
      <c r="G35">
        <f t="shared" si="3"/>
        <v>-3.6136156462802861E-2</v>
      </c>
      <c r="H35">
        <f t="shared" si="4"/>
        <v>-3.6136156462802861E-2</v>
      </c>
      <c r="J35">
        <f t="shared" si="5"/>
        <v>15</v>
      </c>
      <c r="M35">
        <f t="shared" si="6"/>
        <v>0.25074985233357344</v>
      </c>
      <c r="N35">
        <f t="shared" si="7"/>
        <v>-1.5707963250000001</v>
      </c>
      <c r="O35">
        <f t="shared" si="8"/>
        <v>1.3089931627532894</v>
      </c>
      <c r="P35">
        <f t="shared" si="9"/>
        <v>0.701390085872029</v>
      </c>
      <c r="Q35">
        <f t="shared" si="10"/>
        <v>1.0078685484487007</v>
      </c>
      <c r="R35">
        <f t="shared" si="11"/>
        <v>0.12503837395911713</v>
      </c>
      <c r="S35">
        <f t="shared" si="12"/>
        <v>0.99999370237891871</v>
      </c>
      <c r="T35">
        <f t="shared" si="13"/>
        <v>-3.5489794846759464E-3</v>
      </c>
      <c r="U35">
        <f t="shared" si="14"/>
        <v>0.99999247073187802</v>
      </c>
      <c r="V35">
        <f t="shared" si="15"/>
        <v>-3.8805354193270575E-3</v>
      </c>
      <c r="X35">
        <f t="shared" si="34"/>
        <v>13.903584745253122</v>
      </c>
      <c r="Y35">
        <f t="shared" si="16"/>
        <v>-45.132824632091904</v>
      </c>
      <c r="Z35">
        <f t="shared" si="35"/>
        <v>134.86717536790809</v>
      </c>
      <c r="AC35">
        <v>1</v>
      </c>
      <c r="AD35">
        <f t="shared" si="17"/>
        <v>0.84466744943490002</v>
      </c>
      <c r="AE35">
        <f t="shared" si="18"/>
        <v>-8.5976674047181287E-7</v>
      </c>
      <c r="AF35">
        <f t="shared" si="19"/>
        <v>2.215576800486E-4</v>
      </c>
      <c r="AG35">
        <f t="shared" si="36"/>
        <v>3794.8322684203372</v>
      </c>
      <c r="AH35">
        <f t="shared" si="37"/>
        <v>-4528.2233969501094</v>
      </c>
      <c r="AJ35">
        <f t="shared" si="20"/>
        <v>18000</v>
      </c>
      <c r="AK35">
        <f t="shared" si="21"/>
        <v>63.881898927335996</v>
      </c>
      <c r="AL35">
        <v>1</v>
      </c>
      <c r="AM35">
        <f t="shared" si="22"/>
        <v>0.12569411661685201</v>
      </c>
      <c r="AN35">
        <f t="shared" si="38"/>
        <v>17727.945572593999</v>
      </c>
      <c r="AO35">
        <f t="shared" si="39"/>
        <v>-2164.4165592514996</v>
      </c>
      <c r="AQ35">
        <f t="shared" si="23"/>
        <v>2358.4905660377358</v>
      </c>
      <c r="AR35">
        <f t="shared" si="24"/>
        <v>-4245.2830188679245</v>
      </c>
      <c r="AT35">
        <f t="shared" si="52"/>
        <v>-10273513.787947781</v>
      </c>
      <c r="AU35">
        <f t="shared" si="53"/>
        <v>-26789909.151195087</v>
      </c>
      <c r="AV35">
        <f t="shared" si="42"/>
        <v>-1.936984598744754</v>
      </c>
      <c r="AW35">
        <f t="shared" si="25"/>
        <v>32661316.56227994</v>
      </c>
      <c r="AX35">
        <f t="shared" si="26"/>
        <v>-80398018.981036559</v>
      </c>
      <c r="AY35">
        <f t="shared" si="50"/>
        <v>-1.1849176999098154</v>
      </c>
      <c r="BA35">
        <f t="shared" si="27"/>
        <v>0.33063550862862656</v>
      </c>
      <c r="BB35">
        <f t="shared" si="43"/>
        <v>-9.6130101433396895</v>
      </c>
      <c r="BC35">
        <f t="shared" si="44"/>
        <v>-0.7520668988349386</v>
      </c>
      <c r="BD35">
        <f t="shared" si="28"/>
        <v>-223.09025926397203</v>
      </c>
      <c r="BF35">
        <f t="shared" si="29"/>
        <v>13.899055563834203</v>
      </c>
      <c r="BG35">
        <f t="shared" si="30"/>
        <v>-45.148266919676409</v>
      </c>
      <c r="BH35">
        <f t="shared" si="45"/>
        <v>134.85173308032358</v>
      </c>
      <c r="BI35">
        <f t="shared" si="46"/>
        <v>134.85173308032358</v>
      </c>
      <c r="BJ35">
        <f t="shared" si="31"/>
        <v>0</v>
      </c>
      <c r="BK35">
        <f t="shared" si="47"/>
        <v>0</v>
      </c>
      <c r="BM35">
        <f t="shared" si="48"/>
        <v>23.512065707173893</v>
      </c>
      <c r="BN35">
        <f t="shared" si="32"/>
        <v>-2.0580076557043827</v>
      </c>
      <c r="BQ35" s="56">
        <f t="shared" si="49"/>
        <v>7.2889506569454472</v>
      </c>
      <c r="BR35" s="58"/>
      <c r="BS35" s="58"/>
      <c r="BT35" s="58">
        <v>177.828</v>
      </c>
      <c r="BU35" s="58">
        <v>29.720099999999999</v>
      </c>
      <c r="BV35" s="58">
        <v>-271.56010000000003</v>
      </c>
      <c r="BW35" s="61"/>
      <c r="BY35" s="58"/>
      <c r="BZ35" s="58"/>
      <c r="CA35" s="58"/>
      <c r="CC35" s="58"/>
    </row>
    <row r="36" spans="1:81" x14ac:dyDescent="0.2">
      <c r="A36">
        <f t="shared" si="51"/>
        <v>1000</v>
      </c>
      <c r="B36">
        <f t="shared" si="33"/>
        <v>1</v>
      </c>
      <c r="C36">
        <f t="shared" si="0"/>
        <v>1.0000000291066473</v>
      </c>
      <c r="D36">
        <f t="shared" si="1"/>
        <v>2.4127431083820916E-4</v>
      </c>
      <c r="F36">
        <f t="shared" si="2"/>
        <v>1.0008834858328994</v>
      </c>
      <c r="G36">
        <f t="shared" si="3"/>
        <v>-4.0234036985482356E-2</v>
      </c>
      <c r="H36">
        <f t="shared" si="4"/>
        <v>-4.0234036985482356E-2</v>
      </c>
      <c r="J36">
        <f t="shared" si="5"/>
        <v>15</v>
      </c>
      <c r="M36">
        <f t="shared" si="6"/>
        <v>0.22567486710021611</v>
      </c>
      <c r="N36">
        <f t="shared" si="7"/>
        <v>-1.5707963250000001</v>
      </c>
      <c r="O36">
        <f t="shared" si="8"/>
        <v>1.3714294156615576</v>
      </c>
      <c r="P36">
        <f t="shared" si="9"/>
        <v>0.75369354853339965</v>
      </c>
      <c r="Q36">
        <f t="shared" si="10"/>
        <v>1.0097053787084154</v>
      </c>
      <c r="R36">
        <f t="shared" si="11"/>
        <v>0.13876258891766796</v>
      </c>
      <c r="S36">
        <f t="shared" si="12"/>
        <v>0.99999222517638642</v>
      </c>
      <c r="T36">
        <f t="shared" si="13"/>
        <v>-3.9433066551172553E-3</v>
      </c>
      <c r="U36">
        <f t="shared" si="14"/>
        <v>0.99999070463188189</v>
      </c>
      <c r="V36">
        <f t="shared" si="15"/>
        <v>-4.3117009448207441E-3</v>
      </c>
      <c r="X36">
        <f t="shared" si="34"/>
        <v>13.426374146117656</v>
      </c>
      <c r="Y36">
        <f t="shared" si="16"/>
        <v>-41.630423475886545</v>
      </c>
      <c r="Z36">
        <f t="shared" si="35"/>
        <v>138.36957652411346</v>
      </c>
      <c r="AC36">
        <v>1</v>
      </c>
      <c r="AD36">
        <f t="shared" si="17"/>
        <v>0.9385193882609999</v>
      </c>
      <c r="AE36">
        <f t="shared" si="18"/>
        <v>-1.0614404203355714E-6</v>
      </c>
      <c r="AF36">
        <f t="shared" si="19"/>
        <v>2.4617520005399996E-4</v>
      </c>
      <c r="AG36">
        <f t="shared" si="36"/>
        <v>3794.8188642247405</v>
      </c>
      <c r="AH36">
        <f t="shared" si="37"/>
        <v>-4078.5098332817465</v>
      </c>
      <c r="AJ36">
        <f t="shared" si="20"/>
        <v>18000</v>
      </c>
      <c r="AK36">
        <f t="shared" si="21"/>
        <v>70.979887697039999</v>
      </c>
      <c r="AL36">
        <v>1</v>
      </c>
      <c r="AM36">
        <f t="shared" si="22"/>
        <v>0.13966012957428001</v>
      </c>
      <c r="AN36">
        <f t="shared" si="38"/>
        <v>17665.351236052535</v>
      </c>
      <c r="AO36">
        <f t="shared" si="39"/>
        <v>-2396.1653549052248</v>
      </c>
      <c r="AQ36">
        <f t="shared" si="23"/>
        <v>2000</v>
      </c>
      <c r="AR36">
        <f t="shared" si="24"/>
        <v>-4000</v>
      </c>
      <c r="AT36">
        <f t="shared" si="52"/>
        <v>-8724401.6046775058</v>
      </c>
      <c r="AU36">
        <f t="shared" si="53"/>
        <v>-23336295.123462453</v>
      </c>
      <c r="AV36">
        <f t="shared" si="42"/>
        <v>-1.9285631970004082</v>
      </c>
      <c r="AW36">
        <f t="shared" si="25"/>
        <v>25784600.896463044</v>
      </c>
      <c r="AX36">
        <f t="shared" si="26"/>
        <v>-75484440.029592484</v>
      </c>
      <c r="AY36">
        <f t="shared" si="50"/>
        <v>-1.2416347993415493</v>
      </c>
      <c r="BA36">
        <f t="shared" si="27"/>
        <v>0.31233296008655081</v>
      </c>
      <c r="BB36">
        <f t="shared" si="43"/>
        <v>-10.107643656516972</v>
      </c>
      <c r="BC36">
        <f t="shared" si="44"/>
        <v>-0.68692839765885894</v>
      </c>
      <c r="BD36">
        <f t="shared" si="28"/>
        <v>-219.35809805851011</v>
      </c>
      <c r="BF36">
        <f t="shared" si="29"/>
        <v>13.421852249976922</v>
      </c>
      <c r="BG36">
        <f t="shared" si="30"/>
        <v>-41.649514573453864</v>
      </c>
      <c r="BH36">
        <f t="shared" si="45"/>
        <v>138.35048542654613</v>
      </c>
      <c r="BI36">
        <f t="shared" si="46"/>
        <v>138.35048542654613</v>
      </c>
      <c r="BJ36">
        <f t="shared" si="31"/>
        <v>0</v>
      </c>
      <c r="BK36">
        <f t="shared" si="47"/>
        <v>0</v>
      </c>
      <c r="BM36">
        <f t="shared" si="48"/>
        <v>23.529495906493896</v>
      </c>
      <c r="BN36">
        <f t="shared" si="32"/>
        <v>-2.2914165149437649</v>
      </c>
      <c r="BQ36" s="56">
        <f t="shared" si="49"/>
        <v>6.7943171437681649</v>
      </c>
      <c r="BR36" s="58"/>
      <c r="BS36" s="58"/>
      <c r="BT36" s="58">
        <v>181.97</v>
      </c>
      <c r="BU36" s="58">
        <v>30.042100000000001</v>
      </c>
      <c r="BV36" s="58">
        <v>-268.84590000000003</v>
      </c>
      <c r="BW36" s="61"/>
      <c r="BY36" s="58"/>
      <c r="BZ36" s="58"/>
      <c r="CA36" s="58"/>
      <c r="CC36" s="58"/>
    </row>
    <row r="37" spans="1:81" x14ac:dyDescent="0.2">
      <c r="A37">
        <f>A36+500</f>
        <v>1500</v>
      </c>
      <c r="B37">
        <f t="shared" si="33"/>
        <v>1.5</v>
      </c>
      <c r="C37">
        <f t="shared" si="0"/>
        <v>1.000000065489955</v>
      </c>
      <c r="D37">
        <f t="shared" si="1"/>
        <v>3.6191145747895665E-4</v>
      </c>
      <c r="F37">
        <f t="shared" si="2"/>
        <v>1.0142708563652303</v>
      </c>
      <c r="G37">
        <f t="shared" si="3"/>
        <v>-6.1179944101231933E-2</v>
      </c>
      <c r="H37">
        <f t="shared" si="4"/>
        <v>-6.1179944101231933E-2</v>
      </c>
      <c r="J37">
        <f t="shared" si="5"/>
        <v>15</v>
      </c>
      <c r="M37">
        <f t="shared" si="6"/>
        <v>0.15044991140014405</v>
      </c>
      <c r="N37">
        <f t="shared" si="7"/>
        <v>-1.5707963250000001</v>
      </c>
      <c r="O37">
        <f t="shared" si="8"/>
        <v>1.7268010727408798</v>
      </c>
      <c r="P37">
        <f t="shared" si="9"/>
        <v>0.95316526920901146</v>
      </c>
      <c r="Q37">
        <f t="shared" si="10"/>
        <v>1.021707463775021</v>
      </c>
      <c r="R37">
        <f t="shared" si="11"/>
        <v>0.20650387137957371</v>
      </c>
      <c r="S37">
        <f t="shared" si="12"/>
        <v>0.99998250690187929</v>
      </c>
      <c r="T37">
        <f t="shared" si="13"/>
        <v>-5.914921660050209E-3</v>
      </c>
      <c r="U37">
        <f t="shared" si="14"/>
        <v>0.99997908578624228</v>
      </c>
      <c r="V37">
        <f t="shared" si="15"/>
        <v>-6.4675013194789143E-3</v>
      </c>
      <c r="X37">
        <f t="shared" si="34"/>
        <v>12.123787323648205</v>
      </c>
      <c r="Y37">
        <f t="shared" si="16"/>
        <v>-27.749929707228425</v>
      </c>
      <c r="Z37">
        <f t="shared" si="35"/>
        <v>152.25007029277157</v>
      </c>
      <c r="AC37">
        <v>1</v>
      </c>
      <c r="AD37">
        <f t="shared" si="17"/>
        <v>1.4077790823915</v>
      </c>
      <c r="AE37">
        <f t="shared" si="18"/>
        <v>-2.3882409457550359E-6</v>
      </c>
      <c r="AF37">
        <f t="shared" si="19"/>
        <v>3.6926280008100002E-4</v>
      </c>
      <c r="AG37">
        <f t="shared" si="36"/>
        <v>3794.7306810881164</v>
      </c>
      <c r="AH37">
        <f t="shared" si="37"/>
        <v>-2732.641173086874</v>
      </c>
      <c r="AJ37">
        <f t="shared" si="20"/>
        <v>18000</v>
      </c>
      <c r="AK37">
        <f t="shared" si="21"/>
        <v>106.46983154556001</v>
      </c>
      <c r="AL37">
        <v>1</v>
      </c>
      <c r="AM37">
        <f t="shared" si="22"/>
        <v>0.20949019436142002</v>
      </c>
      <c r="AN37">
        <f t="shared" si="38"/>
        <v>17264.626541767597</v>
      </c>
      <c r="AO37">
        <f t="shared" si="39"/>
        <v>-3510.3001382666648</v>
      </c>
      <c r="AQ37">
        <f t="shared" si="23"/>
        <v>1000</v>
      </c>
      <c r="AR37">
        <f t="shared" si="24"/>
        <v>-3000</v>
      </c>
      <c r="AT37">
        <f t="shared" si="52"/>
        <v>-4403192.8381725047</v>
      </c>
      <c r="AU37">
        <f t="shared" si="53"/>
        <v>-14116833.216351224</v>
      </c>
      <c r="AV37">
        <f t="shared" si="42"/>
        <v>-1.8731443313036182</v>
      </c>
      <c r="AW37">
        <f t="shared" si="25"/>
        <v>6771484.4796484988</v>
      </c>
      <c r="AX37">
        <f t="shared" si="26"/>
        <v>-55328488.280834295</v>
      </c>
      <c r="AY37">
        <f t="shared" si="50"/>
        <v>-1.4490150115048941</v>
      </c>
      <c r="BA37">
        <f t="shared" si="27"/>
        <v>0.26528972458718869</v>
      </c>
      <c r="BB37">
        <f t="shared" si="43"/>
        <v>-11.525591422630516</v>
      </c>
      <c r="BC37">
        <f t="shared" si="44"/>
        <v>-0.42412931979872415</v>
      </c>
      <c r="BD37">
        <f t="shared" si="28"/>
        <v>-204.300820019989</v>
      </c>
      <c r="BF37">
        <f t="shared" si="29"/>
        <v>12.119313263894075</v>
      </c>
      <c r="BG37">
        <f t="shared" si="30"/>
        <v>-27.785436612746683</v>
      </c>
      <c r="BH37">
        <f t="shared" si="45"/>
        <v>152.21456338725332</v>
      </c>
      <c r="BI37">
        <f t="shared" si="46"/>
        <v>152.21456338725332</v>
      </c>
      <c r="BJ37">
        <f t="shared" si="31"/>
        <v>0</v>
      </c>
      <c r="BK37">
        <f t="shared" si="47"/>
        <v>0</v>
      </c>
      <c r="BM37">
        <f t="shared" si="48"/>
        <v>23.64490468652459</v>
      </c>
      <c r="BN37">
        <f t="shared" si="32"/>
        <v>-3.4846165927576687</v>
      </c>
      <c r="BQ37" s="56">
        <f t="shared" si="49"/>
        <v>5.3763693776546209</v>
      </c>
      <c r="BR37" s="58"/>
      <c r="BS37" s="58"/>
      <c r="BT37" s="58">
        <v>186.209</v>
      </c>
      <c r="BU37" s="58">
        <v>29.901800000000001</v>
      </c>
      <c r="BV37" s="58">
        <v>-265.37959999999998</v>
      </c>
      <c r="BW37" s="61"/>
      <c r="BY37" s="58"/>
      <c r="BZ37" s="58"/>
      <c r="CA37" s="58"/>
      <c r="CC37" s="58"/>
    </row>
    <row r="38" spans="1:81" x14ac:dyDescent="0.2">
      <c r="A38">
        <f t="shared" ref="A38:A101" si="54">A37+500</f>
        <v>2000</v>
      </c>
      <c r="B38">
        <f t="shared" si="33"/>
        <v>2</v>
      </c>
      <c r="C38">
        <f t="shared" si="0"/>
        <v>1.0000001164265839</v>
      </c>
      <c r="D38">
        <f t="shared" si="1"/>
        <v>4.8254859358567726E-4</v>
      </c>
      <c r="F38">
        <f t="shared" si="2"/>
        <v>1.0335736286686208</v>
      </c>
      <c r="G38">
        <f t="shared" si="3"/>
        <v>-8.3169697981163609E-2</v>
      </c>
      <c r="H38">
        <f t="shared" si="4"/>
        <v>-8.3169697981163609E-2</v>
      </c>
      <c r="J38">
        <f t="shared" si="5"/>
        <v>15</v>
      </c>
      <c r="M38">
        <f t="shared" si="6"/>
        <v>0.11283743355010806</v>
      </c>
      <c r="N38">
        <f t="shared" si="7"/>
        <v>-1.5707963250000001</v>
      </c>
      <c r="O38">
        <f t="shared" si="8"/>
        <v>2.1267991368644115</v>
      </c>
      <c r="P38">
        <f t="shared" si="9"/>
        <v>1.0812901123841054</v>
      </c>
      <c r="Q38">
        <f t="shared" si="10"/>
        <v>1.038277326715179</v>
      </c>
      <c r="R38">
        <f t="shared" si="11"/>
        <v>0.27237826841460161</v>
      </c>
      <c r="S38">
        <f t="shared" si="12"/>
        <v>0.99996890179356279</v>
      </c>
      <c r="T38">
        <f t="shared" si="13"/>
        <v>-7.8864906798345128E-3</v>
      </c>
      <c r="U38">
        <f t="shared" si="14"/>
        <v>0.99996282008272008</v>
      </c>
      <c r="V38">
        <f t="shared" si="15"/>
        <v>-8.623241579963652E-3</v>
      </c>
      <c r="X38">
        <f t="shared" si="34"/>
        <v>11.737922430884227</v>
      </c>
      <c r="Y38">
        <f t="shared" si="16"/>
        <v>-18.124077497049292</v>
      </c>
      <c r="Z38">
        <f t="shared" si="35"/>
        <v>161.87592250295071</v>
      </c>
      <c r="AC38">
        <v>1</v>
      </c>
      <c r="AD38">
        <f t="shared" si="17"/>
        <v>1.8770387765219998</v>
      </c>
      <c r="AE38">
        <f t="shared" si="18"/>
        <v>-4.2457616813422855E-6</v>
      </c>
      <c r="AF38">
        <f t="shared" si="19"/>
        <v>4.9235040010799991E-4</v>
      </c>
      <c r="AG38">
        <f t="shared" si="36"/>
        <v>3794.6072315818601</v>
      </c>
      <c r="AH38">
        <f t="shared" si="37"/>
        <v>-2063.7964298530169</v>
      </c>
      <c r="AJ38">
        <f t="shared" si="20"/>
        <v>18000</v>
      </c>
      <c r="AK38">
        <f t="shared" si="21"/>
        <v>141.95977539408</v>
      </c>
      <c r="AL38">
        <v>1</v>
      </c>
      <c r="AM38">
        <f t="shared" si="22"/>
        <v>0.27932025914856001</v>
      </c>
      <c r="AN38">
        <f t="shared" si="38"/>
        <v>16734.063809639498</v>
      </c>
      <c r="AO38">
        <f t="shared" si="39"/>
        <v>-4532.2032645229638</v>
      </c>
      <c r="AQ38">
        <f t="shared" si="23"/>
        <v>588.23529411764707</v>
      </c>
      <c r="AR38">
        <f t="shared" si="24"/>
        <v>-2352.9411764705883</v>
      </c>
      <c r="AT38">
        <f t="shared" si="52"/>
        <v>-2623869.6987236515</v>
      </c>
      <c r="AU38">
        <f t="shared" si="53"/>
        <v>-10142485.503635565</v>
      </c>
      <c r="AV38">
        <f t="shared" si="42"/>
        <v>-1.8239471196587873</v>
      </c>
      <c r="AW38">
        <f t="shared" si="25"/>
        <v>-783743.56925187819</v>
      </c>
      <c r="AX38">
        <f t="shared" si="26"/>
        <v>-42062313.944850743</v>
      </c>
      <c r="AY38">
        <f t="shared" si="50"/>
        <v>-1.5894270870446601</v>
      </c>
      <c r="BA38">
        <f t="shared" si="27"/>
        <v>0.24902504906041478</v>
      </c>
      <c r="BB38">
        <f t="shared" si="43"/>
        <v>-12.075139313381491</v>
      </c>
      <c r="BC38">
        <f t="shared" si="44"/>
        <v>-0.23452003261412724</v>
      </c>
      <c r="BD38">
        <f t="shared" si="28"/>
        <v>-193.43700809541394</v>
      </c>
      <c r="BF38">
        <f t="shared" si="29"/>
        <v>11.733515276892881</v>
      </c>
      <c r="BG38">
        <f t="shared" si="30"/>
        <v>-18.174632780703419</v>
      </c>
      <c r="BH38">
        <f t="shared" si="45"/>
        <v>161.8253672192966</v>
      </c>
      <c r="BI38">
        <f t="shared" si="46"/>
        <v>161.8253672192966</v>
      </c>
      <c r="BJ38">
        <f t="shared" si="31"/>
        <v>0</v>
      </c>
      <c r="BK38">
        <f t="shared" si="47"/>
        <v>0</v>
      </c>
      <c r="BM38">
        <f t="shared" si="48"/>
        <v>23.808654590274372</v>
      </c>
      <c r="BN38">
        <f t="shared" si="32"/>
        <v>-4.7376246852894903</v>
      </c>
      <c r="BQ38" s="56">
        <f t="shared" si="49"/>
        <v>4.8268214869036443</v>
      </c>
      <c r="BR38" s="58"/>
      <c r="BS38" s="58"/>
      <c r="BT38" s="58">
        <v>190.54599999999999</v>
      </c>
      <c r="BU38" s="58">
        <v>29.566700000000001</v>
      </c>
      <c r="BV38" s="58">
        <v>-265.89449999999999</v>
      </c>
      <c r="BW38" s="61"/>
      <c r="BY38" s="58"/>
      <c r="BZ38" s="58"/>
      <c r="CA38" s="58"/>
      <c r="CC38" s="58"/>
    </row>
    <row r="39" spans="1:81" x14ac:dyDescent="0.2">
      <c r="A39">
        <f t="shared" si="54"/>
        <v>2500</v>
      </c>
      <c r="B39">
        <f t="shared" si="33"/>
        <v>2.5</v>
      </c>
      <c r="C39">
        <f t="shared" si="0"/>
        <v>1.0000001819165314</v>
      </c>
      <c r="D39">
        <f t="shared" si="1"/>
        <v>6.0318571564703177E-4</v>
      </c>
      <c r="F39">
        <f t="shared" si="2"/>
        <v>1.0593976954439583</v>
      </c>
      <c r="G39">
        <f t="shared" si="3"/>
        <v>-0.10663883106017059</v>
      </c>
      <c r="H39">
        <f t="shared" si="4"/>
        <v>-0.10663883106017059</v>
      </c>
      <c r="J39">
        <f t="shared" si="5"/>
        <v>15</v>
      </c>
      <c r="M39">
        <f t="shared" si="6"/>
        <v>9.0269946840086435E-2</v>
      </c>
      <c r="N39">
        <f t="shared" si="7"/>
        <v>-1.5707963250000001</v>
      </c>
      <c r="O39">
        <f t="shared" si="8"/>
        <v>2.5505129902406418</v>
      </c>
      <c r="P39">
        <f t="shared" si="9"/>
        <v>1.1679069695236548</v>
      </c>
      <c r="Q39">
        <f t="shared" si="10"/>
        <v>1.0592006177794668</v>
      </c>
      <c r="R39">
        <f t="shared" si="11"/>
        <v>0.33591766921455263</v>
      </c>
      <c r="S39">
        <f t="shared" si="12"/>
        <v>0.99995141032737489</v>
      </c>
      <c r="T39">
        <f t="shared" si="13"/>
        <v>-9.8579983894239616E-3</v>
      </c>
      <c r="U39">
        <f t="shared" si="14"/>
        <v>0.99994190820159323</v>
      </c>
      <c r="V39">
        <f t="shared" si="15"/>
        <v>-1.0778901693432014E-2</v>
      </c>
      <c r="X39">
        <f t="shared" si="34"/>
        <v>11.765059628394102</v>
      </c>
      <c r="Y39">
        <f t="shared" si="16"/>
        <v>-11.094997215520918</v>
      </c>
      <c r="Z39">
        <f t="shared" si="35"/>
        <v>168.90500278447908</v>
      </c>
      <c r="AC39">
        <v>1</v>
      </c>
      <c r="AD39">
        <f t="shared" si="17"/>
        <v>2.3462984706524996</v>
      </c>
      <c r="AE39">
        <f t="shared" si="18"/>
        <v>-6.6340026270973214E-6</v>
      </c>
      <c r="AF39">
        <f t="shared" si="19"/>
        <v>6.1543800013500003E-4</v>
      </c>
      <c r="AG39">
        <f t="shared" si="36"/>
        <v>3794.4485225898411</v>
      </c>
      <c r="AH39">
        <f t="shared" si="37"/>
        <v>-1665.7606147855167</v>
      </c>
      <c r="AJ39">
        <f t="shared" si="20"/>
        <v>18000</v>
      </c>
      <c r="AK39">
        <f t="shared" si="21"/>
        <v>177.4497192426</v>
      </c>
      <c r="AL39">
        <v>1</v>
      </c>
      <c r="AM39">
        <f t="shared" si="22"/>
        <v>0.3491503239357</v>
      </c>
      <c r="AN39">
        <f t="shared" si="38"/>
        <v>16099.350081719507</v>
      </c>
      <c r="AO39">
        <f t="shared" si="39"/>
        <v>-5443.643576944005</v>
      </c>
      <c r="AQ39">
        <f t="shared" si="23"/>
        <v>384.61538461538464</v>
      </c>
      <c r="AR39">
        <f t="shared" si="24"/>
        <v>-1923.0769230769231</v>
      </c>
      <c r="AT39">
        <f t="shared" si="52"/>
        <v>-1743982.5197452854</v>
      </c>
      <c r="AU39">
        <f t="shared" si="53"/>
        <v>-7937693.5491287392</v>
      </c>
      <c r="AV39">
        <f t="shared" si="42"/>
        <v>-1.7870690259096897</v>
      </c>
      <c r="AW39">
        <f t="shared" si="25"/>
        <v>-4241059.9639995182</v>
      </c>
      <c r="AX39">
        <f t="shared" si="26"/>
        <v>-33075283.142400738</v>
      </c>
      <c r="AY39">
        <f t="shared" si="50"/>
        <v>-1.6983248935511432</v>
      </c>
      <c r="BA39">
        <f t="shared" si="27"/>
        <v>0.24371741385307841</v>
      </c>
      <c r="BB39">
        <f t="shared" si="43"/>
        <v>-12.262268778627096</v>
      </c>
      <c r="BC39">
        <f t="shared" si="44"/>
        <v>-8.8744132358546501E-2</v>
      </c>
      <c r="BD39">
        <f t="shared" si="28"/>
        <v>-185.08466424650516</v>
      </c>
      <c r="BF39">
        <f t="shared" si="29"/>
        <v>11.760738459794226</v>
      </c>
      <c r="BG39">
        <f t="shared" si="30"/>
        <v>-11.160059209634516</v>
      </c>
      <c r="BH39">
        <f t="shared" si="45"/>
        <v>168.83994079036549</v>
      </c>
      <c r="BI39">
        <f t="shared" si="46"/>
        <v>168.83994079036549</v>
      </c>
      <c r="BJ39">
        <f t="shared" si="31"/>
        <v>0</v>
      </c>
      <c r="BK39">
        <f t="shared" si="47"/>
        <v>0</v>
      </c>
      <c r="BM39">
        <f t="shared" si="48"/>
        <v>24.023007238421322</v>
      </c>
      <c r="BN39">
        <f t="shared" si="32"/>
        <v>-6.0753949631293667</v>
      </c>
      <c r="BQ39" s="56">
        <f t="shared" si="49"/>
        <v>4.6396920216580391</v>
      </c>
      <c r="BR39" s="58"/>
      <c r="BS39" s="58"/>
      <c r="BT39" s="58">
        <v>194.98400000000001</v>
      </c>
      <c r="BU39" s="58">
        <v>29.685600000000001</v>
      </c>
      <c r="BV39" s="58">
        <v>-265.6327</v>
      </c>
      <c r="BW39" s="61"/>
      <c r="BY39" s="58"/>
      <c r="BZ39" s="58"/>
      <c r="CA39" s="58"/>
      <c r="CC39" s="58"/>
    </row>
    <row r="40" spans="1:81" x14ac:dyDescent="0.2">
      <c r="A40">
        <f t="shared" si="54"/>
        <v>3000</v>
      </c>
      <c r="B40">
        <f t="shared" si="33"/>
        <v>3</v>
      </c>
      <c r="C40">
        <f t="shared" si="0"/>
        <v>1.0000002619597945</v>
      </c>
      <c r="D40">
        <f t="shared" si="1"/>
        <v>7.2382282015168295E-4</v>
      </c>
      <c r="F40">
        <f t="shared" si="2"/>
        <v>1.0925922646093575</v>
      </c>
      <c r="G40">
        <f t="shared" si="3"/>
        <v>-0.13211019069211688</v>
      </c>
      <c r="H40">
        <f t="shared" si="4"/>
        <v>-0.13211019069211688</v>
      </c>
      <c r="J40">
        <f t="shared" si="5"/>
        <v>15</v>
      </c>
      <c r="M40">
        <f t="shared" si="6"/>
        <v>7.5224955700072024E-2</v>
      </c>
      <c r="N40">
        <f t="shared" si="7"/>
        <v>-1.5707963250000001</v>
      </c>
      <c r="O40">
        <f t="shared" si="8"/>
        <v>2.9878701074973479</v>
      </c>
      <c r="P40">
        <f t="shared" si="9"/>
        <v>1.2295237274880122</v>
      </c>
      <c r="Q40">
        <f t="shared" si="10"/>
        <v>1.0842253299634454</v>
      </c>
      <c r="R40">
        <f t="shared" si="11"/>
        <v>0.3967609545289692</v>
      </c>
      <c r="S40">
        <f t="shared" si="12"/>
        <v>0.99993003311515649</v>
      </c>
      <c r="T40">
        <f t="shared" si="13"/>
        <v>-1.1829429466631864E-2</v>
      </c>
      <c r="U40">
        <f t="shared" si="14"/>
        <v>0.99991635101736953</v>
      </c>
      <c r="V40">
        <f t="shared" si="15"/>
        <v>-1.293446163151003E-2</v>
      </c>
      <c r="X40">
        <f t="shared" si="34"/>
        <v>12.026519606800452</v>
      </c>
      <c r="Y40">
        <f t="shared" si="16"/>
        <v>-5.7675021462641336</v>
      </c>
      <c r="Z40">
        <f t="shared" si="35"/>
        <v>174.23249785373588</v>
      </c>
      <c r="AA40">
        <f>20*LOG(7)</f>
        <v>16.901960800285135</v>
      </c>
      <c r="AC40">
        <v>1</v>
      </c>
      <c r="AD40">
        <f t="shared" si="17"/>
        <v>2.8155581647829999</v>
      </c>
      <c r="AE40">
        <f t="shared" si="18"/>
        <v>-9.5529637830201436E-6</v>
      </c>
      <c r="AF40">
        <f t="shared" si="19"/>
        <v>7.3852560016200003E-4</v>
      </c>
      <c r="AG40">
        <f t="shared" si="36"/>
        <v>3794.2545629611027</v>
      </c>
      <c r="AH40">
        <f t="shared" si="37"/>
        <v>-1403.1285796947586</v>
      </c>
      <c r="AJ40">
        <f t="shared" si="20"/>
        <v>18000</v>
      </c>
      <c r="AK40">
        <f t="shared" si="21"/>
        <v>212.93966309112002</v>
      </c>
      <c r="AL40">
        <v>1</v>
      </c>
      <c r="AM40">
        <f t="shared" si="22"/>
        <v>0.41898038872284005</v>
      </c>
      <c r="AN40">
        <f t="shared" si="38"/>
        <v>15387.947053594884</v>
      </c>
      <c r="AO40">
        <f t="shared" si="39"/>
        <v>-6234.3083750705464</v>
      </c>
      <c r="AQ40">
        <f t="shared" si="23"/>
        <v>270.27027027027026</v>
      </c>
      <c r="AR40">
        <f t="shared" si="24"/>
        <v>-1621.6216216216217</v>
      </c>
      <c r="AT40">
        <f t="shared" si="52"/>
        <v>-1249869.4365425538</v>
      </c>
      <c r="AU40">
        <f t="shared" si="53"/>
        <v>-6532069.1776922634</v>
      </c>
      <c r="AV40">
        <f t="shared" si="42"/>
        <v>-1.7598547103186641</v>
      </c>
      <c r="AW40">
        <f t="shared" si="25"/>
        <v>-5916779.9125715569</v>
      </c>
      <c r="AX40">
        <f t="shared" si="26"/>
        <v>-26659524.205880847</v>
      </c>
      <c r="AY40">
        <f t="shared" si="50"/>
        <v>-1.7891950681482971</v>
      </c>
      <c r="BA40">
        <f t="shared" si="27"/>
        <v>0.24353740849185607</v>
      </c>
      <c r="BB40">
        <f t="shared" si="43"/>
        <v>-12.268686392989292</v>
      </c>
      <c r="BC40">
        <f t="shared" si="44"/>
        <v>2.9340357829632957E-2</v>
      </c>
      <c r="BD40">
        <f t="shared" si="28"/>
        <v>-178.31892132503751</v>
      </c>
      <c r="BF40">
        <f t="shared" si="29"/>
        <v>12.022303492460786</v>
      </c>
      <c r="BG40">
        <f t="shared" si="30"/>
        <v>-5.846805698256202</v>
      </c>
      <c r="BH40">
        <f t="shared" si="45"/>
        <v>174.15319430174381</v>
      </c>
      <c r="BI40">
        <f t="shared" si="46"/>
        <v>174.15319430174381</v>
      </c>
      <c r="BJ40">
        <f t="shared" si="31"/>
        <v>0</v>
      </c>
      <c r="BK40">
        <f t="shared" si="47"/>
        <v>0</v>
      </c>
      <c r="BM40">
        <f t="shared" si="48"/>
        <v>24.290989885450077</v>
      </c>
      <c r="BN40">
        <f t="shared" si="32"/>
        <v>-7.5278843732187024</v>
      </c>
      <c r="BQ40" s="56">
        <f t="shared" si="49"/>
        <v>4.6332744072958452</v>
      </c>
      <c r="BR40" s="58"/>
      <c r="BS40" s="58"/>
      <c r="BT40" s="58">
        <v>199.52600000000001</v>
      </c>
      <c r="BU40" s="58">
        <v>29.050999999999998</v>
      </c>
      <c r="BV40" s="58">
        <v>-267.80150000000003</v>
      </c>
      <c r="BW40" s="61"/>
      <c r="BY40" s="58"/>
      <c r="BZ40" s="58"/>
      <c r="CA40" s="58"/>
      <c r="CC40" s="58"/>
    </row>
    <row r="41" spans="1:81" x14ac:dyDescent="0.2">
      <c r="A41">
        <f t="shared" si="54"/>
        <v>3500</v>
      </c>
      <c r="B41">
        <f t="shared" si="33"/>
        <v>3.5</v>
      </c>
      <c r="C41">
        <f t="shared" si="0"/>
        <v>1.0000003565563704</v>
      </c>
      <c r="D41">
        <f t="shared" si="1"/>
        <v>8.4445990358829695E-4</v>
      </c>
      <c r="F41">
        <f t="shared" si="2"/>
        <v>1.1343122415837057</v>
      </c>
      <c r="G41">
        <f t="shared" si="3"/>
        <v>-0.16023359277210736</v>
      </c>
      <c r="H41">
        <f t="shared" si="4"/>
        <v>-0.16023359277210736</v>
      </c>
      <c r="J41">
        <f t="shared" si="5"/>
        <v>15</v>
      </c>
      <c r="M41">
        <f t="shared" si="6"/>
        <v>6.4478533457204598E-2</v>
      </c>
      <c r="N41">
        <f t="shared" si="7"/>
        <v>-1.5707963250000001</v>
      </c>
      <c r="O41">
        <f t="shared" si="8"/>
        <v>3.4336610732914612</v>
      </c>
      <c r="P41">
        <f t="shared" si="9"/>
        <v>1.2752794760113828</v>
      </c>
      <c r="Q41">
        <f t="shared" si="10"/>
        <v>1.1130748669611727</v>
      </c>
      <c r="R41">
        <f t="shared" si="11"/>
        <v>0.45465596810199377</v>
      </c>
      <c r="S41">
        <f t="shared" si="12"/>
        <v>0.99990477090459184</v>
      </c>
      <c r="T41">
        <f t="shared" si="13"/>
        <v>-1.3800768592845292E-2</v>
      </c>
      <c r="U41">
        <f t="shared" si="14"/>
        <v>0.99988614959868516</v>
      </c>
      <c r="V41">
        <f t="shared" si="15"/>
        <v>-1.5089901371408745E-2</v>
      </c>
      <c r="X41">
        <f t="shared" si="34"/>
        <v>12.448603573669846</v>
      </c>
      <c r="Y41">
        <f t="shared" si="16"/>
        <v>-1.6696381911548577</v>
      </c>
      <c r="Z41">
        <f t="shared" si="35"/>
        <v>178.33036180884514</v>
      </c>
      <c r="AC41">
        <v>1</v>
      </c>
      <c r="AD41">
        <f t="shared" si="17"/>
        <v>3.2848178589135002</v>
      </c>
      <c r="AE41">
        <f t="shared" si="18"/>
        <v>-1.300264514911075E-5</v>
      </c>
      <c r="AF41">
        <f t="shared" si="19"/>
        <v>8.6161320018899993E-4</v>
      </c>
      <c r="AG41">
        <f t="shared" si="36"/>
        <v>3794.0253635086265</v>
      </c>
      <c r="AH41">
        <f t="shared" si="37"/>
        <v>-1217.8694166457192</v>
      </c>
      <c r="AJ41">
        <f t="shared" si="20"/>
        <v>18000</v>
      </c>
      <c r="AK41">
        <f t="shared" si="21"/>
        <v>248.42960693964</v>
      </c>
      <c r="AL41">
        <v>1</v>
      </c>
      <c r="AM41">
        <f t="shared" si="22"/>
        <v>0.48881045350998009</v>
      </c>
      <c r="AN41">
        <f t="shared" si="38"/>
        <v>14626.615071135004</v>
      </c>
      <c r="AO41">
        <f t="shared" si="39"/>
        <v>-6901.2127392977718</v>
      </c>
      <c r="AQ41">
        <f t="shared" si="23"/>
        <v>200</v>
      </c>
      <c r="AR41">
        <f t="shared" si="24"/>
        <v>-1400</v>
      </c>
      <c r="AT41">
        <f t="shared" si="52"/>
        <v>-946212.11060228164</v>
      </c>
      <c r="AU41">
        <f t="shared" si="53"/>
        <v>-5555209.3922412209</v>
      </c>
      <c r="AV41">
        <f t="shared" si="42"/>
        <v>-1.739506024345655</v>
      </c>
      <c r="AW41">
        <f t="shared" si="25"/>
        <v>-6703892.8899173476</v>
      </c>
      <c r="AX41">
        <f t="shared" si="26"/>
        <v>-21878760.628100686</v>
      </c>
      <c r="AY41">
        <f t="shared" si="50"/>
        <v>-1.8681243439435313</v>
      </c>
      <c r="BA41">
        <f t="shared" si="27"/>
        <v>0.24626434926601146</v>
      </c>
      <c r="BB41">
        <f t="shared" si="43"/>
        <v>-12.171969094739969</v>
      </c>
      <c r="BC41">
        <f t="shared" si="44"/>
        <v>0.12861831959787628</v>
      </c>
      <c r="BD41">
        <f t="shared" si="28"/>
        <v>-172.63071311055629</v>
      </c>
      <c r="BF41">
        <f t="shared" si="29"/>
        <v>12.444511564311638</v>
      </c>
      <c r="BG41">
        <f t="shared" si="30"/>
        <v>-1.7630377346075397</v>
      </c>
      <c r="BH41">
        <f t="shared" si="45"/>
        <v>178.23696226539246</v>
      </c>
      <c r="BI41">
        <f t="shared" si="46"/>
        <v>178.23696226539246</v>
      </c>
      <c r="BJ41">
        <f t="shared" si="31"/>
        <v>0</v>
      </c>
      <c r="BK41">
        <f t="shared" si="47"/>
        <v>0</v>
      </c>
      <c r="BM41">
        <f t="shared" si="48"/>
        <v>24.616480659051607</v>
      </c>
      <c r="BN41">
        <f t="shared" si="32"/>
        <v>-9.1323246240512521</v>
      </c>
      <c r="BQ41" s="56">
        <f t="shared" si="49"/>
        <v>4.7299917055451663</v>
      </c>
      <c r="BR41" s="58"/>
      <c r="BS41" s="58"/>
      <c r="BT41" s="58">
        <v>204.17400000000001</v>
      </c>
      <c r="BU41" s="58">
        <v>28.424299999999999</v>
      </c>
      <c r="BV41" s="58">
        <v>-264.16840000000002</v>
      </c>
      <c r="BW41" s="61"/>
      <c r="BY41" s="58"/>
      <c r="BZ41" s="58"/>
      <c r="CA41" s="58"/>
      <c r="CC41" s="58"/>
    </row>
    <row r="42" spans="1:81" x14ac:dyDescent="0.2">
      <c r="A42">
        <f t="shared" si="54"/>
        <v>4000</v>
      </c>
      <c r="B42">
        <f t="shared" si="33"/>
        <v>4</v>
      </c>
      <c r="C42">
        <f t="shared" si="0"/>
        <v>1.0000004657062542</v>
      </c>
      <c r="D42">
        <f t="shared" si="1"/>
        <v>9.6509696244554376E-4</v>
      </c>
      <c r="F42">
        <f t="shared" si="2"/>
        <v>1.1861059317876395</v>
      </c>
      <c r="G42">
        <f t="shared" si="3"/>
        <v>-0.19184194489959355</v>
      </c>
      <c r="H42">
        <f t="shared" si="4"/>
        <v>-0.19184194489959355</v>
      </c>
      <c r="J42">
        <f t="shared" si="5"/>
        <v>15</v>
      </c>
      <c r="M42">
        <f t="shared" si="6"/>
        <v>5.6418716775054029E-2</v>
      </c>
      <c r="N42">
        <f t="shared" si="7"/>
        <v>-1.5707963250000001</v>
      </c>
      <c r="O42">
        <f t="shared" si="8"/>
        <v>3.8849836903478536</v>
      </c>
      <c r="P42">
        <f t="shared" si="9"/>
        <v>1.3104643694230034</v>
      </c>
      <c r="Q42">
        <f t="shared" si="10"/>
        <v>1.1454602693604325</v>
      </c>
      <c r="R42">
        <f t="shared" si="11"/>
        <v>0.50945279392156373</v>
      </c>
      <c r="S42">
        <f t="shared" si="12"/>
        <v>0.99987562457913681</v>
      </c>
      <c r="T42">
        <f t="shared" si="13"/>
        <v>-1.5772000453738912E-2</v>
      </c>
      <c r="U42">
        <f t="shared" si="14"/>
        <v>0.99985130520818011</v>
      </c>
      <c r="V42">
        <f t="shared" si="15"/>
        <v>-1.7245200897039539E-2</v>
      </c>
      <c r="X42">
        <f t="shared" si="34"/>
        <v>12.997775444442395</v>
      </c>
      <c r="Y42">
        <f t="shared" si="16"/>
        <v>1.4453885452639061</v>
      </c>
      <c r="Z42">
        <f t="shared" si="35"/>
        <v>181.44538854526391</v>
      </c>
      <c r="AC42">
        <v>1</v>
      </c>
      <c r="AD42">
        <f t="shared" si="17"/>
        <v>3.7540775530439996</v>
      </c>
      <c r="AE42">
        <f t="shared" si="18"/>
        <v>-1.6983046725369142E-5</v>
      </c>
      <c r="AF42">
        <f t="shared" si="19"/>
        <v>9.8470080021599983E-4</v>
      </c>
      <c r="AG42">
        <f t="shared" si="36"/>
        <v>3793.760937007828</v>
      </c>
      <c r="AH42">
        <f t="shared" si="37"/>
        <v>-1080.9675578862079</v>
      </c>
      <c r="AJ42">
        <f t="shared" si="20"/>
        <v>18000</v>
      </c>
      <c r="AK42">
        <f t="shared" si="21"/>
        <v>283.91955078816</v>
      </c>
      <c r="AL42">
        <v>1</v>
      </c>
      <c r="AM42">
        <f t="shared" si="22"/>
        <v>0.55864051829712003</v>
      </c>
      <c r="AN42">
        <f t="shared" si="38"/>
        <v>13839.567434681434</v>
      </c>
      <c r="AO42">
        <f t="shared" si="39"/>
        <v>-7447.4235739302203</v>
      </c>
      <c r="AQ42">
        <f t="shared" si="23"/>
        <v>153.84615384615384</v>
      </c>
      <c r="AR42">
        <f t="shared" si="24"/>
        <v>-1230.7692307692307</v>
      </c>
      <c r="AT42">
        <f t="shared" si="52"/>
        <v>-746766.08093566692</v>
      </c>
      <c r="AU42">
        <f t="shared" si="53"/>
        <v>-4835546.9313767431</v>
      </c>
      <c r="AV42">
        <f t="shared" si="42"/>
        <v>-1.7240184905170679</v>
      </c>
      <c r="AW42">
        <f t="shared" si="25"/>
        <v>-7005987.8991862852</v>
      </c>
      <c r="AX42">
        <f t="shared" si="26"/>
        <v>-18200503.770959202</v>
      </c>
      <c r="AY42">
        <f t="shared" si="50"/>
        <v>-1.9382474570584713</v>
      </c>
      <c r="BA42">
        <f t="shared" si="27"/>
        <v>0.25088597796225182</v>
      </c>
      <c r="BB42">
        <f t="shared" si="43"/>
        <v>-12.01047221522175</v>
      </c>
      <c r="BC42">
        <f t="shared" si="44"/>
        <v>0.21422896654140344</v>
      </c>
      <c r="BD42">
        <f t="shared" si="28"/>
        <v>-167.72558435370269</v>
      </c>
      <c r="BF42">
        <f t="shared" si="29"/>
        <v>12.993826567859056</v>
      </c>
      <c r="BG42">
        <f t="shared" si="30"/>
        <v>1.3379778402416291</v>
      </c>
      <c r="BH42">
        <f t="shared" si="45"/>
        <v>181.33797784024162</v>
      </c>
      <c r="BI42">
        <f t="shared" si="46"/>
        <v>-178.66202215975838</v>
      </c>
      <c r="BJ42">
        <f t="shared" si="31"/>
        <v>0</v>
      </c>
      <c r="BK42">
        <f t="shared" si="47"/>
        <v>0</v>
      </c>
      <c r="BM42">
        <f t="shared" si="48"/>
        <v>25.004298783080809</v>
      </c>
      <c r="BN42">
        <f t="shared" si="32"/>
        <v>-10.936437806055677</v>
      </c>
      <c r="BQ42" s="56">
        <f t="shared" si="49"/>
        <v>4.891488585063386</v>
      </c>
      <c r="BR42" s="58"/>
      <c r="BS42" s="58"/>
      <c r="BT42" s="58">
        <v>208.93</v>
      </c>
      <c r="BU42" s="58">
        <v>28.510899999999999</v>
      </c>
      <c r="BV42" s="58">
        <v>-267.69110000000001</v>
      </c>
      <c r="BW42" s="61"/>
      <c r="BY42" s="58"/>
      <c r="BZ42" s="58"/>
      <c r="CA42" s="58"/>
      <c r="CC42" s="58"/>
    </row>
    <row r="43" spans="1:81" x14ac:dyDescent="0.2">
      <c r="A43">
        <f t="shared" si="54"/>
        <v>4500</v>
      </c>
      <c r="B43">
        <f t="shared" si="33"/>
        <v>4.5</v>
      </c>
      <c r="C43">
        <f t="shared" si="0"/>
        <v>1.0000005894094415</v>
      </c>
      <c r="D43">
        <f t="shared" si="1"/>
        <v>1.0857339932120974E-3</v>
      </c>
      <c r="F43">
        <f t="shared" si="2"/>
        <v>1.2500347105414722</v>
      </c>
      <c r="G43">
        <f t="shared" si="3"/>
        <v>-0.22803308409876752</v>
      </c>
      <c r="H43">
        <f t="shared" si="4"/>
        <v>-0.22803308409876752</v>
      </c>
      <c r="J43">
        <f t="shared" si="5"/>
        <v>15</v>
      </c>
      <c r="M43">
        <f t="shared" si="6"/>
        <v>5.0149970466714683E-2</v>
      </c>
      <c r="N43">
        <f t="shared" si="7"/>
        <v>-1.5707963250000001</v>
      </c>
      <c r="O43">
        <f t="shared" si="8"/>
        <v>4.3401126141347399</v>
      </c>
      <c r="P43">
        <f t="shared" si="9"/>
        <v>1.3382985944602672</v>
      </c>
      <c r="Q43">
        <f t="shared" si="10"/>
        <v>1.1810907136212145</v>
      </c>
      <c r="R43">
        <f t="shared" si="11"/>
        <v>0.56109112361962454</v>
      </c>
      <c r="S43">
        <f t="shared" si="12"/>
        <v>0.9998425951579315</v>
      </c>
      <c r="T43">
        <f t="shared" si="13"/>
        <v>-1.7743109739988338E-2</v>
      </c>
      <c r="U43">
        <f t="shared" si="14"/>
        <v>0.99981181930235152</v>
      </c>
      <c r="V43">
        <f t="shared" si="15"/>
        <v>-1.9400340200128461E-2</v>
      </c>
      <c r="X43">
        <f t="shared" si="34"/>
        <v>13.658368469436581</v>
      </c>
      <c r="Y43">
        <f t="shared" si="16"/>
        <v>3.6957263527336983</v>
      </c>
      <c r="Z43">
        <f t="shared" si="35"/>
        <v>183.69572635273369</v>
      </c>
      <c r="AC43">
        <v>1</v>
      </c>
      <c r="AD43">
        <f t="shared" si="17"/>
        <v>4.2233372471744994</v>
      </c>
      <c r="AE43">
        <f t="shared" si="18"/>
        <v>-2.1494168511795322E-5</v>
      </c>
      <c r="AF43">
        <f t="shared" si="19"/>
        <v>1.1077884002430002E-3</v>
      </c>
      <c r="AG43">
        <f t="shared" si="36"/>
        <v>3793.4612981947803</v>
      </c>
      <c r="AH43">
        <f t="shared" si="37"/>
        <v>-976.30314250368633</v>
      </c>
      <c r="AJ43">
        <f t="shared" si="20"/>
        <v>18000</v>
      </c>
      <c r="AK43">
        <f t="shared" si="21"/>
        <v>319.40949463667999</v>
      </c>
      <c r="AL43">
        <v>1</v>
      </c>
      <c r="AM43">
        <f t="shared" si="22"/>
        <v>0.62847058308426007</v>
      </c>
      <c r="AN43">
        <f t="shared" si="38"/>
        <v>13047.356331791741</v>
      </c>
      <c r="AO43">
        <f t="shared" si="39"/>
        <v>-7880.4701469125885</v>
      </c>
      <c r="AQ43">
        <f t="shared" si="23"/>
        <v>121.95121951219512</v>
      </c>
      <c r="AR43">
        <f t="shared" si="24"/>
        <v>-1097.560975609756</v>
      </c>
      <c r="AT43">
        <f t="shared" si="52"/>
        <v>-608934.9980900482</v>
      </c>
      <c r="AU43">
        <f t="shared" si="53"/>
        <v>-4282616.4422264276</v>
      </c>
      <c r="AV43">
        <f t="shared" si="42"/>
        <v>-1.7120371781557588</v>
      </c>
      <c r="AW43">
        <f t="shared" si="25"/>
        <v>-7028832.4517752491</v>
      </c>
      <c r="AX43">
        <f t="shared" si="26"/>
        <v>-15302889.381021725</v>
      </c>
      <c r="AY43">
        <f t="shared" si="50"/>
        <v>-2.0013687869718568</v>
      </c>
      <c r="BA43">
        <f t="shared" si="27"/>
        <v>0.25687124980015497</v>
      </c>
      <c r="BB43">
        <f t="shared" si="43"/>
        <v>-11.805690024588857</v>
      </c>
      <c r="BC43">
        <f t="shared" si="44"/>
        <v>0.28933160881609798</v>
      </c>
      <c r="BD43">
        <f t="shared" si="28"/>
        <v>-163.42251991616493</v>
      </c>
      <c r="BF43">
        <f t="shared" si="29"/>
        <v>13.654581726427029</v>
      </c>
      <c r="BG43">
        <f t="shared" si="30"/>
        <v>3.5743547362506276</v>
      </c>
      <c r="BH43">
        <f t="shared" si="45"/>
        <v>183.57435473625063</v>
      </c>
      <c r="BI43">
        <f t="shared" si="46"/>
        <v>-176.42564526374937</v>
      </c>
      <c r="BJ43">
        <f t="shared" si="31"/>
        <v>0</v>
      </c>
      <c r="BK43">
        <f t="shared" si="47"/>
        <v>0</v>
      </c>
      <c r="BM43">
        <f t="shared" si="48"/>
        <v>25.460271751015888</v>
      </c>
      <c r="BN43">
        <f t="shared" si="32"/>
        <v>-13.003125347584438</v>
      </c>
      <c r="BQ43" s="56">
        <f t="shared" si="49"/>
        <v>5.0962707756962793</v>
      </c>
      <c r="BR43" s="58"/>
      <c r="BS43" s="58"/>
      <c r="BT43" s="58">
        <v>213.79599999999999</v>
      </c>
      <c r="BU43" s="58">
        <v>28.178999999999998</v>
      </c>
      <c r="BV43" s="58">
        <v>-266.9667</v>
      </c>
      <c r="BW43" s="61"/>
      <c r="BY43" s="58"/>
      <c r="BZ43" s="58"/>
      <c r="CA43" s="58"/>
      <c r="CC43" s="58"/>
    </row>
    <row r="44" spans="1:81" x14ac:dyDescent="0.2">
      <c r="A44">
        <f t="shared" si="54"/>
        <v>5000</v>
      </c>
      <c r="B44">
        <f t="shared" si="33"/>
        <v>5</v>
      </c>
      <c r="C44">
        <f t="shared" si="0"/>
        <v>1.0000007276659268</v>
      </c>
      <c r="D44">
        <f t="shared" si="1"/>
        <v>1.2063709923766368E-3</v>
      </c>
      <c r="F44">
        <f t="shared" si="2"/>
        <v>1.3288287574977191</v>
      </c>
      <c r="G44">
        <f t="shared" si="3"/>
        <v>-0.27029185702850994</v>
      </c>
      <c r="H44">
        <f t="shared" si="4"/>
        <v>-0.27029185702850994</v>
      </c>
      <c r="J44">
        <f t="shared" si="5"/>
        <v>15</v>
      </c>
      <c r="M44">
        <f t="shared" si="6"/>
        <v>4.5134973420043217E-2</v>
      </c>
      <c r="N44">
        <f t="shared" si="7"/>
        <v>-1.5707963250000001</v>
      </c>
      <c r="O44">
        <f t="shared" si="8"/>
        <v>4.7979647824410971</v>
      </c>
      <c r="P44">
        <f t="shared" si="9"/>
        <v>1.360835379536413</v>
      </c>
      <c r="Q44">
        <f t="shared" si="10"/>
        <v>1.2196818416364232</v>
      </c>
      <c r="R44">
        <f t="shared" si="11"/>
        <v>0.6095845488472873</v>
      </c>
      <c r="S44">
        <f t="shared" si="12"/>
        <v>0.99980568379570256</v>
      </c>
      <c r="T44">
        <f t="shared" si="13"/>
        <v>-1.9714081147982853E-2</v>
      </c>
      <c r="U44">
        <f t="shared" si="14"/>
        <v>0.99976769353138595</v>
      </c>
      <c r="V44">
        <f t="shared" si="15"/>
        <v>-2.1555299281329529E-2</v>
      </c>
      <c r="X44">
        <f t="shared" si="34"/>
        <v>14.423841971935341</v>
      </c>
      <c r="Y44">
        <f t="shared" si="16"/>
        <v>5.1147218737240792</v>
      </c>
      <c r="Z44">
        <f t="shared" si="35"/>
        <v>185.11472187372408</v>
      </c>
      <c r="AC44">
        <v>1</v>
      </c>
      <c r="AD44">
        <f t="shared" si="17"/>
        <v>4.6925969413049993</v>
      </c>
      <c r="AE44">
        <f t="shared" si="18"/>
        <v>-2.6536010508389285E-5</v>
      </c>
      <c r="AF44">
        <f t="shared" si="19"/>
        <v>1.2308760002700001E-3</v>
      </c>
      <c r="AG44">
        <f t="shared" si="36"/>
        <v>3793.1264637641571</v>
      </c>
      <c r="AH44">
        <f t="shared" si="37"/>
        <v>-894.20416310063706</v>
      </c>
      <c r="AJ44">
        <f t="shared" si="20"/>
        <v>18000</v>
      </c>
      <c r="AK44">
        <f t="shared" si="21"/>
        <v>354.89943848519999</v>
      </c>
      <c r="AL44">
        <v>1</v>
      </c>
      <c r="AM44">
        <f t="shared" si="22"/>
        <v>0.6983006478714</v>
      </c>
      <c r="AN44">
        <f t="shared" si="38"/>
        <v>12266.425538091504</v>
      </c>
      <c r="AO44">
        <f t="shared" si="39"/>
        <v>-8210.7534618303835</v>
      </c>
      <c r="AQ44">
        <f t="shared" si="23"/>
        <v>99.009900990099013</v>
      </c>
      <c r="AR44">
        <f t="shared" si="24"/>
        <v>-990.09900990099015</v>
      </c>
      <c r="AT44">
        <f t="shared" si="52"/>
        <v>-509793.58091507066</v>
      </c>
      <c r="AU44">
        <f t="shared" si="53"/>
        <v>-3844105.8218556643</v>
      </c>
      <c r="AV44">
        <f t="shared" si="42"/>
        <v>-1.7026439208435478</v>
      </c>
      <c r="AW44">
        <f t="shared" si="25"/>
        <v>-6887200.3640683088</v>
      </c>
      <c r="AX44">
        <f t="shared" si="26"/>
        <v>-12979602.069293763</v>
      </c>
      <c r="AY44">
        <f t="shared" si="50"/>
        <v>-2.0586366473868827</v>
      </c>
      <c r="BA44">
        <f t="shared" si="27"/>
        <v>0.26390719051487704</v>
      </c>
      <c r="BB44">
        <f t="shared" si="43"/>
        <v>-11.570975533348893</v>
      </c>
      <c r="BC44">
        <f t="shared" si="44"/>
        <v>0.35599272654333491</v>
      </c>
      <c r="BD44">
        <f t="shared" si="28"/>
        <v>-159.60311920840525</v>
      </c>
      <c r="BF44">
        <f t="shared" si="29"/>
        <v>14.420236332483043</v>
      </c>
      <c r="BG44">
        <f t="shared" si="30"/>
        <v>4.9794180958808543</v>
      </c>
      <c r="BH44">
        <f t="shared" si="45"/>
        <v>184.97941809588085</v>
      </c>
      <c r="BI44">
        <f t="shared" si="46"/>
        <v>-175.02058190411915</v>
      </c>
      <c r="BJ44">
        <f t="shared" si="31"/>
        <v>0</v>
      </c>
      <c r="BK44">
        <f t="shared" si="47"/>
        <v>0</v>
      </c>
      <c r="BM44">
        <f t="shared" si="48"/>
        <v>25.991211865831936</v>
      </c>
      <c r="BN44">
        <f t="shared" si="32"/>
        <v>-15.417462695713905</v>
      </c>
      <c r="BQ44" s="56">
        <f t="shared" si="49"/>
        <v>5.3309852669362439</v>
      </c>
      <c r="BR44" s="58"/>
      <c r="BS44" s="58"/>
      <c r="BT44" s="58">
        <v>218.77600000000001</v>
      </c>
      <c r="BU44" s="58">
        <v>27.706399999999999</v>
      </c>
      <c r="BV44" s="58">
        <v>-263.5369</v>
      </c>
      <c r="BW44" s="61"/>
      <c r="BY44" s="58"/>
      <c r="BZ44" s="58"/>
      <c r="CA44" s="58"/>
      <c r="CC44" s="58"/>
    </row>
    <row r="45" spans="1:81" x14ac:dyDescent="0.2">
      <c r="A45">
        <f t="shared" si="54"/>
        <v>5500</v>
      </c>
      <c r="B45">
        <f t="shared" si="33"/>
        <v>5.5</v>
      </c>
      <c r="C45">
        <f t="shared" si="0"/>
        <v>1.0000008804757041</v>
      </c>
      <c r="D45">
        <f t="shared" si="1"/>
        <v>1.3270079564278463E-3</v>
      </c>
      <c r="F45">
        <f t="shared" si="2"/>
        <v>1.4260691244709007</v>
      </c>
      <c r="G45">
        <f t="shared" si="3"/>
        <v>-0.32067501216689637</v>
      </c>
      <c r="H45">
        <f t="shared" si="4"/>
        <v>-0.32067501216689637</v>
      </c>
      <c r="J45">
        <f t="shared" si="5"/>
        <v>15</v>
      </c>
      <c r="M45">
        <f t="shared" si="6"/>
        <v>4.1031794018221109E-2</v>
      </c>
      <c r="N45">
        <f t="shared" si="7"/>
        <v>-1.5707963250000001</v>
      </c>
      <c r="O45">
        <f t="shared" si="8"/>
        <v>5.2578288223172027</v>
      </c>
      <c r="P45">
        <f t="shared" si="9"/>
        <v>1.3794380290337502</v>
      </c>
      <c r="Q45">
        <f t="shared" si="10"/>
        <v>1.2609618518136529</v>
      </c>
      <c r="R45">
        <f t="shared" si="11"/>
        <v>0.65500414513387861</v>
      </c>
      <c r="S45">
        <f t="shared" si="12"/>
        <v>0.99976489178265127</v>
      </c>
      <c r="T45">
        <f t="shared" si="13"/>
        <v>-2.168489938053754E-2</v>
      </c>
      <c r="U45">
        <f t="shared" si="14"/>
        <v>0.9997189297389657</v>
      </c>
      <c r="V45">
        <f t="shared" si="15"/>
        <v>-2.3710058151336734E-2</v>
      </c>
      <c r="X45">
        <f t="shared" si="34"/>
        <v>15.29273825216306</v>
      </c>
      <c r="Y45">
        <f t="shared" si="16"/>
        <v>5.6667180376015622</v>
      </c>
      <c r="Z45">
        <f t="shared" si="35"/>
        <v>185.66671803760156</v>
      </c>
      <c r="AC45">
        <v>1</v>
      </c>
      <c r="AD45">
        <f t="shared" si="17"/>
        <v>5.1618566354355</v>
      </c>
      <c r="AE45">
        <f t="shared" si="18"/>
        <v>-3.2108572715151032E-5</v>
      </c>
      <c r="AF45">
        <f t="shared" si="19"/>
        <v>1.353963600297E-3</v>
      </c>
      <c r="AG45">
        <f t="shared" si="36"/>
        <v>3792.7564523669116</v>
      </c>
      <c r="AH45">
        <f t="shared" si="37"/>
        <v>-828.51562338574854</v>
      </c>
      <c r="AJ45">
        <f t="shared" si="20"/>
        <v>18000</v>
      </c>
      <c r="AK45">
        <f t="shared" si="21"/>
        <v>390.38938233371999</v>
      </c>
      <c r="AL45">
        <v>1</v>
      </c>
      <c r="AM45">
        <f t="shared" si="22"/>
        <v>0.76813071265854005</v>
      </c>
      <c r="AN45">
        <f t="shared" si="38"/>
        <v>11509.172793817461</v>
      </c>
      <c r="AO45">
        <f t="shared" si="39"/>
        <v>-8450.1597178915672</v>
      </c>
      <c r="AQ45">
        <f t="shared" si="23"/>
        <v>81.967213114754102</v>
      </c>
      <c r="AR45">
        <f t="shared" si="24"/>
        <v>-901.63934426229503</v>
      </c>
      <c r="AT45">
        <f t="shared" si="52"/>
        <v>-436140.60695707559</v>
      </c>
      <c r="AU45">
        <f t="shared" si="53"/>
        <v>-3487609.5573296533</v>
      </c>
      <c r="AV45">
        <f t="shared" si="42"/>
        <v>-1.6952047955066345</v>
      </c>
      <c r="AW45">
        <f t="shared" si="25"/>
        <v>-6649375.5018646019</v>
      </c>
      <c r="AX45">
        <f t="shared" si="26"/>
        <v>-11091455.449946649</v>
      </c>
      <c r="AY45">
        <f t="shared" si="50"/>
        <v>-2.1108512797262948</v>
      </c>
      <c r="BA45">
        <f t="shared" si="27"/>
        <v>0.27179058848188786</v>
      </c>
      <c r="BB45">
        <f t="shared" si="43"/>
        <v>-11.315311720367031</v>
      </c>
      <c r="BC45">
        <f t="shared" si="44"/>
        <v>0.41564648421966033</v>
      </c>
      <c r="BD45">
        <f t="shared" si="28"/>
        <v>-156.18521065755013</v>
      </c>
      <c r="BF45">
        <f t="shared" si="29"/>
        <v>15.289332651715917</v>
      </c>
      <c r="BG45">
        <f t="shared" si="30"/>
        <v>5.5174964843562799</v>
      </c>
      <c r="BH45">
        <f t="shared" si="45"/>
        <v>185.51749648435629</v>
      </c>
      <c r="BI45">
        <f t="shared" si="46"/>
        <v>-174.48250351564371</v>
      </c>
      <c r="BJ45">
        <f t="shared" si="31"/>
        <v>0</v>
      </c>
      <c r="BK45">
        <f t="shared" si="47"/>
        <v>0</v>
      </c>
      <c r="BM45">
        <f t="shared" si="48"/>
        <v>26.604644372082952</v>
      </c>
      <c r="BN45">
        <f t="shared" si="32"/>
        <v>-18.297292858093591</v>
      </c>
      <c r="BQ45" s="56">
        <f t="shared" si="49"/>
        <v>5.5866490799181054</v>
      </c>
      <c r="BR45" s="58"/>
      <c r="BS45" s="58"/>
      <c r="BT45" s="58">
        <v>223.87200000000001</v>
      </c>
      <c r="BU45" s="58">
        <v>27.937100000000001</v>
      </c>
      <c r="BV45" s="58">
        <v>-265.19450000000001</v>
      </c>
      <c r="BW45" s="61"/>
      <c r="BY45" s="58"/>
      <c r="BZ45" s="58"/>
      <c r="CA45" s="58"/>
      <c r="CC45" s="58"/>
    </row>
    <row r="46" spans="1:81" x14ac:dyDescent="0.2">
      <c r="A46">
        <f t="shared" si="54"/>
        <v>6000</v>
      </c>
      <c r="B46">
        <f t="shared" si="33"/>
        <v>6</v>
      </c>
      <c r="C46">
        <f t="shared" si="0"/>
        <v>1.0000010478387671</v>
      </c>
      <c r="D46">
        <f t="shared" si="1"/>
        <v>1.4476448818544166E-3</v>
      </c>
      <c r="F46">
        <f t="shared" si="2"/>
        <v>1.5463382054309833</v>
      </c>
      <c r="G46">
        <f t="shared" si="3"/>
        <v>-0.38209202700022532</v>
      </c>
      <c r="H46">
        <f t="shared" si="4"/>
        <v>-0.38209202700022532</v>
      </c>
      <c r="J46">
        <f t="shared" si="5"/>
        <v>15</v>
      </c>
      <c r="M46">
        <f t="shared" si="6"/>
        <v>3.7612477850036012E-2</v>
      </c>
      <c r="N46">
        <f t="shared" si="7"/>
        <v>-1.5707963250000001</v>
      </c>
      <c r="O46">
        <f t="shared" si="8"/>
        <v>5.7192194499865847</v>
      </c>
      <c r="P46">
        <f t="shared" si="9"/>
        <v>1.3950438879988316</v>
      </c>
      <c r="Q46">
        <f t="shared" si="10"/>
        <v>1.3046755399475261</v>
      </c>
      <c r="R46">
        <f t="shared" si="11"/>
        <v>0.69746301911334396</v>
      </c>
      <c r="S46">
        <f t="shared" si="12"/>
        <v>0.99972022054432674</v>
      </c>
      <c r="T46">
        <f t="shared" si="13"/>
        <v>-2.3655549147604583E-2</v>
      </c>
      <c r="U46">
        <f t="shared" si="14"/>
        <v>0.99966552996205671</v>
      </c>
      <c r="V46">
        <f t="shared" si="15"/>
        <v>-2.5864596831994675E-2</v>
      </c>
      <c r="X46">
        <f t="shared" si="34"/>
        <v>16.266012402508981</v>
      </c>
      <c r="Y46">
        <f t="shared" si="16"/>
        <v>5.2452025320841482</v>
      </c>
      <c r="Z46">
        <f t="shared" si="35"/>
        <v>185.24520253208414</v>
      </c>
      <c r="AC46">
        <v>1</v>
      </c>
      <c r="AD46">
        <f t="shared" si="17"/>
        <v>5.6311163295659998</v>
      </c>
      <c r="AE46">
        <f t="shared" si="18"/>
        <v>-3.8211855132080574E-5</v>
      </c>
      <c r="AF46">
        <f t="shared" si="19"/>
        <v>1.4770512003240001E-3</v>
      </c>
      <c r="AG46">
        <f t="shared" si="36"/>
        <v>3792.3512846076737</v>
      </c>
      <c r="AH46">
        <f t="shared" si="37"/>
        <v>-775.13411697999686</v>
      </c>
      <c r="AJ46">
        <f t="shared" si="20"/>
        <v>18000</v>
      </c>
      <c r="AK46">
        <f t="shared" si="21"/>
        <v>425.87932618224005</v>
      </c>
      <c r="AL46">
        <v>1</v>
      </c>
      <c r="AM46">
        <f t="shared" si="22"/>
        <v>0.83796077744568009</v>
      </c>
      <c r="AN46">
        <f t="shared" si="38"/>
        <v>10784.340602689394</v>
      </c>
      <c r="AO46">
        <f t="shared" si="39"/>
        <v>-8610.9751094863786</v>
      </c>
      <c r="AQ46">
        <f t="shared" si="23"/>
        <v>68.965517241379317</v>
      </c>
      <c r="AR46">
        <f t="shared" si="24"/>
        <v>-827.58620689655174</v>
      </c>
      <c r="AT46">
        <f t="shared" si="52"/>
        <v>-379948.83580360608</v>
      </c>
      <c r="AU46">
        <f t="shared" si="53"/>
        <v>-3191955.1401566952</v>
      </c>
      <c r="AV46">
        <f t="shared" si="42"/>
        <v>-1.6892721305345149</v>
      </c>
      <c r="AW46">
        <f t="shared" si="25"/>
        <v>-6357780.4371032193</v>
      </c>
      <c r="AX46">
        <f t="shared" si="26"/>
        <v>-9540465.5752294958</v>
      </c>
      <c r="AY46">
        <f t="shared" si="50"/>
        <v>-2.1586153213033685</v>
      </c>
      <c r="BA46">
        <f t="shared" si="27"/>
        <v>0.2803787444645191</v>
      </c>
      <c r="BB46">
        <f t="shared" si="43"/>
        <v>-11.045098267150944</v>
      </c>
      <c r="BC46">
        <f t="shared" si="44"/>
        <v>0.46934319076885367</v>
      </c>
      <c r="BD46">
        <f t="shared" si="28"/>
        <v>-153.10861599501334</v>
      </c>
      <c r="BF46">
        <f t="shared" si="29"/>
        <v>16.262825738307441</v>
      </c>
      <c r="BG46">
        <f t="shared" si="30"/>
        <v>5.0820673893182464</v>
      </c>
      <c r="BH46">
        <f t="shared" si="45"/>
        <v>185.08206738931824</v>
      </c>
      <c r="BI46">
        <f t="shared" si="46"/>
        <v>-174.91793261068176</v>
      </c>
      <c r="BJ46">
        <f t="shared" si="31"/>
        <v>0</v>
      </c>
      <c r="BK46">
        <f t="shared" si="47"/>
        <v>0</v>
      </c>
      <c r="BM46">
        <f t="shared" si="48"/>
        <v>27.307924005458382</v>
      </c>
      <c r="BN46">
        <f t="shared" si="32"/>
        <v>-21.809316615668411</v>
      </c>
      <c r="BQ46" s="56">
        <f t="shared" si="49"/>
        <v>5.8568625331341924</v>
      </c>
      <c r="BR46" s="58"/>
      <c r="BS46" s="58"/>
      <c r="BT46" s="58">
        <v>229.08699999999999</v>
      </c>
      <c r="BU46" s="58">
        <v>27.676300000000001</v>
      </c>
      <c r="BV46" s="58">
        <v>-266.75440000000003</v>
      </c>
      <c r="BW46" s="61"/>
      <c r="BY46" s="58"/>
      <c r="BZ46" s="58"/>
      <c r="CA46" s="58"/>
      <c r="CC46" s="58"/>
    </row>
    <row r="47" spans="1:81" x14ac:dyDescent="0.2">
      <c r="A47">
        <f t="shared" si="54"/>
        <v>6500</v>
      </c>
      <c r="B47">
        <f t="shared" si="33"/>
        <v>6.5</v>
      </c>
      <c r="C47">
        <f t="shared" si="0"/>
        <v>1.0000012297551077</v>
      </c>
      <c r="D47">
        <f t="shared" si="1"/>
        <v>1.5682817651450453E-3</v>
      </c>
      <c r="F47">
        <f t="shared" si="2"/>
        <v>1.6951333296662012</v>
      </c>
      <c r="G47">
        <f t="shared" si="3"/>
        <v>-0.45872197431698147</v>
      </c>
      <c r="H47">
        <f t="shared" si="4"/>
        <v>-0.45872197431698147</v>
      </c>
      <c r="J47">
        <f t="shared" si="5"/>
        <v>15</v>
      </c>
      <c r="M47">
        <f t="shared" si="6"/>
        <v>3.4719210323110171E-2</v>
      </c>
      <c r="N47">
        <f t="shared" si="7"/>
        <v>-1.5707963250000001</v>
      </c>
      <c r="O47">
        <f t="shared" si="8"/>
        <v>6.1817948550959789</v>
      </c>
      <c r="P47">
        <f t="shared" si="9"/>
        <v>1.4083170579630677</v>
      </c>
      <c r="Q47">
        <f t="shared" si="10"/>
        <v>1.3505866181929143</v>
      </c>
      <c r="R47">
        <f t="shared" si="11"/>
        <v>0.73710279803021961</v>
      </c>
      <c r="S47">
        <f t="shared" si="12"/>
        <v>0.99967167164148918</v>
      </c>
      <c r="T47">
        <f t="shared" si="13"/>
        <v>-2.56260151669838E-2</v>
      </c>
      <c r="U47">
        <f t="shared" si="14"/>
        <v>0.99960749643067182</v>
      </c>
      <c r="V47">
        <f t="shared" si="15"/>
        <v>-2.8018895357407651E-2</v>
      </c>
      <c r="X47">
        <f t="shared" si="34"/>
        <v>17.343788316417069</v>
      </c>
      <c r="Y47">
        <f t="shared" si="16"/>
        <v>3.6568990015528189</v>
      </c>
      <c r="Z47">
        <f t="shared" si="35"/>
        <v>183.65689900155283</v>
      </c>
      <c r="AC47">
        <v>1</v>
      </c>
      <c r="AD47">
        <f t="shared" si="17"/>
        <v>6.1003760236964997</v>
      </c>
      <c r="AE47">
        <f t="shared" si="18"/>
        <v>-4.4845857759177897E-5</v>
      </c>
      <c r="AF47">
        <f t="shared" si="19"/>
        <v>1.600138800351E-3</v>
      </c>
      <c r="AG47">
        <f t="shared" si="36"/>
        <v>3791.9109830418947</v>
      </c>
      <c r="AH47">
        <f t="shared" si="37"/>
        <v>-731.21875447573893</v>
      </c>
      <c r="AJ47">
        <f t="shared" si="20"/>
        <v>18000</v>
      </c>
      <c r="AK47">
        <f t="shared" si="21"/>
        <v>461.36927003075999</v>
      </c>
      <c r="AL47">
        <v>1</v>
      </c>
      <c r="AM47">
        <f t="shared" si="22"/>
        <v>0.90779084223282014</v>
      </c>
      <c r="AN47">
        <f t="shared" si="38"/>
        <v>10097.574807408437</v>
      </c>
      <c r="AO47">
        <f t="shared" si="39"/>
        <v>-8705.1166688954527</v>
      </c>
      <c r="AQ47">
        <f t="shared" si="23"/>
        <v>58.823529411764703</v>
      </c>
      <c r="AR47">
        <f t="shared" si="24"/>
        <v>-764.70588235294122</v>
      </c>
      <c r="AT47">
        <f t="shared" si="52"/>
        <v>-336113.69559663016</v>
      </c>
      <c r="AU47">
        <f t="shared" si="53"/>
        <v>-2942709.5020011985</v>
      </c>
      <c r="AV47">
        <f t="shared" si="42"/>
        <v>-1.6845225997143551</v>
      </c>
      <c r="AW47">
        <f t="shared" si="25"/>
        <v>-6039456.6592935249</v>
      </c>
      <c r="AX47">
        <f t="shared" si="26"/>
        <v>-8255238.54284414</v>
      </c>
      <c r="AY47">
        <f t="shared" si="50"/>
        <v>-2.2024110766547822</v>
      </c>
      <c r="BA47">
        <f t="shared" si="27"/>
        <v>0.28956516595930293</v>
      </c>
      <c r="BB47">
        <f t="shared" si="43"/>
        <v>-10.765073679716519</v>
      </c>
      <c r="BC47">
        <f t="shared" si="44"/>
        <v>0.51788847694042706</v>
      </c>
      <c r="BD47">
        <f t="shared" si="28"/>
        <v>-150.32717597894913</v>
      </c>
      <c r="BF47">
        <f t="shared" si="29"/>
        <v>17.340839443849358</v>
      </c>
      <c r="BG47">
        <f t="shared" si="30"/>
        <v>3.4798468190795884</v>
      </c>
      <c r="BH47">
        <f t="shared" si="45"/>
        <v>183.4798468190796</v>
      </c>
      <c r="BI47">
        <f t="shared" si="46"/>
        <v>-176.5201531809204</v>
      </c>
      <c r="BJ47">
        <f t="shared" si="31"/>
        <v>0</v>
      </c>
      <c r="BK47">
        <f t="shared" si="47"/>
        <v>0</v>
      </c>
      <c r="BM47">
        <f t="shared" si="48"/>
        <v>28.105913123565877</v>
      </c>
      <c r="BN47">
        <f t="shared" si="32"/>
        <v>-26.192977201971285</v>
      </c>
      <c r="BQ47" s="56">
        <f t="shared" si="49"/>
        <v>6.1368871205686197</v>
      </c>
      <c r="BR47" s="58"/>
      <c r="BS47" s="58"/>
      <c r="BT47" s="58">
        <v>234.423</v>
      </c>
      <c r="BU47" s="58">
        <v>27.670300000000001</v>
      </c>
      <c r="BV47" s="58">
        <v>-266.76120000000003</v>
      </c>
      <c r="BW47" s="61"/>
      <c r="BY47" s="58"/>
      <c r="BZ47" s="58"/>
      <c r="CA47" s="58"/>
      <c r="CC47" s="58"/>
    </row>
    <row r="48" spans="1:81" x14ac:dyDescent="0.2">
      <c r="A48">
        <f t="shared" si="54"/>
        <v>7000</v>
      </c>
      <c r="B48">
        <f t="shared" si="33"/>
        <v>7</v>
      </c>
      <c r="C48">
        <f t="shared" si="0"/>
        <v>1.0000014262247185</v>
      </c>
      <c r="D48">
        <f t="shared" si="1"/>
        <v>1.6889186027884372E-3</v>
      </c>
      <c r="F48">
        <f t="shared" si="2"/>
        <v>1.8779223223116523</v>
      </c>
      <c r="G48">
        <f t="shared" si="3"/>
        <v>-0.5565798512070963</v>
      </c>
      <c r="H48">
        <f t="shared" si="4"/>
        <v>-0.5565798512070963</v>
      </c>
      <c r="J48">
        <f t="shared" si="5"/>
        <v>15</v>
      </c>
      <c r="M48">
        <f t="shared" si="6"/>
        <v>3.2239266728602299E-2</v>
      </c>
      <c r="N48">
        <f t="shared" si="7"/>
        <v>-1.5707963250000001</v>
      </c>
      <c r="O48">
        <f t="shared" si="8"/>
        <v>6.6453076275630965</v>
      </c>
      <c r="P48">
        <f t="shared" si="9"/>
        <v>1.4197403957636534</v>
      </c>
      <c r="Q48">
        <f t="shared" si="10"/>
        <v>1.3984786869461148</v>
      </c>
      <c r="R48">
        <f t="shared" si="11"/>
        <v>0.7740824771012117</v>
      </c>
      <c r="S48">
        <f t="shared" si="12"/>
        <v>0.99961924676995795</v>
      </c>
      <c r="T48">
        <f t="shared" si="13"/>
        <v>-2.759628216503222E-2</v>
      </c>
      <c r="U48">
        <f t="shared" si="14"/>
        <v>0.99954483156761198</v>
      </c>
      <c r="V48">
        <f t="shared" si="15"/>
        <v>-3.0172933775047015E-2</v>
      </c>
      <c r="X48">
        <f t="shared" si="34"/>
        <v>18.519249756049689</v>
      </c>
      <c r="Y48">
        <f t="shared" si="16"/>
        <v>0.59395093048936731</v>
      </c>
      <c r="Z48">
        <f t="shared" si="35"/>
        <v>180.59395093048937</v>
      </c>
      <c r="AC48">
        <v>1</v>
      </c>
      <c r="AD48">
        <f t="shared" si="17"/>
        <v>6.5696357178270004</v>
      </c>
      <c r="AE48">
        <f t="shared" si="18"/>
        <v>-5.2010580596442998E-5</v>
      </c>
      <c r="AF48">
        <f t="shared" si="19"/>
        <v>1.7232264003779999E-3</v>
      </c>
      <c r="AG48">
        <f t="shared" si="36"/>
        <v>3791.4355721727034</v>
      </c>
      <c r="AH48">
        <f t="shared" si="37"/>
        <v>-694.74026462227926</v>
      </c>
      <c r="AJ48">
        <f t="shared" si="20"/>
        <v>18000</v>
      </c>
      <c r="AK48">
        <f t="shared" si="21"/>
        <v>496.85921387927999</v>
      </c>
      <c r="AL48">
        <v>1</v>
      </c>
      <c r="AM48">
        <f t="shared" si="22"/>
        <v>0.97762090701996018</v>
      </c>
      <c r="AN48">
        <f t="shared" si="38"/>
        <v>9452.0309562439979</v>
      </c>
      <c r="AO48">
        <f t="shared" si="39"/>
        <v>-8743.6438627447187</v>
      </c>
      <c r="AQ48">
        <f t="shared" si="23"/>
        <v>50.761421319796952</v>
      </c>
      <c r="AR48">
        <f t="shared" si="24"/>
        <v>-710.65989847715741</v>
      </c>
      <c r="AT48">
        <f t="shared" si="52"/>
        <v>-301265.38743853843</v>
      </c>
      <c r="AU48">
        <f t="shared" si="53"/>
        <v>-2729687.2220832552</v>
      </c>
      <c r="AV48">
        <f t="shared" si="42"/>
        <v>-1.6807177268158964</v>
      </c>
      <c r="AW48">
        <f t="shared" si="25"/>
        <v>-5711827.7425045148</v>
      </c>
      <c r="AX48">
        <f t="shared" si="26"/>
        <v>-7182317.6711105593</v>
      </c>
      <c r="AY48">
        <f t="shared" si="50"/>
        <v>-2.2426418523506442</v>
      </c>
      <c r="BA48">
        <f t="shared" si="27"/>
        <v>0.29926668399316464</v>
      </c>
      <c r="BB48">
        <f t="shared" si="43"/>
        <v>-10.478832570197817</v>
      </c>
      <c r="BC48">
        <f t="shared" si="44"/>
        <v>0.5619241255347478</v>
      </c>
      <c r="BD48">
        <f t="shared" si="28"/>
        <v>-147.80411916349033</v>
      </c>
      <c r="BF48">
        <f t="shared" si="29"/>
        <v>18.516557485024862</v>
      </c>
      <c r="BG48">
        <f t="shared" si="30"/>
        <v>0.40297227187591755</v>
      </c>
      <c r="BH48">
        <f t="shared" si="45"/>
        <v>180.40297227187591</v>
      </c>
      <c r="BI48">
        <f t="shared" si="46"/>
        <v>-179.59702772812409</v>
      </c>
      <c r="BJ48">
        <f t="shared" si="31"/>
        <v>0</v>
      </c>
      <c r="BK48">
        <f t="shared" si="47"/>
        <v>0</v>
      </c>
      <c r="BM48">
        <f t="shared" si="48"/>
        <v>28.995390055222678</v>
      </c>
      <c r="BN48">
        <f t="shared" si="32"/>
        <v>-31.792908564633741</v>
      </c>
      <c r="BQ48" s="56">
        <f t="shared" si="49"/>
        <v>6.4231282300873218</v>
      </c>
      <c r="BR48" s="58"/>
      <c r="BS48" s="58"/>
      <c r="BT48" s="58">
        <v>239.88300000000001</v>
      </c>
      <c r="BU48" s="58">
        <v>27.2761</v>
      </c>
      <c r="BV48" s="58">
        <v>-267.59569999999997</v>
      </c>
      <c r="BW48" s="61"/>
      <c r="BY48" s="58"/>
      <c r="BZ48" s="58"/>
      <c r="CA48" s="58"/>
      <c r="CC48" s="58"/>
    </row>
    <row r="49" spans="1:81" x14ac:dyDescent="0.2">
      <c r="A49">
        <f t="shared" si="54"/>
        <v>7500</v>
      </c>
      <c r="B49">
        <f t="shared" si="33"/>
        <v>7.5</v>
      </c>
      <c r="C49">
        <f t="shared" si="0"/>
        <v>1.0000016372475908</v>
      </c>
      <c r="D49">
        <f t="shared" si="1"/>
        <v>1.8095553912733046E-3</v>
      </c>
      <c r="F49">
        <f t="shared" si="2"/>
        <v>2.0966763102337378</v>
      </c>
      <c r="G49">
        <f t="shared" si="3"/>
        <v>-0.68407207612658172</v>
      </c>
      <c r="H49">
        <f t="shared" si="4"/>
        <v>-0.68407207612658172</v>
      </c>
      <c r="J49">
        <f t="shared" si="5"/>
        <v>15</v>
      </c>
      <c r="M49">
        <f t="shared" si="6"/>
        <v>3.0089982280028814E-2</v>
      </c>
      <c r="N49">
        <f t="shared" si="7"/>
        <v>-1.5707963250000001</v>
      </c>
      <c r="O49">
        <f t="shared" si="8"/>
        <v>7.1095744331483264</v>
      </c>
      <c r="P49">
        <f t="shared" si="9"/>
        <v>1.4296729672284521</v>
      </c>
      <c r="Q49">
        <f t="shared" si="10"/>
        <v>1.4481552190078377</v>
      </c>
      <c r="R49">
        <f t="shared" si="11"/>
        <v>0.80856964820173982</v>
      </c>
      <c r="S49">
        <f t="shared" si="12"/>
        <v>0.99956294776044707</v>
      </c>
      <c r="T49">
        <f t="shared" si="13"/>
        <v>-2.9566334877372705E-2</v>
      </c>
      <c r="U49">
        <f t="shared" si="14"/>
        <v>0.99947753798818617</v>
      </c>
      <c r="V49">
        <f t="shared" si="15"/>
        <v>-3.2326692146856718E-2</v>
      </c>
      <c r="X49">
        <f t="shared" si="34"/>
        <v>19.765743939051056</v>
      </c>
      <c r="Y49">
        <f t="shared" si="16"/>
        <v>-4.3951166995766675</v>
      </c>
      <c r="Z49">
        <f t="shared" si="35"/>
        <v>175.60488330042332</v>
      </c>
      <c r="AC49">
        <v>1</v>
      </c>
      <c r="AD49">
        <f t="shared" si="17"/>
        <v>7.0388954119575002</v>
      </c>
      <c r="AE49">
        <f t="shared" si="18"/>
        <v>-5.970602364387588E-5</v>
      </c>
      <c r="AF49">
        <f t="shared" si="19"/>
        <v>1.846314000405E-3</v>
      </c>
      <c r="AG49">
        <f t="shared" si="36"/>
        <v>3790.9250784474998</v>
      </c>
      <c r="AH49">
        <f t="shared" si="37"/>
        <v>-664.2104550455357</v>
      </c>
      <c r="AJ49">
        <f t="shared" si="20"/>
        <v>18000</v>
      </c>
      <c r="AK49">
        <f t="shared" si="21"/>
        <v>532.34915772780005</v>
      </c>
      <c r="AL49">
        <v>1</v>
      </c>
      <c r="AM49">
        <f t="shared" si="22"/>
        <v>1.0474509718071001</v>
      </c>
      <c r="AN49">
        <f t="shared" si="38"/>
        <v>8848.9513539839027</v>
      </c>
      <c r="AO49">
        <f t="shared" si="39"/>
        <v>-8736.4935374763936</v>
      </c>
      <c r="AQ49">
        <f t="shared" si="23"/>
        <v>44.247787610619469</v>
      </c>
      <c r="AR49">
        <f t="shared" si="24"/>
        <v>-663.71681415929208</v>
      </c>
      <c r="AT49">
        <f t="shared" si="52"/>
        <v>-273107.59943520074</v>
      </c>
      <c r="AU49">
        <f t="shared" si="53"/>
        <v>-2545490.558927347</v>
      </c>
      <c r="AV49">
        <f t="shared" si="42"/>
        <v>-1.6776782147323741</v>
      </c>
      <c r="AW49">
        <f t="shared" si="25"/>
        <v>-5386086.9404435055</v>
      </c>
      <c r="AX49">
        <f t="shared" si="26"/>
        <v>-6280813.9409111049</v>
      </c>
      <c r="AY49">
        <f t="shared" si="50"/>
        <v>-2.2796549589338255</v>
      </c>
      <c r="BA49">
        <f t="shared" si="27"/>
        <v>0.30941616081477008</v>
      </c>
      <c r="BB49">
        <f t="shared" si="43"/>
        <v>-10.189140136625403</v>
      </c>
      <c r="BC49">
        <f t="shared" si="44"/>
        <v>0.60197674420145142</v>
      </c>
      <c r="BD49">
        <f t="shared" si="28"/>
        <v>-145.50927315281908</v>
      </c>
      <c r="BF49">
        <f t="shared" si="29"/>
        <v>19.763327030385746</v>
      </c>
      <c r="BG49">
        <f t="shared" si="30"/>
        <v>-4.6000361555767793</v>
      </c>
      <c r="BH49">
        <f t="shared" si="45"/>
        <v>175.39996384442321</v>
      </c>
      <c r="BI49">
        <f t="shared" si="46"/>
        <v>175.39996384442321</v>
      </c>
      <c r="BJ49">
        <f t="shared" si="31"/>
        <v>0</v>
      </c>
      <c r="BK49">
        <f t="shared" si="47"/>
        <v>0</v>
      </c>
      <c r="BM49">
        <f t="shared" si="48"/>
        <v>29.952467167011147</v>
      </c>
      <c r="BN49">
        <f t="shared" si="32"/>
        <v>-39.090763002757697</v>
      </c>
      <c r="BQ49" s="56">
        <f t="shared" si="49"/>
        <v>6.7128206636597332</v>
      </c>
      <c r="BR49" s="58"/>
      <c r="BS49" s="58"/>
      <c r="BT49" s="58">
        <v>245.471</v>
      </c>
      <c r="BU49" s="58">
        <v>27.075500000000002</v>
      </c>
      <c r="BV49" s="58">
        <v>-266.80959999999999</v>
      </c>
      <c r="BW49" s="61"/>
      <c r="BY49" s="58"/>
      <c r="BZ49" s="58"/>
      <c r="CA49" s="58"/>
      <c r="CC49" s="58"/>
    </row>
    <row r="50" spans="1:81" x14ac:dyDescent="0.2">
      <c r="A50">
        <f t="shared" si="54"/>
        <v>8000</v>
      </c>
      <c r="B50">
        <f t="shared" si="33"/>
        <v>8</v>
      </c>
      <c r="C50">
        <f t="shared" si="0"/>
        <v>1.0000018628237155</v>
      </c>
      <c r="D50">
        <f t="shared" si="1"/>
        <v>1.930192127088369E-3</v>
      </c>
      <c r="F50">
        <f t="shared" si="2"/>
        <v>2.340325941807528</v>
      </c>
      <c r="G50">
        <f t="shared" si="3"/>
        <v>-0.85172554378136534</v>
      </c>
      <c r="H50">
        <f t="shared" si="4"/>
        <v>-0.85172554378136534</v>
      </c>
      <c r="J50">
        <f t="shared" si="5"/>
        <v>15</v>
      </c>
      <c r="M50">
        <f t="shared" si="6"/>
        <v>2.8209358387527014E-2</v>
      </c>
      <c r="N50">
        <f t="shared" si="7"/>
        <v>-1.5707963250000001</v>
      </c>
      <c r="O50">
        <f t="shared" si="8"/>
        <v>7.57445662058179</v>
      </c>
      <c r="P50">
        <f t="shared" si="9"/>
        <v>1.438387089743407</v>
      </c>
      <c r="Q50">
        <f t="shared" si="10"/>
        <v>1.4994388666208101</v>
      </c>
      <c r="R50">
        <f t="shared" si="11"/>
        <v>0.84073389992517833</v>
      </c>
      <c r="S50">
        <f t="shared" si="12"/>
        <v>0.99950277657838826</v>
      </c>
      <c r="T50">
        <f t="shared" si="13"/>
        <v>-3.153615804960145E-2</v>
      </c>
      <c r="U50">
        <f t="shared" si="14"/>
        <v>0.99940561849990828</v>
      </c>
      <c r="V50">
        <f t="shared" si="15"/>
        <v>-3.4480150550356761E-2</v>
      </c>
      <c r="X50">
        <f t="shared" si="34"/>
        <v>21.011353225734474</v>
      </c>
      <c r="Y50">
        <f t="shared" si="16"/>
        <v>-11.888129164491447</v>
      </c>
      <c r="Z50">
        <f t="shared" si="35"/>
        <v>168.11187083550854</v>
      </c>
      <c r="AC50">
        <v>1</v>
      </c>
      <c r="AD50">
        <f t="shared" si="17"/>
        <v>7.5081551060879992</v>
      </c>
      <c r="AE50">
        <f t="shared" si="18"/>
        <v>-6.7932186901476568E-5</v>
      </c>
      <c r="AF50">
        <f t="shared" si="19"/>
        <v>1.9694016004319997E-3</v>
      </c>
      <c r="AG50">
        <f t="shared" si="36"/>
        <v>3790.3795302542876</v>
      </c>
      <c r="AH50">
        <f t="shared" si="37"/>
        <v>-638.51312520560953</v>
      </c>
      <c r="AJ50">
        <f t="shared" si="20"/>
        <v>18000</v>
      </c>
      <c r="AK50">
        <f t="shared" si="21"/>
        <v>567.83910157631999</v>
      </c>
      <c r="AL50">
        <v>1</v>
      </c>
      <c r="AM50">
        <f t="shared" si="22"/>
        <v>1.1172810365942401</v>
      </c>
      <c r="AN50">
        <f t="shared" si="38"/>
        <v>8288.1713596145983</v>
      </c>
      <c r="AO50">
        <f t="shared" si="39"/>
        <v>-8692.3775865645712</v>
      </c>
      <c r="AQ50">
        <f t="shared" si="23"/>
        <v>38.910505836575872</v>
      </c>
      <c r="AR50">
        <f t="shared" si="24"/>
        <v>-622.56809338521396</v>
      </c>
      <c r="AT50">
        <f t="shared" si="52"/>
        <v>-250032.31412589355</v>
      </c>
      <c r="AU50">
        <f t="shared" si="53"/>
        <v>-2384614.2260417975</v>
      </c>
      <c r="AV50">
        <f t="shared" si="42"/>
        <v>-1.6752669044007855</v>
      </c>
      <c r="AW50">
        <f t="shared" si="25"/>
        <v>-5069297.8385080835</v>
      </c>
      <c r="AX50">
        <f t="shared" si="26"/>
        <v>-5518925.4849745715</v>
      </c>
      <c r="AY50">
        <f t="shared" si="50"/>
        <v>-2.313755106485079</v>
      </c>
      <c r="BA50">
        <f t="shared" si="27"/>
        <v>0.31995809666594183</v>
      </c>
      <c r="BB50">
        <f t="shared" si="43"/>
        <v>-9.8981379072505842</v>
      </c>
      <c r="BC50">
        <f t="shared" si="44"/>
        <v>0.63848820208429347</v>
      </c>
      <c r="BD50">
        <f t="shared" si="28"/>
        <v>-143.41732070987217</v>
      </c>
      <c r="BF50">
        <f t="shared" si="29"/>
        <v>21.00923038755144</v>
      </c>
      <c r="BG50">
        <f t="shared" si="30"/>
        <v>-12.107007865133957</v>
      </c>
      <c r="BH50">
        <f t="shared" si="45"/>
        <v>167.89299213486603</v>
      </c>
      <c r="BI50">
        <f t="shared" si="46"/>
        <v>167.89299213486603</v>
      </c>
      <c r="BJ50">
        <f t="shared" si="31"/>
        <v>0</v>
      </c>
      <c r="BK50">
        <f t="shared" si="47"/>
        <v>0</v>
      </c>
      <c r="BM50">
        <f t="shared" si="48"/>
        <v>30.907368294802026</v>
      </c>
      <c r="BN50">
        <f t="shared" si="32"/>
        <v>-48.689687155261787</v>
      </c>
      <c r="BQ50" s="56">
        <f t="shared" si="49"/>
        <v>7.0038228930345516</v>
      </c>
      <c r="BR50" s="58"/>
      <c r="BS50" s="58"/>
      <c r="BT50" s="58">
        <v>251.18899999999999</v>
      </c>
      <c r="BU50" s="58">
        <v>27.043399999999998</v>
      </c>
      <c r="BV50" s="58">
        <v>-265.9205</v>
      </c>
      <c r="BW50" s="61"/>
      <c r="BY50" s="58"/>
      <c r="BZ50" s="58"/>
      <c r="CA50" s="58"/>
      <c r="CC50" s="58"/>
    </row>
    <row r="51" spans="1:81" x14ac:dyDescent="0.2">
      <c r="A51">
        <f t="shared" si="54"/>
        <v>8500</v>
      </c>
      <c r="B51">
        <f t="shared" si="33"/>
        <v>8.5</v>
      </c>
      <c r="C51">
        <f t="shared" si="0"/>
        <v>1.0000021029530826</v>
      </c>
      <c r="D51">
        <f t="shared" si="1"/>
        <v>2.050828806722361E-3</v>
      </c>
      <c r="F51">
        <f t="shared" si="2"/>
        <v>2.566025395271482</v>
      </c>
      <c r="G51">
        <f t="shared" si="3"/>
        <v>-1.0686304166298506</v>
      </c>
      <c r="H51">
        <f t="shared" si="4"/>
        <v>-1.0686304166298506</v>
      </c>
      <c r="J51">
        <f t="shared" si="5"/>
        <v>15</v>
      </c>
      <c r="M51">
        <f t="shared" si="6"/>
        <v>2.6549984364731303E-2</v>
      </c>
      <c r="N51">
        <f t="shared" si="7"/>
        <v>-1.5707963250000001</v>
      </c>
      <c r="O51">
        <f t="shared" si="8"/>
        <v>8.0398474422556774</v>
      </c>
      <c r="P51">
        <f t="shared" si="9"/>
        <v>1.4460928991046775</v>
      </c>
      <c r="Q51">
        <f t="shared" si="10"/>
        <v>1.5521703408527407</v>
      </c>
      <c r="R51">
        <f t="shared" si="11"/>
        <v>0.87074206789288555</v>
      </c>
      <c r="S51">
        <f t="shared" si="12"/>
        <v>0.9994387353237395</v>
      </c>
      <c r="T51">
        <f t="shared" si="13"/>
        <v>-3.3505736437994357E-2</v>
      </c>
      <c r="U51">
        <f t="shared" si="14"/>
        <v>0.99932907610217148</v>
      </c>
      <c r="V51">
        <f t="shared" si="15"/>
        <v>-3.6633289079744613E-2</v>
      </c>
      <c r="X51">
        <f t="shared" si="34"/>
        <v>22.101385637175067</v>
      </c>
      <c r="Y51">
        <f t="shared" si="16"/>
        <v>-22.38431352384108</v>
      </c>
      <c r="Z51">
        <f t="shared" si="35"/>
        <v>157.61568647615891</v>
      </c>
      <c r="AC51">
        <v>1</v>
      </c>
      <c r="AD51">
        <f t="shared" si="17"/>
        <v>7.9774148002184999</v>
      </c>
      <c r="AE51">
        <f t="shared" si="18"/>
        <v>-7.6689070369245042E-5</v>
      </c>
      <c r="AF51">
        <f t="shared" si="19"/>
        <v>2.092489200459E-3</v>
      </c>
      <c r="AG51">
        <f t="shared" si="36"/>
        <v>3789.7989579177261</v>
      </c>
      <c r="AH51">
        <f t="shared" si="37"/>
        <v>-616.79465714132971</v>
      </c>
      <c r="AJ51">
        <f t="shared" si="20"/>
        <v>18000</v>
      </c>
      <c r="AK51">
        <f t="shared" si="21"/>
        <v>603.32904542483993</v>
      </c>
      <c r="AL51">
        <v>1</v>
      </c>
      <c r="AM51">
        <f t="shared" si="22"/>
        <v>1.1871111013813802</v>
      </c>
      <c r="AN51">
        <f t="shared" si="38"/>
        <v>7768.5389572122049</v>
      </c>
      <c r="AO51">
        <f t="shared" si="39"/>
        <v>-8618.7897921955009</v>
      </c>
      <c r="AQ51">
        <f t="shared" si="23"/>
        <v>34.482758620689658</v>
      </c>
      <c r="AR51">
        <f t="shared" si="24"/>
        <v>-586.20689655172418</v>
      </c>
      <c r="AT51">
        <f t="shared" si="52"/>
        <v>-230886.55908568547</v>
      </c>
      <c r="AU51">
        <f t="shared" si="53"/>
        <v>-2242875.0669566439</v>
      </c>
      <c r="AV51">
        <f t="shared" si="42"/>
        <v>-1.6733772208491375</v>
      </c>
      <c r="AW51">
        <f t="shared" si="25"/>
        <v>-4765750.9784883447</v>
      </c>
      <c r="AX51">
        <f t="shared" si="26"/>
        <v>-4871590.8465373199</v>
      </c>
      <c r="AY51">
        <f t="shared" si="50"/>
        <v>-2.3452126639631095</v>
      </c>
      <c r="BA51">
        <f t="shared" si="27"/>
        <v>0.33084582117182004</v>
      </c>
      <c r="BB51">
        <f t="shared" si="43"/>
        <v>-9.6074869289451605</v>
      </c>
      <c r="BC51">
        <f t="shared" si="44"/>
        <v>0.67183544311397192</v>
      </c>
      <c r="BD51">
        <f t="shared" si="28"/>
        <v>-141.50666453828285</v>
      </c>
      <c r="BF51">
        <f t="shared" si="29"/>
        <v>22.099575521312911</v>
      </c>
      <c r="BG51">
        <f t="shared" si="30"/>
        <v>-22.617173505179963</v>
      </c>
      <c r="BH51">
        <f t="shared" si="45"/>
        <v>157.38282649482005</v>
      </c>
      <c r="BI51">
        <f t="shared" si="46"/>
        <v>157.38282649482005</v>
      </c>
      <c r="BJ51">
        <f t="shared" si="31"/>
        <v>0</v>
      </c>
      <c r="BK51">
        <f t="shared" si="47"/>
        <v>0</v>
      </c>
      <c r="BM51">
        <f t="shared" si="48"/>
        <v>31.707062450258071</v>
      </c>
      <c r="BN51">
        <f t="shared" si="32"/>
        <v>-61.110508966897108</v>
      </c>
      <c r="BQ51" s="56">
        <f t="shared" si="49"/>
        <v>7.2944738713399762</v>
      </c>
      <c r="BR51" s="58"/>
      <c r="BS51" s="58"/>
      <c r="BT51" s="58">
        <v>257.04000000000002</v>
      </c>
      <c r="BU51" s="58">
        <v>26.677600000000002</v>
      </c>
      <c r="BV51" s="58">
        <v>-267.60309999999998</v>
      </c>
      <c r="BW51" s="61"/>
      <c r="BY51" s="58"/>
      <c r="BZ51" s="58"/>
      <c r="CA51" s="58"/>
      <c r="CC51" s="58"/>
    </row>
    <row r="52" spans="1:81" x14ac:dyDescent="0.2">
      <c r="A52">
        <f t="shared" si="54"/>
        <v>9000</v>
      </c>
      <c r="B52">
        <f t="shared" si="33"/>
        <v>9</v>
      </c>
      <c r="C52">
        <f t="shared" si="0"/>
        <v>1.0000023576356816</v>
      </c>
      <c r="D52">
        <f t="shared" si="1"/>
        <v>2.171465426664021E-3</v>
      </c>
      <c r="F52">
        <f t="shared" si="2"/>
        <v>2.6864137725650354</v>
      </c>
      <c r="G52">
        <f t="shared" si="3"/>
        <v>-1.3320980547952161</v>
      </c>
      <c r="H52">
        <f t="shared" si="4"/>
        <v>-1.3320980547952161</v>
      </c>
      <c r="J52">
        <f t="shared" si="5"/>
        <v>15</v>
      </c>
      <c r="M52">
        <f t="shared" si="6"/>
        <v>2.5074985233357341E-2</v>
      </c>
      <c r="N52">
        <f t="shared" si="7"/>
        <v>-1.5707963250000001</v>
      </c>
      <c r="O52">
        <f t="shared" si="8"/>
        <v>8.5056634081937403</v>
      </c>
      <c r="P52">
        <f t="shared" si="9"/>
        <v>1.4529550562784819</v>
      </c>
      <c r="Q52">
        <f t="shared" si="10"/>
        <v>1.6062070524092089</v>
      </c>
      <c r="R52">
        <f t="shared" si="11"/>
        <v>0.89875498509298579</v>
      </c>
      <c r="S52">
        <f t="shared" si="12"/>
        <v>0.99937082623078333</v>
      </c>
      <c r="T52">
        <f t="shared" si="13"/>
        <v>-3.5475054810212167E-2</v>
      </c>
      <c r="U52">
        <f t="shared" si="14"/>
        <v>0.99924791398590285</v>
      </c>
      <c r="V52">
        <f t="shared" si="15"/>
        <v>-3.8786087846994145E-2</v>
      </c>
      <c r="X52">
        <f t="shared" si="34"/>
        <v>22.788310255987515</v>
      </c>
      <c r="Y52">
        <f t="shared" si="16"/>
        <v>-35.710970617967412</v>
      </c>
      <c r="Z52">
        <f t="shared" si="35"/>
        <v>144.2890293820326</v>
      </c>
      <c r="AC52">
        <v>1</v>
      </c>
      <c r="AD52">
        <f t="shared" si="17"/>
        <v>8.4466744943489989</v>
      </c>
      <c r="AE52">
        <f t="shared" si="18"/>
        <v>-8.5976674047181289E-5</v>
      </c>
      <c r="AF52">
        <f t="shared" si="19"/>
        <v>2.2155768004860003E-3</v>
      </c>
      <c r="AG52">
        <f t="shared" si="36"/>
        <v>3789.1833936949242</v>
      </c>
      <c r="AH52">
        <f t="shared" si="37"/>
        <v>-598.39107597348129</v>
      </c>
      <c r="AJ52">
        <f t="shared" si="20"/>
        <v>18000</v>
      </c>
      <c r="AK52">
        <f t="shared" si="21"/>
        <v>638.81898927335999</v>
      </c>
      <c r="AL52">
        <v>1</v>
      </c>
      <c r="AM52">
        <f t="shared" si="22"/>
        <v>1.2569411661685201</v>
      </c>
      <c r="AN52">
        <f t="shared" si="38"/>
        <v>7288.2475689728062</v>
      </c>
      <c r="AO52">
        <f t="shared" si="39"/>
        <v>-8522.0794093962013</v>
      </c>
      <c r="AQ52">
        <f t="shared" si="23"/>
        <v>30.76923076923077</v>
      </c>
      <c r="AR52">
        <f t="shared" si="24"/>
        <v>-553.84615384615381</v>
      </c>
      <c r="AT52">
        <f t="shared" si="52"/>
        <v>-214826.33765623812</v>
      </c>
      <c r="AU52">
        <f t="shared" si="53"/>
        <v>-2117036.6819225266</v>
      </c>
      <c r="AV52">
        <f t="shared" si="42"/>
        <v>-1.6719251799125887</v>
      </c>
      <c r="AW52">
        <f t="shared" si="25"/>
        <v>-4477865.883802847</v>
      </c>
      <c r="AX52">
        <f t="shared" si="26"/>
        <v>-4318851.1591789573</v>
      </c>
      <c r="AY52">
        <f t="shared" si="50"/>
        <v>-2.3742691204409567</v>
      </c>
      <c r="BA52">
        <f t="shared" si="27"/>
        <v>0.34203959572039033</v>
      </c>
      <c r="BB52">
        <f t="shared" si="43"/>
        <v>-9.3184723111879837</v>
      </c>
      <c r="BC52">
        <f t="shared" si="44"/>
        <v>0.70234394052836802</v>
      </c>
      <c r="BD52">
        <f t="shared" si="28"/>
        <v>-139.75865639515479</v>
      </c>
      <c r="BF52">
        <f t="shared" si="29"/>
        <v>22.786831454421261</v>
      </c>
      <c r="BG52">
        <f t="shared" si="30"/>
        <v>-35.957837115271175</v>
      </c>
      <c r="BH52">
        <f t="shared" si="45"/>
        <v>144.04216288472884</v>
      </c>
      <c r="BI52">
        <f t="shared" si="46"/>
        <v>144.04216288472884</v>
      </c>
      <c r="BJ52">
        <f t="shared" si="31"/>
        <v>0</v>
      </c>
      <c r="BK52">
        <f t="shared" si="47"/>
        <v>0</v>
      </c>
      <c r="BM52">
        <f t="shared" si="48"/>
        <v>32.105303765609243</v>
      </c>
      <c r="BN52">
        <f t="shared" si="32"/>
        <v>-76.199180720116388</v>
      </c>
      <c r="BQ52" s="56">
        <f t="shared" si="49"/>
        <v>7.583488489097153</v>
      </c>
      <c r="BR52" s="58"/>
      <c r="BS52" s="58"/>
      <c r="BT52" s="58">
        <v>263.02699999999999</v>
      </c>
      <c r="BU52" s="58">
        <v>26.270299999999999</v>
      </c>
      <c r="BV52" s="58">
        <v>-267.3229</v>
      </c>
      <c r="BW52" s="61"/>
      <c r="BY52" s="58"/>
      <c r="BZ52" s="58"/>
      <c r="CA52" s="58"/>
      <c r="CC52" s="58"/>
    </row>
    <row r="53" spans="1:81" x14ac:dyDescent="0.2">
      <c r="A53">
        <f t="shared" si="54"/>
        <v>9500</v>
      </c>
      <c r="B53">
        <f t="shared" si="33"/>
        <v>9.5</v>
      </c>
      <c r="C53">
        <f t="shared" si="0"/>
        <v>1.0000026268715017</v>
      </c>
      <c r="D53">
        <f t="shared" si="1"/>
        <v>2.2921019834020988E-3</v>
      </c>
      <c r="F53">
        <f t="shared" si="2"/>
        <v>2.6166228064768284</v>
      </c>
      <c r="G53">
        <f t="shared" si="3"/>
        <v>1.5256691391697361</v>
      </c>
      <c r="H53">
        <f t="shared" si="4"/>
        <v>-1.6159235108302641</v>
      </c>
      <c r="J53">
        <f t="shared" si="5"/>
        <v>15</v>
      </c>
      <c r="M53">
        <f t="shared" si="6"/>
        <v>2.37552491684438E-2</v>
      </c>
      <c r="N53">
        <f t="shared" si="7"/>
        <v>-1.5707963250000001</v>
      </c>
      <c r="O53">
        <f t="shared" si="8"/>
        <v>8.9718382984368148</v>
      </c>
      <c r="P53">
        <f t="shared" si="9"/>
        <v>1.4591043658937848</v>
      </c>
      <c r="Q53">
        <f t="shared" si="10"/>
        <v>1.6614216500610546</v>
      </c>
      <c r="R53">
        <f t="shared" si="11"/>
        <v>0.92492540109705979</v>
      </c>
      <c r="S53">
        <f t="shared" si="12"/>
        <v>0.99929905166790911</v>
      </c>
      <c r="T53">
        <f t="shared" si="13"/>
        <v>-3.7444097946004222E-2</v>
      </c>
      <c r="U53">
        <f t="shared" si="14"/>
        <v>0.99916213553319289</v>
      </c>
      <c r="V53">
        <f t="shared" si="15"/>
        <v>-4.0938526982952299E-2</v>
      </c>
      <c r="X53">
        <f t="shared" si="34"/>
        <v>22.845717165056428</v>
      </c>
      <c r="Y53">
        <f t="shared" si="16"/>
        <v>-50.350419084821603</v>
      </c>
      <c r="Z53">
        <f t="shared" si="35"/>
        <v>129.6495809151784</v>
      </c>
      <c r="AC53">
        <v>1</v>
      </c>
      <c r="AD53">
        <f t="shared" si="17"/>
        <v>8.9159341884795005</v>
      </c>
      <c r="AE53">
        <f t="shared" si="18"/>
        <v>-9.5794997935285322E-5</v>
      </c>
      <c r="AF53">
        <f t="shared" si="19"/>
        <v>2.3386644005130002E-3</v>
      </c>
      <c r="AG53">
        <f t="shared" si="36"/>
        <v>3788.5328717709726</v>
      </c>
      <c r="AH53">
        <f t="shared" si="37"/>
        <v>-582.77814393980418</v>
      </c>
      <c r="AJ53">
        <f t="shared" si="20"/>
        <v>18000</v>
      </c>
      <c r="AK53">
        <f t="shared" si="21"/>
        <v>674.30893312188005</v>
      </c>
      <c r="AL53">
        <v>1</v>
      </c>
      <c r="AM53">
        <f t="shared" si="22"/>
        <v>1.3267712309556601</v>
      </c>
      <c r="AN53">
        <f t="shared" si="38"/>
        <v>6845.0906751461098</v>
      </c>
      <c r="AO53">
        <f t="shared" si="39"/>
        <v>-8407.5604479448357</v>
      </c>
      <c r="AQ53">
        <f t="shared" si="23"/>
        <v>27.624309392265193</v>
      </c>
      <c r="AR53">
        <f t="shared" si="24"/>
        <v>-524.86187845303868</v>
      </c>
      <c r="AT53">
        <f t="shared" si="52"/>
        <v>-201222.42715705265</v>
      </c>
      <c r="AU53">
        <f t="shared" si="53"/>
        <v>-2004555.323414041</v>
      </c>
      <c r="AV53">
        <f t="shared" si="42"/>
        <v>-1.6708437530680189</v>
      </c>
      <c r="AW53">
        <f t="shared" si="25"/>
        <v>-4206802.7238232745</v>
      </c>
      <c r="AX53">
        <f t="shared" si="26"/>
        <v>-3844673.2062438568</v>
      </c>
      <c r="AY53">
        <f t="shared" si="50"/>
        <v>-2.4011409858868822</v>
      </c>
      <c r="BA53">
        <f t="shared" si="27"/>
        <v>0.35350526631240015</v>
      </c>
      <c r="BB53">
        <f t="shared" si="43"/>
        <v>-9.0320822391306539</v>
      </c>
      <c r="BC53">
        <f t="shared" si="44"/>
        <v>0.73029723281886327</v>
      </c>
      <c r="BD53">
        <f t="shared" si="28"/>
        <v>-138.15705072158374</v>
      </c>
      <c r="BF53">
        <f t="shared" si="29"/>
        <v>22.844588206329306</v>
      </c>
      <c r="BG53">
        <f t="shared" si="30"/>
        <v>-50.61132024390232</v>
      </c>
      <c r="BH53">
        <f t="shared" si="45"/>
        <v>129.38867975609767</v>
      </c>
      <c r="BI53">
        <f t="shared" si="46"/>
        <v>129.38867975609767</v>
      </c>
      <c r="BJ53">
        <f t="shared" si="31"/>
        <v>0</v>
      </c>
      <c r="BK53">
        <f t="shared" si="47"/>
        <v>0</v>
      </c>
      <c r="BM53">
        <f t="shared" si="48"/>
        <v>31.876670445459961</v>
      </c>
      <c r="BN53">
        <f t="shared" si="32"/>
        <v>-92.454269522318612</v>
      </c>
      <c r="BQ53" s="56">
        <f t="shared" si="49"/>
        <v>7.8698785611544828</v>
      </c>
      <c r="BR53" s="58"/>
      <c r="BS53" s="58"/>
      <c r="BT53" s="58">
        <v>269.15300000000002</v>
      </c>
      <c r="BU53" s="58">
        <v>26.235900000000001</v>
      </c>
      <c r="BV53" s="58">
        <v>-265.67700000000002</v>
      </c>
      <c r="BW53" s="61"/>
      <c r="BY53" s="58"/>
      <c r="BZ53" s="58"/>
      <c r="CA53" s="58"/>
      <c r="CC53" s="58"/>
    </row>
    <row r="54" spans="1:81" x14ac:dyDescent="0.2">
      <c r="A54">
        <f t="shared" si="54"/>
        <v>10000</v>
      </c>
      <c r="B54">
        <f t="shared" si="33"/>
        <v>10</v>
      </c>
      <c r="C54">
        <f t="shared" si="0"/>
        <v>1.0000029106605304</v>
      </c>
      <c r="D54">
        <f t="shared" si="1"/>
        <v>2.4127384734253577E-3</v>
      </c>
      <c r="F54">
        <f t="shared" si="2"/>
        <v>2.3706549670072379</v>
      </c>
      <c r="G54">
        <f t="shared" si="3"/>
        <v>1.262036542111068</v>
      </c>
      <c r="H54">
        <f t="shared" si="4"/>
        <v>-1.8795561078889322</v>
      </c>
      <c r="J54">
        <f t="shared" si="5"/>
        <v>15</v>
      </c>
      <c r="M54">
        <f t="shared" si="6"/>
        <v>2.2567486710021609E-2</v>
      </c>
      <c r="N54">
        <f t="shared" si="7"/>
        <v>-1.5707963250000001</v>
      </c>
      <c r="O54">
        <f t="shared" si="8"/>
        <v>9.4383189294587932</v>
      </c>
      <c r="P54">
        <f t="shared" si="9"/>
        <v>1.4646460196822133</v>
      </c>
      <c r="Q54">
        <f t="shared" si="10"/>
        <v>1.717700549941831</v>
      </c>
      <c r="R54">
        <f t="shared" si="11"/>
        <v>0.94939678170603625</v>
      </c>
      <c r="S54">
        <f t="shared" si="12"/>
        <v>0.99922341413738447</v>
      </c>
      <c r="T54">
        <f t="shared" si="13"/>
        <v>-3.9412850637910925E-2</v>
      </c>
      <c r="U54">
        <f t="shared" si="14"/>
        <v>0.99907174431690571</v>
      </c>
      <c r="V54">
        <f t="shared" si="15"/>
        <v>-4.3090586638432925E-2</v>
      </c>
      <c r="X54">
        <f t="shared" si="34"/>
        <v>22.270909001346347</v>
      </c>
      <c r="Y54">
        <f t="shared" si="16"/>
        <v>-63.965027246498131</v>
      </c>
      <c r="Z54">
        <f t="shared" si="35"/>
        <v>116.03497275350188</v>
      </c>
      <c r="AC54">
        <v>1</v>
      </c>
      <c r="AD54">
        <f t="shared" si="17"/>
        <v>9.3851938826099985</v>
      </c>
      <c r="AE54">
        <f t="shared" si="18"/>
        <v>-1.0614404203355714E-4</v>
      </c>
      <c r="AF54">
        <f t="shared" si="19"/>
        <v>2.4617520005400001E-3</v>
      </c>
      <c r="AG54">
        <f t="shared" si="36"/>
        <v>3787.847428254197</v>
      </c>
      <c r="AH54">
        <f t="shared" si="37"/>
        <v>-569.53642622561688</v>
      </c>
      <c r="AJ54">
        <f t="shared" si="20"/>
        <v>18000</v>
      </c>
      <c r="AK54">
        <f t="shared" si="21"/>
        <v>709.79887697039999</v>
      </c>
      <c r="AL54">
        <v>1</v>
      </c>
      <c r="AM54">
        <f t="shared" si="22"/>
        <v>1.3966012957428</v>
      </c>
      <c r="AN54">
        <f t="shared" si="38"/>
        <v>6436.6504187915289</v>
      </c>
      <c r="AO54">
        <f t="shared" si="39"/>
        <v>-8279.6354381572855</v>
      </c>
      <c r="AQ54">
        <f t="shared" si="23"/>
        <v>24.937655860349128</v>
      </c>
      <c r="AR54">
        <f t="shared" si="24"/>
        <v>-498.75311720698255</v>
      </c>
      <c r="AT54">
        <f t="shared" si="52"/>
        <v>-189598.03232563939</v>
      </c>
      <c r="AU54">
        <f t="shared" si="53"/>
        <v>-1903403.6157433805</v>
      </c>
      <c r="AV54">
        <f t="shared" si="42"/>
        <v>-1.6700788248240699</v>
      </c>
      <c r="AW54">
        <f t="shared" si="25"/>
        <v>-3952882.1776954103</v>
      </c>
      <c r="AX54">
        <f t="shared" si="26"/>
        <v>-3436083.0527526811</v>
      </c>
      <c r="AY54">
        <f t="shared" si="50"/>
        <v>-2.4260227904071221</v>
      </c>
      <c r="BA54">
        <f t="shared" si="27"/>
        <v>0.36521326586738029</v>
      </c>
      <c r="BB54">
        <f t="shared" si="43"/>
        <v>-8.7490691140820367</v>
      </c>
      <c r="BC54">
        <f t="shared" si="44"/>
        <v>0.75594396558305221</v>
      </c>
      <c r="BD54">
        <f t="shared" si="28"/>
        <v>-136.68760117421672</v>
      </c>
      <c r="BF54">
        <f t="shared" si="29"/>
        <v>22.270148347012942</v>
      </c>
      <c r="BG54">
        <f t="shared" si="30"/>
        <v>-64.239993905588562</v>
      </c>
      <c r="BH54">
        <f t="shared" si="45"/>
        <v>115.76000609441144</v>
      </c>
      <c r="BI54">
        <f t="shared" si="46"/>
        <v>115.76000609441144</v>
      </c>
      <c r="BJ54">
        <f t="shared" si="31"/>
        <v>0</v>
      </c>
      <c r="BK54">
        <f t="shared" si="47"/>
        <v>0</v>
      </c>
      <c r="BM54">
        <f t="shared" si="48"/>
        <v>31.019217461094982</v>
      </c>
      <c r="BN54">
        <f t="shared" si="32"/>
        <v>-107.55239273137184</v>
      </c>
      <c r="BQ54" s="56">
        <f t="shared" si="49"/>
        <v>8.1528916862030982</v>
      </c>
      <c r="BR54" s="58"/>
      <c r="BS54" s="58"/>
      <c r="BT54" s="58">
        <v>275.423</v>
      </c>
      <c r="BU54" s="58">
        <v>25.845600000000001</v>
      </c>
      <c r="BV54" s="58">
        <v>-266.46569999999997</v>
      </c>
      <c r="BW54" s="61"/>
      <c r="BY54" s="58"/>
      <c r="BZ54" s="58"/>
      <c r="CA54" s="58"/>
      <c r="CC54" s="58"/>
    </row>
    <row r="55" spans="1:81" x14ac:dyDescent="0.2">
      <c r="A55">
        <f t="shared" si="54"/>
        <v>10500</v>
      </c>
      <c r="B55">
        <f t="shared" si="33"/>
        <v>10.5</v>
      </c>
      <c r="C55">
        <f t="shared" si="0"/>
        <v>1.0000032090027562</v>
      </c>
      <c r="D55">
        <f t="shared" si="1"/>
        <v>2.5333748932225698E-3</v>
      </c>
      <c r="F55">
        <f t="shared" si="2"/>
        <v>2.0498287302997231</v>
      </c>
      <c r="G55">
        <f t="shared" si="3"/>
        <v>1.0450855851290177</v>
      </c>
      <c r="H55">
        <f t="shared" si="4"/>
        <v>-2.0965070648709823</v>
      </c>
      <c r="J55">
        <f t="shared" si="5"/>
        <v>15</v>
      </c>
      <c r="M55">
        <f t="shared" si="6"/>
        <v>2.1492844485734866E-2</v>
      </c>
      <c r="N55">
        <f t="shared" si="7"/>
        <v>-1.5707963250000001</v>
      </c>
      <c r="O55">
        <f t="shared" si="8"/>
        <v>9.9050621046076053</v>
      </c>
      <c r="P55">
        <f t="shared" si="9"/>
        <v>1.469665551662638</v>
      </c>
      <c r="Q55">
        <f t="shared" si="10"/>
        <v>1.774942516011629</v>
      </c>
      <c r="R55">
        <f t="shared" si="11"/>
        <v>0.97230275111633901</v>
      </c>
      <c r="S55">
        <f t="shared" si="12"/>
        <v>0.99914391627511423</v>
      </c>
      <c r="T55">
        <f t="shared" si="13"/>
        <v>-4.1381297691964601E-2</v>
      </c>
      <c r="U55">
        <f t="shared" si="14"/>
        <v>0.99897674410026649</v>
      </c>
      <c r="V55">
        <f t="shared" si="15"/>
        <v>-4.5242246985308023E-2</v>
      </c>
      <c r="X55">
        <f t="shared" si="34"/>
        <v>21.286580932168285</v>
      </c>
      <c r="Y55">
        <f t="shared" si="16"/>
        <v>-75.024540892559699</v>
      </c>
      <c r="Z55">
        <f t="shared" si="35"/>
        <v>104.9754591074403</v>
      </c>
      <c r="AC55">
        <v>1</v>
      </c>
      <c r="AD55">
        <f t="shared" si="17"/>
        <v>9.8544535767405002</v>
      </c>
      <c r="AE55">
        <f t="shared" si="18"/>
        <v>-1.1702380634199676E-4</v>
      </c>
      <c r="AF55">
        <f t="shared" si="19"/>
        <v>2.584839600567E-3</v>
      </c>
      <c r="AG55">
        <f t="shared" si="36"/>
        <v>3787.1271011711692</v>
      </c>
      <c r="AH55">
        <f t="shared" si="37"/>
        <v>-558.32633799149914</v>
      </c>
      <c r="AJ55">
        <f t="shared" si="20"/>
        <v>18000</v>
      </c>
      <c r="AK55">
        <f t="shared" si="21"/>
        <v>745.28882081892004</v>
      </c>
      <c r="AL55">
        <v>1</v>
      </c>
      <c r="AM55">
        <f t="shared" si="22"/>
        <v>1.4664313605299402</v>
      </c>
      <c r="AN55">
        <f t="shared" si="38"/>
        <v>6060.432968338655</v>
      </c>
      <c r="AO55">
        <f t="shared" si="39"/>
        <v>-8141.9201423424383</v>
      </c>
      <c r="AQ55">
        <f t="shared" si="23"/>
        <v>22.624434389140273</v>
      </c>
      <c r="AR55">
        <f t="shared" si="24"/>
        <v>-475.11312217194569</v>
      </c>
      <c r="AT55">
        <f t="shared" si="52"/>
        <v>-179586.56101018807</v>
      </c>
      <c r="AU55">
        <f t="shared" si="53"/>
        <v>-1811945.5987010419</v>
      </c>
      <c r="AV55">
        <f t="shared" si="42"/>
        <v>-1.6695862456354797</v>
      </c>
      <c r="AW55">
        <f t="shared" si="25"/>
        <v>-3715875.5003123097</v>
      </c>
      <c r="AX55">
        <f t="shared" si="26"/>
        <v>-3082515.7443172811</v>
      </c>
      <c r="AY55">
        <f t="shared" si="50"/>
        <v>-2.4490895336311556</v>
      </c>
      <c r="BA55">
        <f t="shared" si="27"/>
        <v>0.37713784927785798</v>
      </c>
      <c r="BB55">
        <f t="shared" si="43"/>
        <v>-8.4699975986311244</v>
      </c>
      <c r="BC55">
        <f t="shared" si="44"/>
        <v>0.77950328799567581</v>
      </c>
      <c r="BD55">
        <f t="shared" si="28"/>
        <v>-135.33775143024297</v>
      </c>
      <c r="BF55">
        <f t="shared" si="29"/>
        <v>21.286206973249669</v>
      </c>
      <c r="BG55">
        <f t="shared" si="30"/>
        <v>-75.313606414496519</v>
      </c>
      <c r="BH55">
        <f t="shared" si="45"/>
        <v>104.68639358550348</v>
      </c>
      <c r="BI55">
        <f t="shared" si="46"/>
        <v>104.68639358550348</v>
      </c>
      <c r="BJ55">
        <f t="shared" si="31"/>
        <v>0</v>
      </c>
      <c r="BK55">
        <f t="shared" si="47"/>
        <v>0</v>
      </c>
      <c r="BM55">
        <f t="shared" si="48"/>
        <v>29.756204571880794</v>
      </c>
      <c r="BN55">
        <f t="shared" si="32"/>
        <v>-119.97585498425353</v>
      </c>
      <c r="BQ55" s="56">
        <f t="shared" si="49"/>
        <v>8.4319632016540105</v>
      </c>
      <c r="BR55" s="59"/>
      <c r="BS55" s="59"/>
      <c r="BT55" s="59">
        <v>281.83800000000002</v>
      </c>
      <c r="BU55" s="59">
        <v>26.1068</v>
      </c>
      <c r="BV55" s="59">
        <v>-266.67570000000001</v>
      </c>
      <c r="BW55" s="61"/>
      <c r="BY55" s="59"/>
      <c r="BZ55" s="59"/>
      <c r="CA55" s="59"/>
      <c r="CC55" s="59"/>
    </row>
    <row r="56" spans="1:81" x14ac:dyDescent="0.2">
      <c r="A56">
        <f t="shared" si="54"/>
        <v>11000</v>
      </c>
      <c r="B56">
        <f t="shared" si="33"/>
        <v>11</v>
      </c>
      <c r="C56">
        <f t="shared" si="0"/>
        <v>1.0000035218981655</v>
      </c>
      <c r="D56">
        <f t="shared" si="1"/>
        <v>2.6540112392825217E-3</v>
      </c>
      <c r="F56">
        <f t="shared" si="2"/>
        <v>1.7402241671786214</v>
      </c>
      <c r="G56">
        <f t="shared" si="3"/>
        <v>0.8777310718994662</v>
      </c>
      <c r="H56">
        <f t="shared" si="4"/>
        <v>-2.263861578100534</v>
      </c>
      <c r="J56">
        <f t="shared" si="5"/>
        <v>15</v>
      </c>
      <c r="M56">
        <f t="shared" si="6"/>
        <v>2.0515897009110554E-2</v>
      </c>
      <c r="N56">
        <f t="shared" si="7"/>
        <v>-1.5707963250000001</v>
      </c>
      <c r="O56">
        <f t="shared" si="8"/>
        <v>10.372032380356224</v>
      </c>
      <c r="P56">
        <f t="shared" si="9"/>
        <v>1.4742332108988949</v>
      </c>
      <c r="Q56">
        <f t="shared" si="10"/>
        <v>1.8330573277770847</v>
      </c>
      <c r="R56">
        <f t="shared" si="11"/>
        <v>0.99376698802581553</v>
      </c>
      <c r="S56">
        <f t="shared" si="12"/>
        <v>0.99906056085038419</v>
      </c>
      <c r="T56">
        <f t="shared" si="13"/>
        <v>-4.3349423928388857E-2</v>
      </c>
      <c r="U56">
        <f t="shared" si="14"/>
        <v>0.9988771388364267</v>
      </c>
      <c r="V56">
        <f t="shared" si="15"/>
        <v>-4.7393488217596001E-2</v>
      </c>
      <c r="X56">
        <f t="shared" si="34"/>
        <v>20.138645887822278</v>
      </c>
      <c r="Y56">
        <f t="shared" si="16"/>
        <v>-83.350840827455698</v>
      </c>
      <c r="Z56">
        <f t="shared" si="35"/>
        <v>96.649159172544302</v>
      </c>
      <c r="AC56">
        <v>1</v>
      </c>
      <c r="AD56">
        <f t="shared" si="17"/>
        <v>10.323713270871</v>
      </c>
      <c r="AE56">
        <f t="shared" si="18"/>
        <v>-1.2843429086060413E-4</v>
      </c>
      <c r="AF56">
        <f t="shared" si="19"/>
        <v>2.7079272005939999E-3</v>
      </c>
      <c r="AG56">
        <f t="shared" si="36"/>
        <v>3786.3719304614369</v>
      </c>
      <c r="AH56">
        <f t="shared" si="37"/>
        <v>-548.86999676257278</v>
      </c>
      <c r="AJ56">
        <f t="shared" si="20"/>
        <v>18000</v>
      </c>
      <c r="AK56">
        <f t="shared" si="21"/>
        <v>780.77876466743999</v>
      </c>
      <c r="AL56">
        <v>1</v>
      </c>
      <c r="AM56">
        <f t="shared" si="22"/>
        <v>1.5362614253170801</v>
      </c>
      <c r="AN56">
        <f t="shared" si="38"/>
        <v>5713.9623993538062</v>
      </c>
      <c r="AO56">
        <f t="shared" si="39"/>
        <v>-7997.3612551720425</v>
      </c>
      <c r="AQ56">
        <f t="shared" si="23"/>
        <v>20.618556701030929</v>
      </c>
      <c r="AR56">
        <f t="shared" si="24"/>
        <v>-453.60824742268039</v>
      </c>
      <c r="AT56">
        <f t="shared" si="52"/>
        <v>-170902.43295495183</v>
      </c>
      <c r="AU56">
        <f t="shared" si="53"/>
        <v>-1728846.4426167873</v>
      </c>
      <c r="AV56">
        <f t="shared" si="42"/>
        <v>-1.6693296514869171</v>
      </c>
      <c r="AW56">
        <f t="shared" si="25"/>
        <v>-3495205.2806845293</v>
      </c>
      <c r="AX56">
        <f t="shared" si="26"/>
        <v>-2775319.4967826139</v>
      </c>
      <c r="AY56">
        <f t="shared" si="50"/>
        <v>-2.4704987725202763</v>
      </c>
      <c r="BA56">
        <f t="shared" si="27"/>
        <v>0.38925649060854051</v>
      </c>
      <c r="BB56">
        <f t="shared" si="43"/>
        <v>-8.1952827422117664</v>
      </c>
      <c r="BC56">
        <f t="shared" si="44"/>
        <v>0.80116912103335913</v>
      </c>
      <c r="BD56">
        <f t="shared" si="28"/>
        <v>-134.09639063613017</v>
      </c>
      <c r="BF56">
        <f t="shared" si="29"/>
        <v>20.138676941273481</v>
      </c>
      <c r="BG56">
        <f t="shared" si="30"/>
        <v>-83.654040968366985</v>
      </c>
      <c r="BH56">
        <f t="shared" si="45"/>
        <v>96.345959031633015</v>
      </c>
      <c r="BI56">
        <f t="shared" si="46"/>
        <v>96.345959031633015</v>
      </c>
      <c r="BJ56">
        <f t="shared" si="31"/>
        <v>0</v>
      </c>
      <c r="BK56">
        <f t="shared" si="47"/>
        <v>0</v>
      </c>
      <c r="BM56">
        <f t="shared" si="48"/>
        <v>28.333959683485244</v>
      </c>
      <c r="BN56">
        <f t="shared" si="32"/>
        <v>-129.55765033223682</v>
      </c>
      <c r="BQ56" s="56">
        <f t="shared" si="49"/>
        <v>8.7066780580733703</v>
      </c>
      <c r="BR56" s="59"/>
      <c r="BS56" s="59"/>
      <c r="BT56" s="59">
        <v>288.40300000000002</v>
      </c>
      <c r="BU56" s="59">
        <v>25.784400000000002</v>
      </c>
      <c r="BV56" s="59">
        <v>-268.05989999999997</v>
      </c>
      <c r="BW56" s="61"/>
      <c r="BY56" s="59"/>
      <c r="BZ56" s="59"/>
      <c r="CA56" s="59"/>
      <c r="CC56" s="59"/>
    </row>
    <row r="57" spans="1:81" x14ac:dyDescent="0.2">
      <c r="A57">
        <f t="shared" si="54"/>
        <v>11500</v>
      </c>
      <c r="B57">
        <f t="shared" si="33"/>
        <v>11.5</v>
      </c>
      <c r="C57">
        <f t="shared" si="0"/>
        <v>1.0000038493467449</v>
      </c>
      <c r="D57">
        <f t="shared" si="1"/>
        <v>2.7746475080940112E-3</v>
      </c>
      <c r="F57">
        <f t="shared" si="2"/>
        <v>1.4764110734283815</v>
      </c>
      <c r="G57">
        <f t="shared" si="3"/>
        <v>0.75095282374229666</v>
      </c>
      <c r="H57">
        <f t="shared" si="4"/>
        <v>-2.3906398262577033</v>
      </c>
      <c r="J57">
        <f t="shared" si="5"/>
        <v>15</v>
      </c>
      <c r="M57">
        <f t="shared" si="6"/>
        <v>1.9623901486975313E-2</v>
      </c>
      <c r="N57">
        <f t="shared" si="7"/>
        <v>-1.5707963250000001</v>
      </c>
      <c r="O57">
        <f t="shared" si="8"/>
        <v>10.839200405161503</v>
      </c>
      <c r="P57">
        <f t="shared" si="9"/>
        <v>1.4784072201217726</v>
      </c>
      <c r="Q57">
        <f t="shared" si="10"/>
        <v>1.8919645542623662</v>
      </c>
      <c r="R57">
        <f t="shared" si="11"/>
        <v>1.0139034307697208</v>
      </c>
      <c r="S57">
        <f t="shared" si="12"/>
        <v>0.99897335076559546</v>
      </c>
      <c r="T57">
        <f t="shared" si="13"/>
        <v>-4.5317214182296305E-2</v>
      </c>
      <c r="U57">
        <f t="shared" si="14"/>
        <v>0.99877293266800926</v>
      </c>
      <c r="V57">
        <f t="shared" si="15"/>
        <v>-4.9544290552546853E-2</v>
      </c>
      <c r="X57">
        <f t="shared" si="34"/>
        <v>18.980329768610225</v>
      </c>
      <c r="Y57">
        <f t="shared" si="16"/>
        <v>-89.450879115958159</v>
      </c>
      <c r="Z57">
        <f t="shared" si="35"/>
        <v>90.549120884041841</v>
      </c>
      <c r="AC57">
        <v>1</v>
      </c>
      <c r="AD57">
        <f t="shared" si="17"/>
        <v>10.7929729650015</v>
      </c>
      <c r="AE57">
        <f t="shared" si="18"/>
        <v>-1.4037549558937933E-4</v>
      </c>
      <c r="AF57">
        <f t="shared" si="19"/>
        <v>2.8310148006209998E-3</v>
      </c>
      <c r="AG57">
        <f t="shared" si="36"/>
        <v>3785.5819579720055</v>
      </c>
      <c r="AH57">
        <f t="shared" si="37"/>
        <v>-540.93780898235184</v>
      </c>
      <c r="AJ57">
        <f t="shared" si="20"/>
        <v>18000</v>
      </c>
      <c r="AK57">
        <f t="shared" si="21"/>
        <v>816.26870851595993</v>
      </c>
      <c r="AL57">
        <v>1</v>
      </c>
      <c r="AM57">
        <f t="shared" si="22"/>
        <v>1.60609149010422</v>
      </c>
      <c r="AN57">
        <f t="shared" si="38"/>
        <v>5394.8431506312427</v>
      </c>
      <c r="AO57">
        <f t="shared" si="39"/>
        <v>-7848.3429661599184</v>
      </c>
      <c r="AQ57">
        <f t="shared" si="23"/>
        <v>18.867924528301888</v>
      </c>
      <c r="AR57">
        <f t="shared" si="24"/>
        <v>-433.96226415094338</v>
      </c>
      <c r="AT57">
        <f t="shared" si="52"/>
        <v>-163320.52167211482</v>
      </c>
      <c r="AU57">
        <f t="shared" si="53"/>
        <v>-1653006.0913648768</v>
      </c>
      <c r="AV57">
        <f t="shared" si="42"/>
        <v>-1.6692788286290365</v>
      </c>
      <c r="AW57">
        <f t="shared" si="25"/>
        <v>-3290084.0865479475</v>
      </c>
      <c r="AX57">
        <f t="shared" si="26"/>
        <v>-2507372.9001641464</v>
      </c>
      <c r="AY57">
        <f t="shared" si="50"/>
        <v>-2.4903924493902765</v>
      </c>
      <c r="BA57">
        <f t="shared" si="27"/>
        <v>0.40154939789790628</v>
      </c>
      <c r="BB57">
        <f t="shared" si="43"/>
        <v>-7.9252204191702793</v>
      </c>
      <c r="BC57">
        <f t="shared" si="44"/>
        <v>0.82111362076123995</v>
      </c>
      <c r="BD57">
        <f t="shared" si="28"/>
        <v>-132.953654975917</v>
      </c>
      <c r="BF57">
        <f t="shared" si="29"/>
        <v>18.980784073800603</v>
      </c>
      <c r="BG57">
        <f t="shared" si="30"/>
        <v>-89.768251920855008</v>
      </c>
      <c r="BH57">
        <f t="shared" si="45"/>
        <v>90.231748079144992</v>
      </c>
      <c r="BI57">
        <f t="shared" si="46"/>
        <v>90.231748079144992</v>
      </c>
      <c r="BJ57">
        <f t="shared" si="31"/>
        <v>0</v>
      </c>
      <c r="BK57">
        <f t="shared" si="47"/>
        <v>0</v>
      </c>
      <c r="BM57">
        <f t="shared" si="48"/>
        <v>26.906004492970883</v>
      </c>
      <c r="BN57">
        <f t="shared" si="32"/>
        <v>-136.81459694493799</v>
      </c>
      <c r="BQ57" s="56">
        <f t="shared" si="49"/>
        <v>8.9767403811148565</v>
      </c>
      <c r="BR57" s="59"/>
      <c r="BS57" s="59"/>
      <c r="BT57" s="59">
        <v>295.12099999999998</v>
      </c>
      <c r="BU57" s="59">
        <v>25.581099999999999</v>
      </c>
      <c r="BV57" s="59">
        <v>-265.88</v>
      </c>
      <c r="BW57" s="61"/>
      <c r="BY57" s="59"/>
      <c r="BZ57" s="59"/>
      <c r="CA57" s="59"/>
      <c r="CC57" s="59"/>
    </row>
    <row r="58" spans="1:81" x14ac:dyDescent="0.2">
      <c r="A58">
        <f t="shared" si="54"/>
        <v>12000</v>
      </c>
      <c r="B58">
        <f t="shared" si="33"/>
        <v>12</v>
      </c>
      <c r="C58">
        <f t="shared" si="0"/>
        <v>1.0000041913484801</v>
      </c>
      <c r="D58">
        <f t="shared" si="1"/>
        <v>2.8952836961458508E-3</v>
      </c>
      <c r="F58">
        <f t="shared" si="2"/>
        <v>1.2618719762613011</v>
      </c>
      <c r="G58">
        <f t="shared" si="3"/>
        <v>0.65421996162739571</v>
      </c>
      <c r="H58">
        <f t="shared" si="4"/>
        <v>-2.4873726883726044</v>
      </c>
      <c r="J58">
        <f t="shared" si="5"/>
        <v>15</v>
      </c>
      <c r="M58">
        <f t="shared" si="6"/>
        <v>1.8806238925018006E-2</v>
      </c>
      <c r="N58">
        <f t="shared" si="7"/>
        <v>-1.5707963250000001</v>
      </c>
      <c r="O58">
        <f t="shared" si="8"/>
        <v>11.306541667035921</v>
      </c>
      <c r="P58">
        <f t="shared" si="9"/>
        <v>1.4822362370014384</v>
      </c>
      <c r="Q58">
        <f t="shared" si="10"/>
        <v>1.9515924416100496</v>
      </c>
      <c r="R58">
        <f t="shared" si="11"/>
        <v>1.0328166829878156</v>
      </c>
      <c r="S58">
        <f t="shared" si="12"/>
        <v>0.99888228905598264</v>
      </c>
      <c r="T58">
        <f t="shared" si="13"/>
        <v>-4.7284653304384527E-2</v>
      </c>
      <c r="U58">
        <f t="shared" si="14"/>
        <v>0.99866412992663078</v>
      </c>
      <c r="V58">
        <f t="shared" si="15"/>
        <v>-5.1694634231724178E-2</v>
      </c>
      <c r="X58">
        <f t="shared" si="34"/>
        <v>17.881260064776079</v>
      </c>
      <c r="Y58">
        <f t="shared" si="16"/>
        <v>-93.919247455648431</v>
      </c>
      <c r="Z58">
        <f t="shared" si="35"/>
        <v>86.080752544351569</v>
      </c>
      <c r="AC58">
        <v>1</v>
      </c>
      <c r="AD58">
        <f t="shared" si="17"/>
        <v>11.262232659132</v>
      </c>
      <c r="AE58">
        <f t="shared" si="18"/>
        <v>-1.528474205283223E-4</v>
      </c>
      <c r="AF58">
        <f t="shared" si="19"/>
        <v>2.9541024006480001E-3</v>
      </c>
      <c r="AG58">
        <f t="shared" si="36"/>
        <v>3784.7572274515578</v>
      </c>
      <c r="AH58">
        <f t="shared" si="37"/>
        <v>-534.33840993313038</v>
      </c>
      <c r="AJ58">
        <f t="shared" si="20"/>
        <v>18000</v>
      </c>
      <c r="AK58">
        <f t="shared" si="21"/>
        <v>851.7586523644801</v>
      </c>
      <c r="AL58">
        <v>1</v>
      </c>
      <c r="AM58">
        <f t="shared" si="22"/>
        <v>1.6759215548913602</v>
      </c>
      <c r="AN58">
        <f t="shared" si="38"/>
        <v>5100.7992433281406</v>
      </c>
      <c r="AO58">
        <f t="shared" si="39"/>
        <v>-7696.7807467026914</v>
      </c>
      <c r="AQ58">
        <f t="shared" si="23"/>
        <v>17.331022530329289</v>
      </c>
      <c r="AR58">
        <f t="shared" si="24"/>
        <v>-415.94454072790296</v>
      </c>
      <c r="AT58">
        <f t="shared" si="52"/>
        <v>-156661.4317321243</v>
      </c>
      <c r="AU58">
        <f t="shared" si="53"/>
        <v>-1583509.737760321</v>
      </c>
      <c r="AV58">
        <f t="shared" si="42"/>
        <v>-1.6694084717214905</v>
      </c>
      <c r="AW58">
        <f t="shared" si="25"/>
        <v>-3099609.6301612025</v>
      </c>
      <c r="AX58">
        <f t="shared" si="26"/>
        <v>-2272786.3537112093</v>
      </c>
      <c r="AY58">
        <f t="shared" si="50"/>
        <v>-2.5088985166413229</v>
      </c>
      <c r="BA58">
        <f t="shared" si="27"/>
        <v>0.4139991162512755</v>
      </c>
      <c r="BB58">
        <f t="shared" si="43"/>
        <v>-7.6600117190121697</v>
      </c>
      <c r="BC58">
        <f t="shared" si="44"/>
        <v>0.83949004491983237</v>
      </c>
      <c r="BD58">
        <f t="shared" si="28"/>
        <v>-131.90076342788433</v>
      </c>
      <c r="BF58">
        <f t="shared" si="29"/>
        <v>17.882155779983275</v>
      </c>
      <c r="BG58">
        <f t="shared" si="30"/>
        <v>-94.250833174120359</v>
      </c>
      <c r="BH58">
        <f t="shared" si="45"/>
        <v>85.749166825879641</v>
      </c>
      <c r="BI58">
        <f t="shared" si="46"/>
        <v>85.749166825879641</v>
      </c>
      <c r="BJ58">
        <f t="shared" si="31"/>
        <v>0</v>
      </c>
      <c r="BK58">
        <f t="shared" si="47"/>
        <v>0</v>
      </c>
      <c r="BM58">
        <f t="shared" si="48"/>
        <v>25.542167498995447</v>
      </c>
      <c r="BN58">
        <f t="shared" si="32"/>
        <v>-142.35006974623604</v>
      </c>
      <c r="BQ58" s="56">
        <f t="shared" si="49"/>
        <v>9.2419490812729652</v>
      </c>
      <c r="BR58" s="59"/>
      <c r="BS58" s="59"/>
      <c r="BT58" s="59">
        <v>301.995</v>
      </c>
      <c r="BU58" s="59">
        <v>24.917000000000002</v>
      </c>
      <c r="BV58" s="59">
        <v>-267.13580000000002</v>
      </c>
      <c r="BW58" s="61"/>
      <c r="BY58" s="59"/>
      <c r="BZ58" s="59"/>
      <c r="CA58" s="59"/>
      <c r="CC58" s="59"/>
    </row>
    <row r="59" spans="1:81" x14ac:dyDescent="0.2">
      <c r="A59">
        <f t="shared" si="54"/>
        <v>12500</v>
      </c>
      <c r="B59">
        <f t="shared" si="33"/>
        <v>12.5</v>
      </c>
      <c r="C59">
        <f t="shared" si="0"/>
        <v>1.0000045479033559</v>
      </c>
      <c r="D59">
        <f t="shared" si="1"/>
        <v>3.0159197999268671E-3</v>
      </c>
      <c r="F59">
        <f t="shared" si="2"/>
        <v>1.0894459496190398</v>
      </c>
      <c r="G59">
        <f t="shared" si="3"/>
        <v>0.57910942003218413</v>
      </c>
      <c r="H59">
        <f t="shared" si="4"/>
        <v>-2.5624832299678162</v>
      </c>
      <c r="J59">
        <f t="shared" si="5"/>
        <v>15</v>
      </c>
      <c r="M59">
        <f t="shared" si="6"/>
        <v>1.8053989368017286E-2</v>
      </c>
      <c r="N59">
        <f t="shared" si="7"/>
        <v>-1.5707963250000001</v>
      </c>
      <c r="O59">
        <f t="shared" si="8"/>
        <v>11.774035537344725</v>
      </c>
      <c r="P59">
        <f t="shared" si="9"/>
        <v>1.485761236201292</v>
      </c>
      <c r="Q59">
        <f t="shared" si="10"/>
        <v>2.0118769141302129</v>
      </c>
      <c r="R59">
        <f t="shared" si="11"/>
        <v>1.0506025404600707</v>
      </c>
      <c r="S59">
        <f t="shared" si="12"/>
        <v>0.99878737888932256</v>
      </c>
      <c r="T59">
        <f t="shared" si="13"/>
        <v>-4.9251726161630295E-2</v>
      </c>
      <c r="U59">
        <f t="shared" si="14"/>
        <v>0.99855073513240244</v>
      </c>
      <c r="V59">
        <f t="shared" si="15"/>
        <v>-5.384449952208379E-2</v>
      </c>
      <c r="X59">
        <f t="shared" si="34"/>
        <v>16.864840723469353</v>
      </c>
      <c r="Y59">
        <f t="shared" si="16"/>
        <v>-97.230713585430394</v>
      </c>
      <c r="Z59">
        <f t="shared" si="35"/>
        <v>82.769286414569606</v>
      </c>
      <c r="AC59">
        <v>1</v>
      </c>
      <c r="AD59">
        <f t="shared" si="17"/>
        <v>11.7314923532625</v>
      </c>
      <c r="AE59">
        <f t="shared" si="18"/>
        <v>-1.6585006567743302E-4</v>
      </c>
      <c r="AF59">
        <f t="shared" si="19"/>
        <v>3.077190000675E-3</v>
      </c>
      <c r="AG59">
        <f t="shared" si="36"/>
        <v>3783.8977845444192</v>
      </c>
      <c r="AH59">
        <f t="shared" si="37"/>
        <v>-528.91101808025189</v>
      </c>
      <c r="AJ59">
        <f t="shared" si="20"/>
        <v>18000</v>
      </c>
      <c r="AK59">
        <f t="shared" si="21"/>
        <v>887.24859621299993</v>
      </c>
      <c r="AL59">
        <v>1</v>
      </c>
      <c r="AM59">
        <f t="shared" si="22"/>
        <v>1.7457516196785001</v>
      </c>
      <c r="AN59">
        <f t="shared" si="38"/>
        <v>4829.6967048659253</v>
      </c>
      <c r="AO59">
        <f t="shared" si="39"/>
        <v>-7544.2022488626044</v>
      </c>
      <c r="AQ59">
        <f t="shared" si="23"/>
        <v>15.974440894568691</v>
      </c>
      <c r="AR59">
        <f t="shared" si="24"/>
        <v>-399.36102236421726</v>
      </c>
      <c r="AT59">
        <f t="shared" si="52"/>
        <v>-150780.79340993415</v>
      </c>
      <c r="AU59">
        <f t="shared" si="53"/>
        <v>-1519590.3455541651</v>
      </c>
      <c r="AV59">
        <f t="shared" si="42"/>
        <v>-1.6696972297872947</v>
      </c>
      <c r="AW59">
        <f t="shared" si="25"/>
        <v>-2922829.4039903712</v>
      </c>
      <c r="AX59">
        <f t="shared" si="26"/>
        <v>-2066667.2351538283</v>
      </c>
      <c r="AY59">
        <f t="shared" si="50"/>
        <v>-2.5261323913346745</v>
      </c>
      <c r="BA59">
        <f t="shared" si="27"/>
        <v>0.42659019913138013</v>
      </c>
      <c r="BB59">
        <f t="shared" si="43"/>
        <v>-7.3997825329148768</v>
      </c>
      <c r="BC59">
        <f t="shared" si="44"/>
        <v>0.85643516154737975</v>
      </c>
      <c r="BD59">
        <f t="shared" si="28"/>
        <v>-130.9298797606595</v>
      </c>
      <c r="BF59">
        <f t="shared" si="29"/>
        <v>16.86619592238721</v>
      </c>
      <c r="BG59">
        <f t="shared" si="30"/>
        <v>-97.576554602549024</v>
      </c>
      <c r="BH59">
        <f t="shared" si="45"/>
        <v>82.423445397450976</v>
      </c>
      <c r="BI59">
        <f t="shared" si="46"/>
        <v>82.423445397450976</v>
      </c>
      <c r="BJ59">
        <f t="shared" si="31"/>
        <v>0</v>
      </c>
      <c r="BK59">
        <f t="shared" si="47"/>
        <v>0</v>
      </c>
      <c r="BM59">
        <f t="shared" si="48"/>
        <v>24.265978455302083</v>
      </c>
      <c r="BN59">
        <f t="shared" si="32"/>
        <v>-146.64667484188953</v>
      </c>
      <c r="BQ59" s="56">
        <f t="shared" si="49"/>
        <v>9.5021782673702599</v>
      </c>
      <c r="BR59" s="59"/>
      <c r="BS59" s="59"/>
      <c r="BT59" s="59">
        <v>309.02999999999997</v>
      </c>
      <c r="BU59" s="59">
        <v>24.825199999999999</v>
      </c>
      <c r="BV59" s="59">
        <v>-265.03610000000003</v>
      </c>
      <c r="BW59" s="61"/>
      <c r="BY59" s="59"/>
      <c r="BZ59" s="59"/>
      <c r="CA59" s="59"/>
      <c r="CC59" s="59"/>
    </row>
    <row r="60" spans="1:81" x14ac:dyDescent="0.2">
      <c r="A60">
        <f t="shared" si="54"/>
        <v>13000</v>
      </c>
      <c r="B60">
        <f t="shared" si="33"/>
        <v>13</v>
      </c>
      <c r="C60">
        <f t="shared" si="0"/>
        <v>1.0000049190113569</v>
      </c>
      <c r="D60">
        <f t="shared" si="1"/>
        <v>3.1365558159258998E-3</v>
      </c>
      <c r="F60">
        <f t="shared" si="2"/>
        <v>0.9504069274129382</v>
      </c>
      <c r="G60">
        <f t="shared" si="3"/>
        <v>0.51959705459599725</v>
      </c>
      <c r="H60">
        <f t="shared" si="4"/>
        <v>-2.6219955954040031</v>
      </c>
      <c r="J60">
        <f t="shared" si="5"/>
        <v>15</v>
      </c>
      <c r="M60">
        <f t="shared" si="6"/>
        <v>1.7359605161555085E-2</v>
      </c>
      <c r="N60">
        <f t="shared" si="7"/>
        <v>-1.5707963250000001</v>
      </c>
      <c r="O60">
        <f t="shared" si="8"/>
        <v>12.241664532324208</v>
      </c>
      <c r="P60">
        <f t="shared" si="9"/>
        <v>1.4890169648724865</v>
      </c>
      <c r="Q60">
        <f t="shared" si="10"/>
        <v>2.0727606839592196</v>
      </c>
      <c r="R60">
        <f t="shared" si="11"/>
        <v>1.0673485823693862</v>
      </c>
      <c r="S60">
        <f t="shared" si="12"/>
        <v>0.99868862356562871</v>
      </c>
      <c r="T60">
        <f t="shared" si="13"/>
        <v>-5.1218417637981781E-2</v>
      </c>
      <c r="U60">
        <f t="shared" si="14"/>
        <v>0.9984327529934115</v>
      </c>
      <c r="V60">
        <f t="shared" si="15"/>
        <v>-5.5993866717048861E-2</v>
      </c>
      <c r="X60">
        <f t="shared" si="34"/>
        <v>15.933627800615128</v>
      </c>
      <c r="Y60">
        <f t="shared" si="16"/>
        <v>-99.723424775080971</v>
      </c>
      <c r="Z60">
        <f t="shared" si="35"/>
        <v>80.276575224919029</v>
      </c>
      <c r="AC60">
        <v>1</v>
      </c>
      <c r="AD60">
        <f t="shared" si="17"/>
        <v>12.200752047392999</v>
      </c>
      <c r="AE60">
        <f t="shared" si="18"/>
        <v>-1.7938343103671159E-4</v>
      </c>
      <c r="AF60">
        <f t="shared" si="19"/>
        <v>3.2002776007019999E-3</v>
      </c>
      <c r="AG60">
        <f t="shared" si="36"/>
        <v>3783.003676784258</v>
      </c>
      <c r="AH60">
        <f t="shared" si="37"/>
        <v>-524.51955380303343</v>
      </c>
      <c r="AJ60">
        <f t="shared" si="20"/>
        <v>18000</v>
      </c>
      <c r="AK60">
        <f t="shared" si="21"/>
        <v>922.73854006151998</v>
      </c>
      <c r="AL60">
        <v>1</v>
      </c>
      <c r="AM60">
        <f t="shared" si="22"/>
        <v>1.8155816844656403</v>
      </c>
      <c r="AN60">
        <f t="shared" si="38"/>
        <v>4579.5541332608273</v>
      </c>
      <c r="AO60">
        <f t="shared" si="39"/>
        <v>-7391.8160673057582</v>
      </c>
      <c r="AQ60">
        <f t="shared" si="23"/>
        <v>14.771048744460856</v>
      </c>
      <c r="AR60">
        <f t="shared" si="24"/>
        <v>-384.04726735598229</v>
      </c>
      <c r="AT60">
        <f t="shared" si="52"/>
        <v>-145561.36960257919</v>
      </c>
      <c r="AU60">
        <f t="shared" si="53"/>
        <v>-1460599.9283632755</v>
      </c>
      <c r="AV60">
        <f t="shared" si="42"/>
        <v>-1.6701269654131676</v>
      </c>
      <c r="AW60">
        <f t="shared" si="25"/>
        <v>-2758783.8677194971</v>
      </c>
      <c r="AX60">
        <f t="shared" si="26"/>
        <v>-1884933.8874907009</v>
      </c>
      <c r="AY60">
        <f t="shared" si="50"/>
        <v>-2.5421982609454936</v>
      </c>
      <c r="BA60">
        <f t="shared" si="27"/>
        <v>0.4393089335358103</v>
      </c>
      <c r="BB60">
        <f t="shared" si="43"/>
        <v>-7.1445993016019695</v>
      </c>
      <c r="BC60">
        <f t="shared" si="44"/>
        <v>0.87207129553232599</v>
      </c>
      <c r="BD60">
        <f t="shared" si="28"/>
        <v>-130.03399527439731</v>
      </c>
      <c r="BF60">
        <f t="shared" si="29"/>
        <v>15.935460468876263</v>
      </c>
      <c r="BG60">
        <f t="shared" si="30"/>
        <v>-100.08356555393495</v>
      </c>
      <c r="BH60">
        <f t="shared" si="45"/>
        <v>79.916434446065054</v>
      </c>
      <c r="BI60">
        <f t="shared" si="46"/>
        <v>79.916434446065054</v>
      </c>
      <c r="BJ60">
        <f t="shared" si="31"/>
        <v>0</v>
      </c>
      <c r="BK60">
        <f t="shared" si="47"/>
        <v>0</v>
      </c>
      <c r="BM60">
        <f t="shared" si="48"/>
        <v>23.080059770478233</v>
      </c>
      <c r="BN60">
        <f t="shared" si="32"/>
        <v>-150.04957027953762</v>
      </c>
      <c r="BQ60" s="56">
        <f t="shared" si="49"/>
        <v>9.7573614986831672</v>
      </c>
      <c r="BR60" s="59"/>
      <c r="BS60" s="59"/>
      <c r="BT60" s="59">
        <v>316.22800000000001</v>
      </c>
      <c r="BU60" s="59">
        <v>24.722000000000001</v>
      </c>
      <c r="BV60" s="59">
        <v>-265.21839999999997</v>
      </c>
      <c r="BW60" s="61"/>
      <c r="BY60" s="59"/>
      <c r="BZ60" s="59"/>
      <c r="CA60" s="59"/>
      <c r="CC60" s="59"/>
    </row>
    <row r="61" spans="1:81" x14ac:dyDescent="0.2">
      <c r="A61">
        <f t="shared" si="54"/>
        <v>13500</v>
      </c>
      <c r="B61">
        <f t="shared" si="33"/>
        <v>13.5</v>
      </c>
      <c r="C61">
        <f t="shared" si="0"/>
        <v>1.0000053046724671</v>
      </c>
      <c r="D61">
        <f t="shared" si="1"/>
        <v>3.2571917406318059E-3</v>
      </c>
      <c r="F61">
        <f t="shared" si="2"/>
        <v>0.83723455851724859</v>
      </c>
      <c r="G61">
        <f t="shared" si="3"/>
        <v>0.4715053782527085</v>
      </c>
      <c r="H61">
        <f t="shared" si="4"/>
        <v>-2.6700872717472919</v>
      </c>
      <c r="J61">
        <f t="shared" si="5"/>
        <v>15</v>
      </c>
      <c r="M61">
        <f t="shared" si="6"/>
        <v>1.6716656822238229E-2</v>
      </c>
      <c r="N61">
        <f t="shared" si="7"/>
        <v>-1.5707963250000001</v>
      </c>
      <c r="O61">
        <f t="shared" si="8"/>
        <v>12.709413736689168</v>
      </c>
      <c r="P61">
        <f t="shared" si="9"/>
        <v>1.4920330800346404</v>
      </c>
      <c r="Q61">
        <f t="shared" si="10"/>
        <v>2.1341924618507182</v>
      </c>
      <c r="R61">
        <f t="shared" si="11"/>
        <v>1.0831347874014536</v>
      </c>
      <c r="S61">
        <f t="shared" si="12"/>
        <v>0.99858602651683326</v>
      </c>
      <c r="T61">
        <f t="shared" si="13"/>
        <v>-5.3184712635048995E-2</v>
      </c>
      <c r="U61">
        <f t="shared" si="14"/>
        <v>0.9983101884051796</v>
      </c>
      <c r="V61">
        <f t="shared" si="15"/>
        <v>-5.8142716137581395E-2</v>
      </c>
      <c r="X61">
        <f t="shared" si="34"/>
        <v>15.082004468952839</v>
      </c>
      <c r="Y61">
        <f t="shared" si="16"/>
        <v>-101.63044974712915</v>
      </c>
      <c r="Z61">
        <f t="shared" si="35"/>
        <v>78.369550252870852</v>
      </c>
      <c r="AC61">
        <v>1</v>
      </c>
      <c r="AD61">
        <f t="shared" si="17"/>
        <v>12.670011741523501</v>
      </c>
      <c r="AE61">
        <f t="shared" si="18"/>
        <v>-1.9344751660615786E-4</v>
      </c>
      <c r="AF61">
        <f t="shared" si="19"/>
        <v>3.3233652007289998E-3</v>
      </c>
      <c r="AG61">
        <f t="shared" si="36"/>
        <v>3782.0749535875393</v>
      </c>
      <c r="AH61">
        <f t="shared" si="37"/>
        <v>-521.04806507873855</v>
      </c>
      <c r="AJ61">
        <f t="shared" si="20"/>
        <v>18000</v>
      </c>
      <c r="AK61">
        <f t="shared" si="21"/>
        <v>958.22848391004004</v>
      </c>
      <c r="AL61">
        <v>1</v>
      </c>
      <c r="AM61">
        <f t="shared" si="22"/>
        <v>1.8854117492527802</v>
      </c>
      <c r="AN61">
        <f t="shared" si="38"/>
        <v>4348.5451040411408</v>
      </c>
      <c r="AO61">
        <f t="shared" si="39"/>
        <v>-7240.5695474047807</v>
      </c>
      <c r="AQ61">
        <f t="shared" si="23"/>
        <v>13.698630136986301</v>
      </c>
      <c r="AR61">
        <f t="shared" si="24"/>
        <v>-369.86301369863014</v>
      </c>
      <c r="AT61">
        <f t="shared" si="52"/>
        <v>-140907.16169230687</v>
      </c>
      <c r="AU61">
        <f t="shared" si="53"/>
        <v>-1405987.2850951001</v>
      </c>
      <c r="AV61">
        <f t="shared" si="42"/>
        <v>-1.670682173818804</v>
      </c>
      <c r="AW61">
        <f t="shared" si="25"/>
        <v>-2606534.5935486755</v>
      </c>
      <c r="AX61">
        <f t="shared" si="26"/>
        <v>-1724167.3717303555</v>
      </c>
      <c r="AY61">
        <f t="shared" si="50"/>
        <v>-2.5571902557541724</v>
      </c>
      <c r="BA61">
        <f t="shared" si="27"/>
        <v>0.45214310851772699</v>
      </c>
      <c r="BB61">
        <f t="shared" si="43"/>
        <v>-6.8944816841824625</v>
      </c>
      <c r="BC61">
        <f t="shared" si="44"/>
        <v>0.88650808193536834</v>
      </c>
      <c r="BD61">
        <f t="shared" si="28"/>
        <v>-129.20682834282596</v>
      </c>
      <c r="BF61">
        <f t="shared" si="29"/>
        <v>15.084332500666466</v>
      </c>
      <c r="BG61">
        <f t="shared" si="30"/>
        <v>-102.00493678034053</v>
      </c>
      <c r="BH61">
        <f t="shared" si="45"/>
        <v>77.995063219659471</v>
      </c>
      <c r="BI61">
        <f t="shared" si="46"/>
        <v>77.995063219659471</v>
      </c>
      <c r="BJ61">
        <f t="shared" si="31"/>
        <v>0</v>
      </c>
      <c r="BK61">
        <f t="shared" si="47"/>
        <v>0</v>
      </c>
      <c r="BM61">
        <f t="shared" si="48"/>
        <v>21.978814184848932</v>
      </c>
      <c r="BN61">
        <f t="shared" si="32"/>
        <v>-152.79810843751457</v>
      </c>
      <c r="BQ61" s="56">
        <f t="shared" si="49"/>
        <v>10.007479116102672</v>
      </c>
      <c r="BR61" s="59"/>
      <c r="BS61" s="59"/>
      <c r="BT61" s="59">
        <v>323.59399999999999</v>
      </c>
      <c r="BU61" s="59">
        <v>24.5962</v>
      </c>
      <c r="BV61" s="59">
        <v>-266.99490000000003</v>
      </c>
      <c r="BW61" s="61"/>
      <c r="BY61" s="59"/>
      <c r="BZ61" s="59"/>
      <c r="CA61" s="59"/>
      <c r="CC61" s="59"/>
    </row>
    <row r="62" spans="1:81" x14ac:dyDescent="0.2">
      <c r="A62">
        <f t="shared" si="54"/>
        <v>14000</v>
      </c>
      <c r="B62">
        <f t="shared" si="33"/>
        <v>14</v>
      </c>
      <c r="C62">
        <f t="shared" si="0"/>
        <v>1.0000057048866695</v>
      </c>
      <c r="D62">
        <f t="shared" si="1"/>
        <v>3.3778275705334572E-3</v>
      </c>
      <c r="F62">
        <f t="shared" si="2"/>
        <v>0.74406255808517874</v>
      </c>
      <c r="G62">
        <f t="shared" si="3"/>
        <v>0.43193629650005333</v>
      </c>
      <c r="H62">
        <f t="shared" si="4"/>
        <v>-2.7096563534999469</v>
      </c>
      <c r="J62">
        <f t="shared" si="5"/>
        <v>15</v>
      </c>
      <c r="M62">
        <f t="shared" si="6"/>
        <v>1.611963336430115E-2</v>
      </c>
      <c r="N62">
        <f t="shared" si="7"/>
        <v>-1.5707963250000001</v>
      </c>
      <c r="O62">
        <f t="shared" si="8"/>
        <v>13.177270349347513</v>
      </c>
      <c r="P62">
        <f t="shared" si="9"/>
        <v>1.4948350459471502</v>
      </c>
      <c r="Q62">
        <f t="shared" si="10"/>
        <v>2.1961262603434526</v>
      </c>
      <c r="R62">
        <f t="shared" si="11"/>
        <v>1.0980341478436351</v>
      </c>
      <c r="S62">
        <f t="shared" si="12"/>
        <v>0.99847959130645636</v>
      </c>
      <c r="T62">
        <f t="shared" si="13"/>
        <v>-5.5150596072792026E-2</v>
      </c>
      <c r="U62">
        <f t="shared" si="14"/>
        <v>0.99818304645010048</v>
      </c>
      <c r="V62">
        <f t="shared" si="15"/>
        <v>-6.0291028133249928E-2</v>
      </c>
      <c r="X62">
        <f t="shared" si="34"/>
        <v>14.301809807108194</v>
      </c>
      <c r="Y62">
        <f t="shared" si="16"/>
        <v>-103.11219395106512</v>
      </c>
      <c r="Z62">
        <f t="shared" si="35"/>
        <v>76.887806048934877</v>
      </c>
      <c r="AC62">
        <v>1</v>
      </c>
      <c r="AD62">
        <f t="shared" si="17"/>
        <v>13.139271435654001</v>
      </c>
      <c r="AE62">
        <f t="shared" si="18"/>
        <v>-2.0804232238577199E-4</v>
      </c>
      <c r="AF62">
        <f t="shared" si="19"/>
        <v>3.4464528007559997E-3</v>
      </c>
      <c r="AG62">
        <f t="shared" si="36"/>
        <v>3781.1116662467293</v>
      </c>
      <c r="AH62">
        <f t="shared" si="37"/>
        <v>-518.39713338131241</v>
      </c>
      <c r="AJ62">
        <f t="shared" si="20"/>
        <v>18000</v>
      </c>
      <c r="AK62">
        <f t="shared" si="21"/>
        <v>993.71842775855998</v>
      </c>
      <c r="AL62">
        <v>1</v>
      </c>
      <c r="AM62">
        <f t="shared" si="22"/>
        <v>1.9552418140399204</v>
      </c>
      <c r="AN62">
        <f t="shared" si="38"/>
        <v>4134.9951464393889</v>
      </c>
      <c r="AO62">
        <f t="shared" si="39"/>
        <v>-7091.1969834118563</v>
      </c>
      <c r="AQ62">
        <f t="shared" si="23"/>
        <v>12.738853503184714</v>
      </c>
      <c r="AR62">
        <f t="shared" si="24"/>
        <v>-356.68789808917199</v>
      </c>
      <c r="AT62">
        <f t="shared" si="52"/>
        <v>-136738.95628573274</v>
      </c>
      <c r="AU62">
        <f t="shared" si="53"/>
        <v>-1355280.5578126081</v>
      </c>
      <c r="AV62">
        <f t="shared" si="42"/>
        <v>-1.6713495230965689</v>
      </c>
      <c r="AW62">
        <f t="shared" si="25"/>
        <v>-2465181.9055452822</v>
      </c>
      <c r="AX62">
        <f t="shared" si="26"/>
        <v>-1581492.6773118456</v>
      </c>
      <c r="AY62">
        <f t="shared" si="50"/>
        <v>-2.5711935004323769</v>
      </c>
      <c r="BA62">
        <f t="shared" si="27"/>
        <v>0.46508181905330753</v>
      </c>
      <c r="BB62">
        <f t="shared" si="43"/>
        <v>-6.64941275133729</v>
      </c>
      <c r="BC62">
        <f t="shared" si="44"/>
        <v>0.89984397733580801</v>
      </c>
      <c r="BD62">
        <f t="shared" si="28"/>
        <v>-128.44273781947973</v>
      </c>
      <c r="BF62">
        <f t="shared" si="29"/>
        <v>14.304651001413722</v>
      </c>
      <c r="BG62">
        <f t="shared" si="30"/>
        <v>-103.50107571930083</v>
      </c>
      <c r="BH62">
        <f t="shared" si="45"/>
        <v>76.498924280699171</v>
      </c>
      <c r="BI62">
        <f t="shared" si="46"/>
        <v>76.498924280699171</v>
      </c>
      <c r="BJ62">
        <f t="shared" si="31"/>
        <v>0</v>
      </c>
      <c r="BK62">
        <f t="shared" si="47"/>
        <v>0</v>
      </c>
      <c r="BM62">
        <f t="shared" si="48"/>
        <v>20.954063752751011</v>
      </c>
      <c r="BN62">
        <f t="shared" si="32"/>
        <v>-155.05833789982111</v>
      </c>
      <c r="BQ62" s="56">
        <f t="shared" si="49"/>
        <v>10.252548048947848</v>
      </c>
      <c r="BR62" s="59"/>
      <c r="BS62" s="59"/>
      <c r="BT62" s="59">
        <v>331.13099999999997</v>
      </c>
      <c r="BU62" s="59">
        <v>24.386800000000001</v>
      </c>
      <c r="BV62" s="59">
        <v>-265.09339999999997</v>
      </c>
      <c r="BW62" s="61"/>
      <c r="BY62" s="59"/>
      <c r="BZ62" s="59"/>
      <c r="CA62" s="59"/>
      <c r="CC62" s="59"/>
    </row>
    <row r="63" spans="1:81" x14ac:dyDescent="0.2">
      <c r="A63">
        <f t="shared" si="54"/>
        <v>14500</v>
      </c>
      <c r="B63">
        <f t="shared" si="33"/>
        <v>14.5</v>
      </c>
      <c r="C63">
        <f t="shared" si="0"/>
        <v>1.0000061196539465</v>
      </c>
      <c r="D63">
        <f t="shared" si="1"/>
        <v>3.4984633021197427E-3</v>
      </c>
      <c r="F63">
        <f t="shared" si="2"/>
        <v>0.66646209701192549</v>
      </c>
      <c r="G63">
        <f t="shared" si="3"/>
        <v>0.3988530512224554</v>
      </c>
      <c r="H63">
        <f t="shared" si="4"/>
        <v>-2.7427395987775447</v>
      </c>
      <c r="J63">
        <f t="shared" si="5"/>
        <v>15</v>
      </c>
      <c r="M63">
        <f t="shared" si="6"/>
        <v>1.5563783937945936E-2</v>
      </c>
      <c r="N63">
        <f t="shared" si="7"/>
        <v>-1.5707963250000001</v>
      </c>
      <c r="O63">
        <f t="shared" si="8"/>
        <v>13.645223322112168</v>
      </c>
      <c r="P63">
        <f t="shared" si="9"/>
        <v>1.4974448484432501</v>
      </c>
      <c r="Q63">
        <f t="shared" si="10"/>
        <v>2.2585207801603597</v>
      </c>
      <c r="R63">
        <f t="shared" si="11"/>
        <v>1.1121132641614802</v>
      </c>
      <c r="S63">
        <f t="shared" si="12"/>
        <v>0.9983693216292655</v>
      </c>
      <c r="T63">
        <f t="shared" si="13"/>
        <v>-5.7116052890207263E-2</v>
      </c>
      <c r="U63">
        <f t="shared" si="14"/>
        <v>0.99805133239685773</v>
      </c>
      <c r="V63">
        <f t="shared" si="15"/>
        <v>-6.2438783083293301E-2</v>
      </c>
      <c r="X63">
        <f t="shared" si="34"/>
        <v>13.584668198771748</v>
      </c>
      <c r="Y63">
        <f t="shared" si="16"/>
        <v>-104.28027742296734</v>
      </c>
      <c r="Z63">
        <f t="shared" si="35"/>
        <v>75.719722577032655</v>
      </c>
      <c r="AC63">
        <v>1</v>
      </c>
      <c r="AD63">
        <f t="shared" si="17"/>
        <v>13.608531129784499</v>
      </c>
      <c r="AE63">
        <f t="shared" si="18"/>
        <v>-2.2316784837555392E-4</v>
      </c>
      <c r="AF63">
        <f t="shared" si="19"/>
        <v>3.5695404007829996E-3</v>
      </c>
      <c r="AG63">
        <f t="shared" si="36"/>
        <v>3780.1138679232404</v>
      </c>
      <c r="AH63">
        <f t="shared" si="37"/>
        <v>-516.48102319128191</v>
      </c>
      <c r="AJ63">
        <f t="shared" si="20"/>
        <v>18000</v>
      </c>
      <c r="AK63">
        <f t="shared" si="21"/>
        <v>1029.2083716070799</v>
      </c>
      <c r="AL63">
        <v>1</v>
      </c>
      <c r="AM63">
        <f t="shared" si="22"/>
        <v>2.0250718788270601</v>
      </c>
      <c r="AN63">
        <f t="shared" si="38"/>
        <v>3937.3752636380473</v>
      </c>
      <c r="AO63">
        <f t="shared" si="39"/>
        <v>-6944.2595511756117</v>
      </c>
      <c r="AQ63">
        <f t="shared" si="23"/>
        <v>11.876484560570072</v>
      </c>
      <c r="AR63">
        <f t="shared" si="24"/>
        <v>-344.41805225653206</v>
      </c>
      <c r="AT63">
        <f t="shared" si="52"/>
        <v>-132990.9240454149</v>
      </c>
      <c r="AU63">
        <f t="shared" si="53"/>
        <v>-1308073.434595787</v>
      </c>
      <c r="AV63">
        <f t="shared" si="42"/>
        <v>-1.6721174872303284</v>
      </c>
      <c r="AW63">
        <f t="shared" si="25"/>
        <v>-2333875.2292368044</v>
      </c>
      <c r="AX63">
        <f t="shared" si="26"/>
        <v>-1454483.0697777783</v>
      </c>
      <c r="AY63">
        <f t="shared" si="50"/>
        <v>-2.5842850558749175</v>
      </c>
      <c r="BA63">
        <f t="shared" si="27"/>
        <v>0.47811529904455158</v>
      </c>
      <c r="BB63">
        <f t="shared" si="43"/>
        <v>-6.4093471848868964</v>
      </c>
      <c r="BC63">
        <f t="shared" si="44"/>
        <v>0.91216756864458914</v>
      </c>
      <c r="BD63">
        <f t="shared" si="28"/>
        <v>-127.73664804823565</v>
      </c>
      <c r="BF63">
        <f t="shared" si="29"/>
        <v>13.588040256408755</v>
      </c>
      <c r="BG63">
        <f t="shared" si="30"/>
        <v>-104.68360435893889</v>
      </c>
      <c r="BH63">
        <f t="shared" si="45"/>
        <v>75.316395641061106</v>
      </c>
      <c r="BI63">
        <f t="shared" si="46"/>
        <v>75.316395641061106</v>
      </c>
      <c r="BJ63">
        <f t="shared" si="31"/>
        <v>0</v>
      </c>
      <c r="BK63">
        <f t="shared" si="47"/>
        <v>0</v>
      </c>
      <c r="BM63">
        <f t="shared" si="48"/>
        <v>19.997387441295654</v>
      </c>
      <c r="BN63">
        <f t="shared" si="32"/>
        <v>-156.94695631070326</v>
      </c>
      <c r="BQ63" s="56">
        <f t="shared" si="49"/>
        <v>10.492613615398241</v>
      </c>
      <c r="BR63" s="59"/>
      <c r="BS63" s="59"/>
      <c r="BT63" s="59">
        <v>338.84399999999999</v>
      </c>
      <c r="BU63" s="59">
        <v>24.136900000000001</v>
      </c>
      <c r="BV63" s="59">
        <v>-266.42009999999999</v>
      </c>
      <c r="BW63" s="61"/>
      <c r="BY63" s="59"/>
      <c r="BZ63" s="59"/>
      <c r="CA63" s="59"/>
      <c r="CC63" s="59"/>
    </row>
    <row r="64" spans="1:81" x14ac:dyDescent="0.2">
      <c r="A64">
        <f t="shared" si="54"/>
        <v>15000</v>
      </c>
      <c r="B64">
        <f t="shared" si="33"/>
        <v>15</v>
      </c>
      <c r="C64">
        <f t="shared" si="0"/>
        <v>1.00000654897428</v>
      </c>
      <c r="D64">
        <f t="shared" si="1"/>
        <v>3.6190989318795681E-3</v>
      </c>
      <c r="F64">
        <f t="shared" si="2"/>
        <v>0.60111303005519523</v>
      </c>
      <c r="G64">
        <f t="shared" si="3"/>
        <v>0.37079878973581398</v>
      </c>
      <c r="H64">
        <f t="shared" si="4"/>
        <v>-2.7707938602641864</v>
      </c>
      <c r="J64">
        <f t="shared" si="5"/>
        <v>15</v>
      </c>
      <c r="M64">
        <f t="shared" si="6"/>
        <v>1.5044991140014407E-2</v>
      </c>
      <c r="N64">
        <f t="shared" si="7"/>
        <v>-1.5707963250000001</v>
      </c>
      <c r="O64">
        <f t="shared" si="8"/>
        <v>14.113263069960306</v>
      </c>
      <c r="P64">
        <f t="shared" si="9"/>
        <v>1.4998815682771118</v>
      </c>
      <c r="Q64">
        <f t="shared" si="10"/>
        <v>2.3213388708584866</v>
      </c>
      <c r="R64">
        <f t="shared" si="11"/>
        <v>1.1254329092263247</v>
      </c>
      <c r="S64">
        <f t="shared" si="12"/>
        <v>0.99825522131091826</v>
      </c>
      <c r="T64">
        <f t="shared" si="13"/>
        <v>-5.908106804601132E-2</v>
      </c>
      <c r="U64">
        <f t="shared" si="14"/>
        <v>0.99791505169982075</v>
      </c>
      <c r="V64">
        <f t="shared" si="15"/>
        <v>-6.4585961397680289E-2</v>
      </c>
      <c r="X64">
        <f t="shared" si="34"/>
        <v>12.922866516017139</v>
      </c>
      <c r="Y64">
        <f t="shared" si="16"/>
        <v>-105.21359441334991</v>
      </c>
      <c r="Z64">
        <f t="shared" si="35"/>
        <v>74.786405586650091</v>
      </c>
      <c r="AC64">
        <v>1</v>
      </c>
      <c r="AD64">
        <f t="shared" si="17"/>
        <v>14.077790823915</v>
      </c>
      <c r="AE64">
        <f t="shared" si="18"/>
        <v>-2.3882409457550352E-4</v>
      </c>
      <c r="AF64">
        <f t="shared" si="19"/>
        <v>3.69262800081E-3</v>
      </c>
      <c r="AG64">
        <f t="shared" si="36"/>
        <v>3779.0816136401304</v>
      </c>
      <c r="AH64">
        <f t="shared" si="37"/>
        <v>-515.2254016075284</v>
      </c>
      <c r="AJ64">
        <f t="shared" si="20"/>
        <v>18000</v>
      </c>
      <c r="AK64">
        <f t="shared" si="21"/>
        <v>1064.6983154556001</v>
      </c>
      <c r="AL64">
        <v>1</v>
      </c>
      <c r="AM64">
        <f t="shared" si="22"/>
        <v>2.0949019436142002</v>
      </c>
      <c r="AN64">
        <f t="shared" si="38"/>
        <v>3754.2934035834992</v>
      </c>
      <c r="AO64">
        <f t="shared" si="39"/>
        <v>-6800.1782326094435</v>
      </c>
      <c r="AQ64">
        <f t="shared" si="23"/>
        <v>11.098779134295228</v>
      </c>
      <c r="AR64">
        <f t="shared" si="24"/>
        <v>-332.96337402885683</v>
      </c>
      <c r="AT64">
        <f t="shared" si="52"/>
        <v>-129607.99594434764</v>
      </c>
      <c r="AU64">
        <f t="shared" si="53"/>
        <v>-1264014.1377448551</v>
      </c>
      <c r="AV64">
        <f t="shared" si="42"/>
        <v>-1.6729760508321143</v>
      </c>
      <c r="AW64">
        <f t="shared" si="25"/>
        <v>-2211818.4321408588</v>
      </c>
      <c r="AX64">
        <f t="shared" si="26"/>
        <v>-1341082.7206199185</v>
      </c>
      <c r="AY64">
        <f t="shared" si="50"/>
        <v>-2.5965347614337362</v>
      </c>
      <c r="BA64">
        <f t="shared" si="27"/>
        <v>0.49123477853926562</v>
      </c>
      <c r="BB64">
        <f t="shared" si="43"/>
        <v>-6.1742178701958137</v>
      </c>
      <c r="BC64">
        <f t="shared" si="44"/>
        <v>0.92355871060162187</v>
      </c>
      <c r="BD64">
        <f t="shared" si="28"/>
        <v>-127.08398368951751</v>
      </c>
      <c r="BF64">
        <f t="shared" si="29"/>
        <v>12.926787035912371</v>
      </c>
      <c r="BG64">
        <f t="shared" si="30"/>
        <v>-105.6314188701464</v>
      </c>
      <c r="BH64">
        <f t="shared" si="45"/>
        <v>74.368581129853595</v>
      </c>
      <c r="BI64">
        <f t="shared" si="46"/>
        <v>74.368581129853595</v>
      </c>
      <c r="BJ64">
        <f t="shared" si="31"/>
        <v>0</v>
      </c>
      <c r="BK64">
        <f t="shared" si="47"/>
        <v>0</v>
      </c>
      <c r="BM64">
        <f t="shared" si="48"/>
        <v>19.101004906108184</v>
      </c>
      <c r="BN64">
        <f t="shared" si="32"/>
        <v>-158.5474351806289</v>
      </c>
      <c r="BQ64" s="56">
        <f t="shared" si="49"/>
        <v>10.727742930089324</v>
      </c>
      <c r="BR64" s="59"/>
      <c r="BS64" s="59"/>
      <c r="BT64" s="59">
        <v>346.73700000000002</v>
      </c>
      <c r="BU64" s="59">
        <v>24.040400000000002</v>
      </c>
      <c r="BV64" s="59">
        <v>-265.87940000000003</v>
      </c>
      <c r="BW64" s="61"/>
      <c r="BY64" s="59"/>
      <c r="BZ64" s="59"/>
      <c r="CA64" s="59"/>
      <c r="CC64" s="59"/>
    </row>
    <row r="65" spans="1:81" x14ac:dyDescent="0.2">
      <c r="A65">
        <f t="shared" si="54"/>
        <v>15500</v>
      </c>
      <c r="B65">
        <f t="shared" si="33"/>
        <v>15.5</v>
      </c>
      <c r="C65">
        <f t="shared" si="0"/>
        <v>1.0000069928476516</v>
      </c>
      <c r="D65">
        <f t="shared" si="1"/>
        <v>3.7397344563018572E-3</v>
      </c>
      <c r="F65">
        <f t="shared" si="2"/>
        <v>0.54551631915318188</v>
      </c>
      <c r="G65">
        <f t="shared" si="3"/>
        <v>0.34671170715379757</v>
      </c>
      <c r="H65">
        <f t="shared" si="4"/>
        <v>-2.7948809428462025</v>
      </c>
      <c r="J65">
        <f t="shared" si="5"/>
        <v>15</v>
      </c>
      <c r="M65">
        <f t="shared" si="6"/>
        <v>1.4559668845175231E-2</v>
      </c>
      <c r="N65">
        <f t="shared" si="7"/>
        <v>-1.5707963250000001</v>
      </c>
      <c r="O65">
        <f t="shared" si="8"/>
        <v>14.581381236857085</v>
      </c>
      <c r="P65">
        <f t="shared" si="9"/>
        <v>1.5021618448625043</v>
      </c>
      <c r="Q65">
        <f t="shared" si="10"/>
        <v>2.3845470572411234</v>
      </c>
      <c r="R65">
        <f t="shared" si="11"/>
        <v>1.1380485560962121</v>
      </c>
      <c r="S65">
        <f t="shared" si="12"/>
        <v>0.99813729430759657</v>
      </c>
      <c r="T65">
        <f t="shared" si="13"/>
        <v>-6.1045626519322847E-2</v>
      </c>
      <c r="U65">
        <f t="shared" si="14"/>
        <v>0.99777420999842092</v>
      </c>
      <c r="V65">
        <f t="shared" si="15"/>
        <v>-6.6732543518165113E-2</v>
      </c>
      <c r="X65">
        <f t="shared" si="34"/>
        <v>12.309613193475187</v>
      </c>
      <c r="Y65">
        <f t="shared" si="16"/>
        <v>-105.96884813960871</v>
      </c>
      <c r="Z65">
        <f t="shared" si="35"/>
        <v>74.03115186039129</v>
      </c>
      <c r="AC65">
        <v>1</v>
      </c>
      <c r="AD65">
        <f t="shared" si="17"/>
        <v>14.5470505180455</v>
      </c>
      <c r="AE65">
        <f t="shared" si="18"/>
        <v>-2.5501106098562104E-4</v>
      </c>
      <c r="AF65">
        <f t="shared" si="19"/>
        <v>3.8157156008369999E-3</v>
      </c>
      <c r="AG65">
        <f t="shared" si="36"/>
        <v>3778.0149602745601</v>
      </c>
      <c r="AH65">
        <f t="shared" si="37"/>
        <v>-514.56549932821861</v>
      </c>
      <c r="AJ65">
        <f t="shared" si="20"/>
        <v>18000</v>
      </c>
      <c r="AK65">
        <f t="shared" si="21"/>
        <v>1100.18825930412</v>
      </c>
      <c r="AL65">
        <v>1</v>
      </c>
      <c r="AM65">
        <f t="shared" si="22"/>
        <v>2.1647320084013399</v>
      </c>
      <c r="AN65">
        <f t="shared" si="38"/>
        <v>3584.4848642294346</v>
      </c>
      <c r="AO65">
        <f t="shared" si="39"/>
        <v>-6659.2608599234691</v>
      </c>
      <c r="AQ65">
        <f t="shared" si="23"/>
        <v>10.395010395010395</v>
      </c>
      <c r="AR65">
        <f t="shared" si="24"/>
        <v>-322.24532224532226</v>
      </c>
      <c r="AT65">
        <f t="shared" si="52"/>
        <v>-126543.82036278813</v>
      </c>
      <c r="AU65">
        <f t="shared" si="53"/>
        <v>-1222796.5620357546</v>
      </c>
      <c r="AV65">
        <f t="shared" si="42"/>
        <v>-1.6739164698102</v>
      </c>
      <c r="AW65">
        <f t="shared" si="25"/>
        <v>-2098271.7704675449</v>
      </c>
      <c r="AX65">
        <f t="shared" si="26"/>
        <v>-1239543.8596983212</v>
      </c>
      <c r="AY65">
        <f t="shared" si="50"/>
        <v>-2.6080059870437884</v>
      </c>
      <c r="BA65">
        <f t="shared" si="27"/>
        <v>0.50443236121451618</v>
      </c>
      <c r="BB65">
        <f t="shared" si="43"/>
        <v>-5.9439411919369043</v>
      </c>
      <c r="BC65">
        <f t="shared" si="44"/>
        <v>0.93408951723358835</v>
      </c>
      <c r="BD65">
        <f t="shared" si="28"/>
        <v>-126.48061291394799</v>
      </c>
      <c r="BF65">
        <f t="shared" si="29"/>
        <v>12.314099669347058</v>
      </c>
      <c r="BG65">
        <f t="shared" si="30"/>
        <v>-106.40122436246983</v>
      </c>
      <c r="BH65">
        <f t="shared" si="45"/>
        <v>73.598775637530167</v>
      </c>
      <c r="BI65">
        <f t="shared" si="46"/>
        <v>73.598775637530167</v>
      </c>
      <c r="BJ65">
        <f t="shared" si="31"/>
        <v>0</v>
      </c>
      <c r="BK65">
        <f t="shared" si="47"/>
        <v>0</v>
      </c>
      <c r="BM65">
        <f t="shared" si="48"/>
        <v>18.258040861283963</v>
      </c>
      <c r="BN65">
        <f t="shared" si="32"/>
        <v>-159.92061144852184</v>
      </c>
      <c r="BQ65" s="56">
        <f t="shared" si="49"/>
        <v>10.958019608348232</v>
      </c>
      <c r="BR65" s="59"/>
      <c r="BS65" s="59"/>
      <c r="BT65" s="59">
        <v>354.81299999999999</v>
      </c>
      <c r="BU65" s="59">
        <v>23.629000000000001</v>
      </c>
      <c r="BV65" s="59">
        <v>-265.95490000000001</v>
      </c>
      <c r="BW65" s="61"/>
      <c r="BY65" s="59"/>
      <c r="BZ65" s="59"/>
      <c r="CA65" s="59"/>
      <c r="CC65" s="59"/>
    </row>
    <row r="66" spans="1:81" x14ac:dyDescent="0.2">
      <c r="A66">
        <f t="shared" si="54"/>
        <v>16000</v>
      </c>
      <c r="B66">
        <f t="shared" si="33"/>
        <v>16</v>
      </c>
      <c r="C66">
        <f t="shared" si="0"/>
        <v>1.0000074512740416</v>
      </c>
      <c r="D66">
        <f t="shared" si="1"/>
        <v>3.860369871875552E-3</v>
      </c>
      <c r="F66">
        <f t="shared" si="2"/>
        <v>0.49777413235280421</v>
      </c>
      <c r="G66">
        <f t="shared" si="3"/>
        <v>0.32580356515633163</v>
      </c>
      <c r="H66">
        <f t="shared" si="4"/>
        <v>-2.8157890848436686</v>
      </c>
      <c r="J66">
        <f t="shared" si="5"/>
        <v>15</v>
      </c>
      <c r="M66">
        <f t="shared" si="6"/>
        <v>1.4104679193763507E-2</v>
      </c>
      <c r="N66">
        <f t="shared" si="7"/>
        <v>-1.5707963250000001</v>
      </c>
      <c r="O66">
        <f t="shared" si="8"/>
        <v>15.049570505110809</v>
      </c>
      <c r="P66">
        <f t="shared" si="9"/>
        <v>1.5043002540582124</v>
      </c>
      <c r="Q66">
        <f t="shared" si="10"/>
        <v>2.4481151237089316</v>
      </c>
      <c r="R66">
        <f t="shared" si="11"/>
        <v>1.1500108665286126</v>
      </c>
      <c r="S66">
        <f t="shared" si="12"/>
        <v>0.99801554470562781</v>
      </c>
      <c r="T66">
        <f t="shared" si="13"/>
        <v>-6.3009713310341844E-2</v>
      </c>
      <c r="U66">
        <f t="shared" si="14"/>
        <v>0.99762881311650675</v>
      </c>
      <c r="V66">
        <f t="shared" si="15"/>
        <v>-6.887850991933854E-2</v>
      </c>
      <c r="X66">
        <f t="shared" si="34"/>
        <v>11.739045282452594</v>
      </c>
      <c r="Y66">
        <f t="shared" si="16"/>
        <v>-106.58746151275741</v>
      </c>
      <c r="Z66">
        <f t="shared" si="35"/>
        <v>73.412538487242585</v>
      </c>
      <c r="AC66">
        <v>1</v>
      </c>
      <c r="AD66">
        <f t="shared" si="17"/>
        <v>15.016310212175998</v>
      </c>
      <c r="AE66">
        <f t="shared" si="18"/>
        <v>-2.7172874760590627E-4</v>
      </c>
      <c r="AF66">
        <f t="shared" si="19"/>
        <v>3.9388032008639993E-3</v>
      </c>
      <c r="AG66">
        <f t="shared" si="36"/>
        <v>3776.9139665499956</v>
      </c>
      <c r="AH66">
        <f t="shared" si="37"/>
        <v>-514.44461645136425</v>
      </c>
      <c r="AJ66">
        <f t="shared" si="20"/>
        <v>18000</v>
      </c>
      <c r="AK66">
        <f t="shared" si="21"/>
        <v>1135.67820315264</v>
      </c>
      <c r="AL66">
        <v>1</v>
      </c>
      <c r="AM66">
        <f t="shared" si="22"/>
        <v>2.2345620731884801</v>
      </c>
      <c r="AN66">
        <f t="shared" si="38"/>
        <v>3426.8023070022859</v>
      </c>
      <c r="AO66">
        <f t="shared" si="39"/>
        <v>-6521.7242643894551</v>
      </c>
      <c r="AQ66">
        <f t="shared" si="23"/>
        <v>9.7560975609756095</v>
      </c>
      <c r="AR66">
        <f t="shared" si="24"/>
        <v>-312.19512195121951</v>
      </c>
      <c r="AT66">
        <f t="shared" si="52"/>
        <v>-123759.15863310889</v>
      </c>
      <c r="AU66">
        <f t="shared" si="53"/>
        <v>-1184153.0882541582</v>
      </c>
      <c r="AV66">
        <f t="shared" si="42"/>
        <v>-1.6749310760206508</v>
      </c>
      <c r="AW66">
        <f t="shared" si="25"/>
        <v>-1992551.5828941066</v>
      </c>
      <c r="AX66">
        <f t="shared" si="26"/>
        <v>-1148375.5190734272</v>
      </c>
      <c r="AY66">
        <f t="shared" si="50"/>
        <v>-2.6187563041231479</v>
      </c>
      <c r="BA66">
        <f t="shared" si="27"/>
        <v>0.51770091890715986</v>
      </c>
      <c r="BB66">
        <f t="shared" si="43"/>
        <v>-5.7184212830959416</v>
      </c>
      <c r="BC66">
        <f t="shared" si="44"/>
        <v>0.94382522810249703</v>
      </c>
      <c r="BD66">
        <f t="shared" si="28"/>
        <v>-125.92279776996249</v>
      </c>
      <c r="BF66">
        <f t="shared" si="29"/>
        <v>11.744115099433863</v>
      </c>
      <c r="BG66">
        <f t="shared" si="30"/>
        <v>-107.03444561358813</v>
      </c>
      <c r="BH66">
        <f t="shared" si="45"/>
        <v>72.965554386411867</v>
      </c>
      <c r="BI66">
        <f t="shared" si="46"/>
        <v>72.965554386411867</v>
      </c>
      <c r="BJ66">
        <f t="shared" si="31"/>
        <v>0</v>
      </c>
      <c r="BK66">
        <f t="shared" si="47"/>
        <v>0</v>
      </c>
      <c r="BM66">
        <f t="shared" si="48"/>
        <v>17.462536382529805</v>
      </c>
      <c r="BN66">
        <f t="shared" si="32"/>
        <v>-161.11164784362563</v>
      </c>
      <c r="BQ66" s="56">
        <f t="shared" si="49"/>
        <v>11.183539517189196</v>
      </c>
      <c r="BR66" s="59"/>
      <c r="BS66" s="59"/>
      <c r="BT66" s="59">
        <v>363.07799999999997</v>
      </c>
      <c r="BU66" s="59">
        <v>23.6126</v>
      </c>
      <c r="BV66" s="59">
        <v>-265.39159999999998</v>
      </c>
      <c r="BW66" s="61"/>
      <c r="BY66" s="59"/>
      <c r="BZ66" s="59"/>
      <c r="CA66" s="59"/>
      <c r="CC66" s="59"/>
    </row>
    <row r="67" spans="1:81" x14ac:dyDescent="0.2">
      <c r="A67">
        <f t="shared" si="54"/>
        <v>16500</v>
      </c>
      <c r="B67">
        <f t="shared" si="33"/>
        <v>16.5</v>
      </c>
      <c r="C67">
        <f t="shared" si="0"/>
        <v>1.0000079242534299</v>
      </c>
      <c r="D67">
        <f t="shared" si="1"/>
        <v>3.9810051750896131E-3</v>
      </c>
      <c r="F67">
        <f t="shared" si="2"/>
        <v>0.45642938940358896</v>
      </c>
      <c r="G67">
        <f t="shared" si="3"/>
        <v>0.30747897532540286</v>
      </c>
      <c r="H67">
        <f t="shared" si="4"/>
        <v>-2.8341136746745974</v>
      </c>
      <c r="J67">
        <f t="shared" si="5"/>
        <v>15</v>
      </c>
      <c r="M67">
        <f t="shared" si="6"/>
        <v>1.3677264672740368E-2</v>
      </c>
      <c r="N67">
        <f t="shared" si="7"/>
        <v>-1.5707963250000001</v>
      </c>
      <c r="O67">
        <f t="shared" si="8"/>
        <v>15.517824439112124</v>
      </c>
      <c r="P67">
        <f t="shared" si="9"/>
        <v>1.5063096180037685</v>
      </c>
      <c r="Q67">
        <f t="shared" si="10"/>
        <v>2.5120157494657254</v>
      </c>
      <c r="R67">
        <f t="shared" si="11"/>
        <v>1.1613661396203963</v>
      </c>
      <c r="S67">
        <f t="shared" si="12"/>
        <v>0.99788997672109192</v>
      </c>
      <c r="T67">
        <f t="shared" si="13"/>
        <v>-6.4973313441026637E-2</v>
      </c>
      <c r="U67">
        <f t="shared" si="14"/>
        <v>0.99747886706167832</v>
      </c>
      <c r="V67">
        <f t="shared" si="15"/>
        <v>-7.1023841109674482E-2</v>
      </c>
      <c r="X67">
        <f t="shared" si="34"/>
        <v>11.206142165987485</v>
      </c>
      <c r="Y67">
        <f t="shared" si="16"/>
        <v>-107.10015840426922</v>
      </c>
      <c r="Z67">
        <f t="shared" si="35"/>
        <v>72.899841595730777</v>
      </c>
      <c r="AC67">
        <v>1</v>
      </c>
      <c r="AD67">
        <f t="shared" si="17"/>
        <v>15.4855699063065</v>
      </c>
      <c r="AE67">
        <f t="shared" si="18"/>
        <v>-2.8897715443635931E-4</v>
      </c>
      <c r="AF67">
        <f t="shared" si="19"/>
        <v>4.0618908008910005E-3</v>
      </c>
      <c r="AG67">
        <f t="shared" si="36"/>
        <v>3775.7786930281795</v>
      </c>
      <c r="AH67">
        <f t="shared" si="37"/>
        <v>-514.81289995142674</v>
      </c>
      <c r="AJ67">
        <f t="shared" si="20"/>
        <v>18000</v>
      </c>
      <c r="AK67">
        <f t="shared" si="21"/>
        <v>1171.1681470011602</v>
      </c>
      <c r="AL67">
        <v>1</v>
      </c>
      <c r="AM67">
        <f t="shared" si="22"/>
        <v>2.3043921379756203</v>
      </c>
      <c r="AN67">
        <f t="shared" si="38"/>
        <v>3280.2058276421731</v>
      </c>
      <c r="AO67">
        <f t="shared" si="39"/>
        <v>-6387.7123731592765</v>
      </c>
      <c r="AQ67">
        <f t="shared" si="23"/>
        <v>9.1743119266055047</v>
      </c>
      <c r="AR67">
        <f t="shared" si="24"/>
        <v>-302.75229357798167</v>
      </c>
      <c r="AT67">
        <f t="shared" si="52"/>
        <v>-121220.61472815509</v>
      </c>
      <c r="AU67">
        <f t="shared" si="53"/>
        <v>-1147848.7134851501</v>
      </c>
      <c r="AV67">
        <f t="shared" si="42"/>
        <v>-1.6760131167769239</v>
      </c>
      <c r="AW67">
        <f t="shared" si="25"/>
        <v>-1894028.5338811288</v>
      </c>
      <c r="AX67">
        <f t="shared" si="26"/>
        <v>-1066301.5695283322</v>
      </c>
      <c r="AY67">
        <f t="shared" si="50"/>
        <v>-2.6288380835183149</v>
      </c>
      <c r="BA67">
        <f t="shared" si="27"/>
        <v>0.53103400055031313</v>
      </c>
      <c r="BB67">
        <f t="shared" si="43"/>
        <v>-5.497553428515527</v>
      </c>
      <c r="BC67">
        <f t="shared" si="44"/>
        <v>0.95282496674139106</v>
      </c>
      <c r="BD67">
        <f t="shared" si="28"/>
        <v>-125.40715072864384</v>
      </c>
      <c r="BF67">
        <f t="shared" si="29"/>
        <v>11.211812597266661</v>
      </c>
      <c r="BG67">
        <f t="shared" si="30"/>
        <v>-107.56180833834742</v>
      </c>
      <c r="BH67">
        <f t="shared" si="45"/>
        <v>72.438191661652581</v>
      </c>
      <c r="BI67">
        <f t="shared" si="46"/>
        <v>72.438191661652581</v>
      </c>
      <c r="BJ67">
        <f t="shared" si="31"/>
        <v>0</v>
      </c>
      <c r="BK67">
        <f t="shared" si="47"/>
        <v>0</v>
      </c>
      <c r="BM67">
        <f t="shared" si="48"/>
        <v>16.709366025782188</v>
      </c>
      <c r="BN67">
        <f t="shared" si="32"/>
        <v>-162.15465760970358</v>
      </c>
      <c r="BQ67" s="56">
        <f t="shared" si="49"/>
        <v>11.40440737176961</v>
      </c>
      <c r="BR67" s="59"/>
      <c r="BS67" s="59"/>
      <c r="BT67" s="59">
        <v>371.53500000000003</v>
      </c>
      <c r="BU67" s="59">
        <v>23.315999999999999</v>
      </c>
      <c r="BV67" s="59">
        <v>-265.2439</v>
      </c>
      <c r="BW67" s="61"/>
      <c r="BY67" s="59"/>
      <c r="BZ67" s="59"/>
      <c r="CA67" s="59"/>
      <c r="CC67" s="59"/>
    </row>
    <row r="68" spans="1:81" x14ac:dyDescent="0.2">
      <c r="A68">
        <f t="shared" si="54"/>
        <v>17000</v>
      </c>
      <c r="B68">
        <f t="shared" si="33"/>
        <v>17</v>
      </c>
      <c r="C68">
        <f t="shared" si="0"/>
        <v>1.0000084117857961</v>
      </c>
      <c r="D68">
        <f t="shared" si="1"/>
        <v>4.1016403624330221E-3</v>
      </c>
      <c r="F68">
        <f t="shared" si="2"/>
        <v>0.420350445305048</v>
      </c>
      <c r="G68">
        <f t="shared" si="3"/>
        <v>0.29128093590687826</v>
      </c>
      <c r="H68">
        <f t="shared" si="4"/>
        <v>-2.850311714093122</v>
      </c>
      <c r="J68">
        <f t="shared" si="5"/>
        <v>15</v>
      </c>
      <c r="M68">
        <f t="shared" si="6"/>
        <v>1.3274992182365651E-2</v>
      </c>
      <c r="N68">
        <f t="shared" si="7"/>
        <v>-1.5707963250000001</v>
      </c>
      <c r="O68">
        <f t="shared" si="8"/>
        <v>15.986137356440445</v>
      </c>
      <c r="P68">
        <f t="shared" si="9"/>
        <v>1.5082012608303179</v>
      </c>
      <c r="Q68">
        <f t="shared" si="10"/>
        <v>2.5762241882436503</v>
      </c>
      <c r="R68">
        <f t="shared" si="11"/>
        <v>1.1721567214245172</v>
      </c>
      <c r="S68">
        <f t="shared" si="12"/>
        <v>0.99776059469941902</v>
      </c>
      <c r="T68">
        <f t="shared" si="13"/>
        <v>-6.6936411955768327E-2</v>
      </c>
      <c r="U68">
        <f t="shared" si="14"/>
        <v>0.99732437802460261</v>
      </c>
      <c r="V68">
        <f t="shared" si="15"/>
        <v>-7.3168517632571983E-2</v>
      </c>
      <c r="X68">
        <f t="shared" si="34"/>
        <v>10.706613492490245</v>
      </c>
      <c r="Y68">
        <f t="shared" si="16"/>
        <v>-107.53004603940455</v>
      </c>
      <c r="Z68">
        <f t="shared" si="35"/>
        <v>72.469953960595447</v>
      </c>
      <c r="AC68">
        <v>1</v>
      </c>
      <c r="AD68">
        <f t="shared" si="17"/>
        <v>15.954829600437</v>
      </c>
      <c r="AE68">
        <f t="shared" si="18"/>
        <v>-3.0675628147698017E-4</v>
      </c>
      <c r="AF68">
        <f t="shared" si="19"/>
        <v>4.184978400918E-3</v>
      </c>
      <c r="AG68">
        <f t="shared" si="36"/>
        <v>3774.609202100849</v>
      </c>
      <c r="AH68">
        <f t="shared" si="37"/>
        <v>-515.62633689863321</v>
      </c>
      <c r="AJ68">
        <f t="shared" si="20"/>
        <v>18000</v>
      </c>
      <c r="AK68">
        <f t="shared" si="21"/>
        <v>1206.6580908496799</v>
      </c>
      <c r="AL68">
        <v>1</v>
      </c>
      <c r="AM68">
        <f t="shared" si="22"/>
        <v>2.3742222027627604</v>
      </c>
      <c r="AN68">
        <f t="shared" si="38"/>
        <v>3143.753372812715</v>
      </c>
      <c r="AO68">
        <f t="shared" si="39"/>
        <v>-6257.3109668925827</v>
      </c>
      <c r="AQ68">
        <f t="shared" si="23"/>
        <v>8.6430423509075194</v>
      </c>
      <c r="AR68">
        <f t="shared" si="24"/>
        <v>-293.86343993085563</v>
      </c>
      <c r="AT68">
        <f t="shared" si="52"/>
        <v>-118899.62188809575</v>
      </c>
      <c r="AU68">
        <f t="shared" si="53"/>
        <v>-1113676.224791076</v>
      </c>
      <c r="AV68">
        <f t="shared" si="42"/>
        <v>-1.6771566221880421</v>
      </c>
      <c r="AW68">
        <f t="shared" si="25"/>
        <v>-1802124.9675163834</v>
      </c>
      <c r="AX68">
        <f t="shared" si="26"/>
        <v>-992226.23767551559</v>
      </c>
      <c r="AY68">
        <f t="shared" si="50"/>
        <v>-2.638299028137566</v>
      </c>
      <c r="BA68">
        <f t="shared" si="27"/>
        <v>0.54442575333086662</v>
      </c>
      <c r="BB68">
        <f t="shared" si="43"/>
        <v>-5.2812267852834172</v>
      </c>
      <c r="BC68">
        <f t="shared" si="44"/>
        <v>0.96114240594952394</v>
      </c>
      <c r="BD68">
        <f t="shared" si="28"/>
        <v>-124.93059656511664</v>
      </c>
      <c r="BF68">
        <f t="shared" si="29"/>
        <v>10.712901695972279</v>
      </c>
      <c r="BG68">
        <f t="shared" si="30"/>
        <v>-108.00642158384527</v>
      </c>
      <c r="BH68">
        <f t="shared" si="45"/>
        <v>71.993578416154733</v>
      </c>
      <c r="BI68">
        <f t="shared" si="46"/>
        <v>71.993578416154733</v>
      </c>
      <c r="BJ68">
        <f t="shared" si="31"/>
        <v>0</v>
      </c>
      <c r="BK68">
        <f t="shared" si="47"/>
        <v>0</v>
      </c>
      <c r="BM68">
        <f t="shared" si="48"/>
        <v>15.994128481255697</v>
      </c>
      <c r="BN68">
        <f t="shared" si="32"/>
        <v>-163.07582501872861</v>
      </c>
      <c r="BQ68" s="56">
        <f t="shared" si="49"/>
        <v>11.62073401500172</v>
      </c>
      <c r="BR68" s="59"/>
      <c r="BS68" s="59"/>
      <c r="BT68" s="59">
        <v>380.18900000000002</v>
      </c>
      <c r="BU68" s="59">
        <v>23.2133</v>
      </c>
      <c r="BV68" s="59">
        <v>-265.49869999999999</v>
      </c>
      <c r="BW68" s="61"/>
      <c r="BY68" s="59"/>
      <c r="BZ68" s="59"/>
      <c r="CA68" s="59"/>
      <c r="CC68" s="59"/>
    </row>
    <row r="69" spans="1:81" x14ac:dyDescent="0.2">
      <c r="A69">
        <f t="shared" si="54"/>
        <v>17500</v>
      </c>
      <c r="B69">
        <f t="shared" si="33"/>
        <v>17.5</v>
      </c>
      <c r="C69">
        <f t="shared" si="0"/>
        <v>1.0000089138711188</v>
      </c>
      <c r="D69">
        <f t="shared" si="1"/>
        <v>4.222275430394779E-3</v>
      </c>
      <c r="F69">
        <f t="shared" si="2"/>
        <v>0.38864831645632325</v>
      </c>
      <c r="G69">
        <f t="shared" si="3"/>
        <v>0.27685345562199171</v>
      </c>
      <c r="H69">
        <f t="shared" si="4"/>
        <v>-2.8647391943780085</v>
      </c>
      <c r="J69">
        <f t="shared" si="5"/>
        <v>15</v>
      </c>
      <c r="M69">
        <f t="shared" si="6"/>
        <v>1.289570669144092E-2</v>
      </c>
      <c r="N69">
        <f t="shared" si="7"/>
        <v>-1.5707963250000001</v>
      </c>
      <c r="O69">
        <f t="shared" si="8"/>
        <v>16.454504220909445</v>
      </c>
      <c r="P69">
        <f t="shared" si="9"/>
        <v>1.5099852209517177</v>
      </c>
      <c r="Q69">
        <f t="shared" si="10"/>
        <v>2.6407179869338204</v>
      </c>
      <c r="R69">
        <f t="shared" si="11"/>
        <v>1.1824213773041226</v>
      </c>
      <c r="S69">
        <f t="shared" si="12"/>
        <v>0.99762740311497389</v>
      </c>
      <c r="T69">
        <f t="shared" si="13"/>
        <v>-6.889899392206271E-2</v>
      </c>
      <c r="U69">
        <f t="shared" si="14"/>
        <v>0.9971653523783085</v>
      </c>
      <c r="V69">
        <f t="shared" si="15"/>
        <v>-7.5312520067392363E-2</v>
      </c>
      <c r="X69">
        <f t="shared" si="34"/>
        <v>10.236788855192593</v>
      </c>
      <c r="Y69">
        <f t="shared" si="16"/>
        <v>-107.8947229974647</v>
      </c>
      <c r="Z69">
        <f t="shared" si="35"/>
        <v>72.105277002535303</v>
      </c>
      <c r="AC69">
        <v>1</v>
      </c>
      <c r="AD69">
        <f t="shared" si="17"/>
        <v>16.424089294567501</v>
      </c>
      <c r="AE69">
        <f t="shared" si="18"/>
        <v>-3.2506612872776873E-4</v>
      </c>
      <c r="AF69">
        <f t="shared" si="19"/>
        <v>4.3080660009450003E-3</v>
      </c>
      <c r="AG69">
        <f t="shared" si="36"/>
        <v>3773.405557981222</v>
      </c>
      <c r="AH69">
        <f t="shared" si="37"/>
        <v>-516.84592027243366</v>
      </c>
      <c r="AJ69">
        <f t="shared" si="20"/>
        <v>18000</v>
      </c>
      <c r="AK69">
        <f t="shared" si="21"/>
        <v>1242.1480346982</v>
      </c>
      <c r="AL69">
        <v>1</v>
      </c>
      <c r="AM69">
        <f t="shared" si="22"/>
        <v>2.4440522675499001</v>
      </c>
      <c r="AN69">
        <f t="shared" si="38"/>
        <v>3016.5916773083927</v>
      </c>
      <c r="AO69">
        <f t="shared" si="39"/>
        <v>-6130.5596944995332</v>
      </c>
      <c r="AQ69">
        <f t="shared" si="23"/>
        <v>8.1566068515497552</v>
      </c>
      <c r="AR69">
        <f t="shared" si="24"/>
        <v>-285.48123980424145</v>
      </c>
      <c r="AT69">
        <f t="shared" si="52"/>
        <v>-116771.62847923292</v>
      </c>
      <c r="AU69">
        <f t="shared" si="53"/>
        <v>-1081452.2059511845</v>
      </c>
      <c r="AV69">
        <f t="shared" si="42"/>
        <v>-1.6783562948667077</v>
      </c>
      <c r="AW69">
        <f t="shared" si="25"/>
        <v>-1716311.7606976114</v>
      </c>
      <c r="AX69">
        <f t="shared" si="26"/>
        <v>-925205.66845802276</v>
      </c>
      <c r="AY69">
        <f t="shared" si="50"/>
        <v>-2.6471826472779845</v>
      </c>
      <c r="BA69">
        <f t="shared" si="27"/>
        <v>0.55787085424974991</v>
      </c>
      <c r="BB69">
        <f t="shared" si="43"/>
        <v>-5.0693265509340666</v>
      </c>
      <c r="BC69">
        <f t="shared" si="44"/>
        <v>0.96882635241127679</v>
      </c>
      <c r="BD69">
        <f t="shared" si="28"/>
        <v>-124.49033886235065</v>
      </c>
      <c r="BF69">
        <f t="shared" si="29"/>
        <v>10.243711870179439</v>
      </c>
      <c r="BG69">
        <f t="shared" si="30"/>
        <v>-108.38588573109266</v>
      </c>
      <c r="BH69">
        <f t="shared" si="45"/>
        <v>71.614114268907343</v>
      </c>
      <c r="BI69">
        <f t="shared" si="46"/>
        <v>71.614114268907343</v>
      </c>
      <c r="BJ69">
        <f t="shared" si="31"/>
        <v>0</v>
      </c>
      <c r="BK69">
        <f t="shared" si="47"/>
        <v>0</v>
      </c>
      <c r="BM69">
        <f t="shared" si="48"/>
        <v>15.313038421113507</v>
      </c>
      <c r="BN69">
        <f t="shared" si="32"/>
        <v>-163.89554686874203</v>
      </c>
      <c r="BQ69" s="56">
        <f t="shared" si="49"/>
        <v>11.83263424935107</v>
      </c>
      <c r="BR69" s="59"/>
      <c r="BS69" s="59"/>
      <c r="BT69" s="59">
        <v>389.04500000000002</v>
      </c>
      <c r="BU69" s="59">
        <v>22.955200000000001</v>
      </c>
      <c r="BV69" s="59">
        <v>-266.06720000000001</v>
      </c>
      <c r="BW69" s="61"/>
      <c r="BY69" s="59"/>
      <c r="BZ69" s="59"/>
      <c r="CA69" s="59"/>
      <c r="CC69" s="59"/>
    </row>
    <row r="70" spans="1:81" x14ac:dyDescent="0.2">
      <c r="A70">
        <f t="shared" si="54"/>
        <v>18000</v>
      </c>
      <c r="B70">
        <f t="shared" si="33"/>
        <v>18</v>
      </c>
      <c r="C70">
        <f t="shared" si="0"/>
        <v>1.0000094305093761</v>
      </c>
      <c r="D70">
        <f t="shared" si="1"/>
        <v>4.3429103754639067E-3</v>
      </c>
      <c r="F70">
        <f t="shared" si="2"/>
        <v>0.36061694378541198</v>
      </c>
      <c r="G70">
        <f t="shared" si="3"/>
        <v>0.26391546186513964</v>
      </c>
      <c r="H70">
        <f t="shared" si="4"/>
        <v>-2.8776771881348604</v>
      </c>
      <c r="J70">
        <f t="shared" si="5"/>
        <v>15</v>
      </c>
      <c r="M70">
        <f t="shared" si="6"/>
        <v>1.2537492616678671E-2</v>
      </c>
      <c r="N70">
        <f t="shared" si="7"/>
        <v>-1.5707963250000001</v>
      </c>
      <c r="O70">
        <f t="shared" si="8"/>
        <v>16.922920553318914</v>
      </c>
      <c r="P70">
        <f t="shared" si="9"/>
        <v>1.5116704282905389</v>
      </c>
      <c r="Q70">
        <f t="shared" si="10"/>
        <v>2.7054767381805962</v>
      </c>
      <c r="R70">
        <f t="shared" si="11"/>
        <v>1.1921956293152172</v>
      </c>
      <c r="S70">
        <f t="shared" si="12"/>
        <v>0.99749040657062815</v>
      </c>
      <c r="T70">
        <f t="shared" si="13"/>
        <v>-7.0861044431179465E-2</v>
      </c>
      <c r="U70">
        <f t="shared" si="14"/>
        <v>0.99700179667746092</v>
      </c>
      <c r="V70">
        <f t="shared" si="15"/>
        <v>-7.7455829030491669E-2</v>
      </c>
      <c r="X70">
        <f t="shared" si="34"/>
        <v>9.7935192325887339</v>
      </c>
      <c r="Y70">
        <f t="shared" si="16"/>
        <v>-108.2077446771325</v>
      </c>
      <c r="Z70">
        <f t="shared" si="35"/>
        <v>71.792255322867504</v>
      </c>
      <c r="AC70">
        <v>1</v>
      </c>
      <c r="AD70">
        <f t="shared" si="17"/>
        <v>16.893348988697998</v>
      </c>
      <c r="AE70">
        <f t="shared" si="18"/>
        <v>-3.4390669618872516E-4</v>
      </c>
      <c r="AF70">
        <f t="shared" si="19"/>
        <v>4.4311536009720006E-3</v>
      </c>
      <c r="AG70">
        <f t="shared" si="36"/>
        <v>3772.1678266952454</v>
      </c>
      <c r="AH70">
        <f t="shared" si="37"/>
        <v>-518.4369538091039</v>
      </c>
      <c r="AJ70">
        <f t="shared" si="20"/>
        <v>18000</v>
      </c>
      <c r="AK70">
        <f t="shared" si="21"/>
        <v>1277.63797854672</v>
      </c>
      <c r="AL70">
        <v>1</v>
      </c>
      <c r="AM70">
        <f t="shared" si="22"/>
        <v>2.5138823323370403</v>
      </c>
      <c r="AN70">
        <f t="shared" si="38"/>
        <v>2897.9478176343468</v>
      </c>
      <c r="AO70">
        <f t="shared" si="39"/>
        <v>-6007.4618402389478</v>
      </c>
      <c r="AQ70">
        <f t="shared" si="23"/>
        <v>7.7101002313030067</v>
      </c>
      <c r="AR70">
        <f t="shared" si="24"/>
        <v>-277.56360832690825</v>
      </c>
      <c r="AT70">
        <f t="shared" si="52"/>
        <v>-114815.43955614878</v>
      </c>
      <c r="AU70">
        <f t="shared" si="53"/>
        <v>-1051013.7140696833</v>
      </c>
      <c r="AV70">
        <f t="shared" si="42"/>
        <v>-1.6796074177363247</v>
      </c>
      <c r="AW70">
        <f t="shared" si="25"/>
        <v>-1636104.9419094478</v>
      </c>
      <c r="AX70">
        <f t="shared" si="26"/>
        <v>-864424.39148096752</v>
      </c>
      <c r="AY70">
        <f t="shared" si="50"/>
        <v>-2.6555286790197576</v>
      </c>
      <c r="BA70">
        <f t="shared" si="27"/>
        <v>0.5713644505642923</v>
      </c>
      <c r="BB70">
        <f t="shared" si="43"/>
        <v>-4.8617356852274334</v>
      </c>
      <c r="BC70">
        <f t="shared" si="44"/>
        <v>0.97592126128343293</v>
      </c>
      <c r="BD70">
        <f t="shared" si="28"/>
        <v>-124.08383052748169</v>
      </c>
      <c r="BF70">
        <f t="shared" si="29"/>
        <v>9.8010939764803933</v>
      </c>
      <c r="BG70">
        <f t="shared" si="30"/>
        <v>-108.71375796148283</v>
      </c>
      <c r="BH70">
        <f t="shared" si="45"/>
        <v>71.286242038517173</v>
      </c>
      <c r="BI70">
        <f t="shared" si="46"/>
        <v>71.286242038517173</v>
      </c>
      <c r="BJ70">
        <f t="shared" si="31"/>
        <v>0</v>
      </c>
      <c r="BK70">
        <f t="shared" si="47"/>
        <v>0</v>
      </c>
      <c r="BM70">
        <f t="shared" si="48"/>
        <v>14.662829661707825</v>
      </c>
      <c r="BN70">
        <f t="shared" si="32"/>
        <v>-164.62992743400116</v>
      </c>
      <c r="BQ70" s="56">
        <f t="shared" si="49"/>
        <v>12.040225115057703</v>
      </c>
      <c r="BR70" s="59"/>
      <c r="BS70" s="59"/>
      <c r="BT70" s="59">
        <v>398.10700000000003</v>
      </c>
      <c r="BU70" s="59">
        <v>22.738499999999998</v>
      </c>
      <c r="BV70" s="59">
        <v>-265.2319</v>
      </c>
      <c r="BW70" s="61"/>
      <c r="BY70" s="59"/>
      <c r="BZ70" s="59"/>
      <c r="CA70" s="59"/>
      <c r="CC70" s="59"/>
    </row>
    <row r="71" spans="1:81" x14ac:dyDescent="0.2">
      <c r="A71">
        <f t="shared" si="54"/>
        <v>18500</v>
      </c>
      <c r="B71">
        <f t="shared" si="33"/>
        <v>18.5</v>
      </c>
      <c r="C71">
        <f t="shared" si="0"/>
        <v>1.0000099617005456</v>
      </c>
      <c r="D71">
        <f t="shared" si="1"/>
        <v>4.4635451941294471E-3</v>
      </c>
      <c r="F71">
        <f t="shared" si="2"/>
        <v>0.33568970777258461</v>
      </c>
      <c r="G71">
        <f t="shared" si="3"/>
        <v>0.2522422821720266</v>
      </c>
      <c r="H71">
        <f t="shared" si="4"/>
        <v>-2.8893503678279737</v>
      </c>
      <c r="J71">
        <f t="shared" si="5"/>
        <v>15</v>
      </c>
      <c r="M71">
        <f t="shared" si="6"/>
        <v>1.2198641464876545E-2</v>
      </c>
      <c r="N71">
        <f t="shared" si="7"/>
        <v>-1.5707963250000001</v>
      </c>
      <c r="O71">
        <f t="shared" si="8"/>
        <v>17.391382356587748</v>
      </c>
      <c r="P71">
        <f t="shared" si="9"/>
        <v>1.5132648530076316</v>
      </c>
      <c r="Q71">
        <f t="shared" si="10"/>
        <v>2.770481862610398</v>
      </c>
      <c r="R71">
        <f t="shared" si="11"/>
        <v>1.2015120611764551</v>
      </c>
      <c r="S71">
        <f t="shared" si="12"/>
        <v>0.99734960979732212</v>
      </c>
      <c r="T71">
        <f t="shared" si="13"/>
        <v>-7.2822548598828696E-2</v>
      </c>
      <c r="U71">
        <f t="shared" si="14"/>
        <v>0.99683371765761652</v>
      </c>
      <c r="V71">
        <f t="shared" si="15"/>
        <v>-7.9598425176247795E-2</v>
      </c>
      <c r="X71">
        <f t="shared" si="34"/>
        <v>9.374092691074944</v>
      </c>
      <c r="Y71">
        <f t="shared" si="16"/>
        <v>-108.4796583352301</v>
      </c>
      <c r="Z71">
        <f t="shared" si="35"/>
        <v>71.520341664769902</v>
      </c>
      <c r="AC71">
        <v>1</v>
      </c>
      <c r="AD71">
        <f t="shared" si="17"/>
        <v>17.362608682828501</v>
      </c>
      <c r="AE71">
        <f t="shared" si="18"/>
        <v>-3.6327798385984929E-4</v>
      </c>
      <c r="AF71">
        <f t="shared" si="19"/>
        <v>4.5542412009990001E-3</v>
      </c>
      <c r="AG71">
        <f t="shared" si="36"/>
        <v>3770.8960760726127</v>
      </c>
      <c r="AH71">
        <f t="shared" si="37"/>
        <v>-520.36846957970238</v>
      </c>
      <c r="AJ71">
        <f t="shared" si="20"/>
        <v>18000</v>
      </c>
      <c r="AK71">
        <f t="shared" si="21"/>
        <v>1313.1279223952399</v>
      </c>
      <c r="AL71">
        <v>1</v>
      </c>
      <c r="AM71">
        <f t="shared" si="22"/>
        <v>2.58371239712418</v>
      </c>
      <c r="AN71">
        <f t="shared" si="38"/>
        <v>2787.121423678961</v>
      </c>
      <c r="AO71">
        <f t="shared" si="39"/>
        <v>-5887.9922522544866</v>
      </c>
      <c r="AQ71">
        <f t="shared" si="23"/>
        <v>7.2992700729927007</v>
      </c>
      <c r="AR71">
        <f t="shared" si="24"/>
        <v>-270.07299270072991</v>
      </c>
      <c r="AT71">
        <f t="shared" si="52"/>
        <v>-113012.68101004652</v>
      </c>
      <c r="AU71">
        <f t="shared" si="53"/>
        <v>-1022215.498425302</v>
      </c>
      <c r="AV71">
        <f t="shared" si="42"/>
        <v>-1.6809057765711444</v>
      </c>
      <c r="AW71">
        <f t="shared" si="25"/>
        <v>-1561062.2548448658</v>
      </c>
      <c r="AX71">
        <f t="shared" si="26"/>
        <v>-809175.77951201762</v>
      </c>
      <c r="AY71">
        <f t="shared" si="50"/>
        <v>-2.6633734664482516</v>
      </c>
      <c r="BA71">
        <f t="shared" si="27"/>
        <v>0.58490210783565411</v>
      </c>
      <c r="BB71">
        <f t="shared" si="43"/>
        <v>-4.6583362709813283</v>
      </c>
      <c r="BC71">
        <f t="shared" si="44"/>
        <v>0.9824676898771072</v>
      </c>
      <c r="BD71">
        <f t="shared" si="28"/>
        <v>-123.70874779775178</v>
      </c>
      <c r="BF71">
        <f t="shared" si="29"/>
        <v>9.3823359560915076</v>
      </c>
      <c r="BG71">
        <f t="shared" si="30"/>
        <v>-109.00058729645063</v>
      </c>
      <c r="BH71">
        <f t="shared" si="45"/>
        <v>70.999412703549368</v>
      </c>
      <c r="BI71">
        <f t="shared" si="46"/>
        <v>70.999412703549368</v>
      </c>
      <c r="BJ71">
        <f t="shared" si="31"/>
        <v>0</v>
      </c>
      <c r="BK71">
        <f t="shared" si="47"/>
        <v>0</v>
      </c>
      <c r="BM71">
        <f t="shared" si="48"/>
        <v>14.040672227072834</v>
      </c>
      <c r="BN71">
        <f t="shared" si="32"/>
        <v>-165.29183949869883</v>
      </c>
      <c r="BQ71" s="56">
        <f t="shared" si="49"/>
        <v>12.243624529303808</v>
      </c>
      <c r="BR71" s="59"/>
      <c r="BS71" s="59"/>
      <c r="BT71" s="59">
        <v>407.38</v>
      </c>
      <c r="BU71" s="59">
        <v>22.7593</v>
      </c>
      <c r="BV71" s="59">
        <v>-265.7319</v>
      </c>
      <c r="BW71" s="61"/>
      <c r="BY71" s="59"/>
      <c r="BZ71" s="59"/>
      <c r="CA71" s="59"/>
      <c r="CC71" s="59"/>
    </row>
    <row r="72" spans="1:81" x14ac:dyDescent="0.2">
      <c r="A72">
        <f t="shared" si="54"/>
        <v>19000</v>
      </c>
      <c r="B72">
        <f t="shared" si="33"/>
        <v>19</v>
      </c>
      <c r="C72">
        <f t="shared" si="0"/>
        <v>1.0000105074446037</v>
      </c>
      <c r="D72">
        <f t="shared" si="1"/>
        <v>4.5841798828804648E-3</v>
      </c>
      <c r="F72">
        <f t="shared" si="2"/>
        <v>0.31340745224308908</v>
      </c>
      <c r="G72">
        <f t="shared" si="3"/>
        <v>0.2416522922909628</v>
      </c>
      <c r="H72">
        <f t="shared" si="4"/>
        <v>-2.8999403577090375</v>
      </c>
      <c r="J72">
        <f t="shared" si="5"/>
        <v>15</v>
      </c>
      <c r="M72">
        <f t="shared" si="6"/>
        <v>1.18776245842219E-2</v>
      </c>
      <c r="N72">
        <f t="shared" si="7"/>
        <v>-1.5707963250000001</v>
      </c>
      <c r="O72">
        <f t="shared" si="8"/>
        <v>17.859886052637361</v>
      </c>
      <c r="P72">
        <f t="shared" si="9"/>
        <v>1.5147756309357785</v>
      </c>
      <c r="Q72">
        <f t="shared" si="10"/>
        <v>2.8357164169159068</v>
      </c>
      <c r="R72">
        <f t="shared" si="11"/>
        <v>1.2104005934740942</v>
      </c>
      <c r="S72">
        <f t="shared" si="12"/>
        <v>0.99720501765361291</v>
      </c>
      <c r="T72">
        <f t="shared" si="13"/>
        <v>-7.4783491565824714E-2</v>
      </c>
      <c r="U72">
        <f t="shared" si="14"/>
        <v>0.99666112223445824</v>
      </c>
      <c r="V72">
        <f t="shared" si="15"/>
        <v>-8.17402891980826E-2</v>
      </c>
      <c r="X72">
        <f t="shared" si="34"/>
        <v>8.9761637934399499</v>
      </c>
      <c r="Y72">
        <f t="shared" si="16"/>
        <v>-108.71874514107817</v>
      </c>
      <c r="Z72">
        <f t="shared" si="35"/>
        <v>71.281254858921827</v>
      </c>
      <c r="AC72">
        <v>1</v>
      </c>
      <c r="AD72">
        <f t="shared" si="17"/>
        <v>17.831868376959001</v>
      </c>
      <c r="AE72">
        <f t="shared" si="18"/>
        <v>-3.8317999174114129E-4</v>
      </c>
      <c r="AF72">
        <f t="shared" si="19"/>
        <v>4.6773288010260004E-3</v>
      </c>
      <c r="AG72">
        <f t="shared" si="36"/>
        <v>3769.5903757375318</v>
      </c>
      <c r="AH72">
        <f t="shared" si="37"/>
        <v>-522.61273753224111</v>
      </c>
      <c r="AJ72">
        <f t="shared" si="20"/>
        <v>18000</v>
      </c>
      <c r="AK72">
        <f t="shared" si="21"/>
        <v>1348.6178662437601</v>
      </c>
      <c r="AL72">
        <v>1</v>
      </c>
      <c r="AM72">
        <f t="shared" si="22"/>
        <v>2.6535424619113201</v>
      </c>
      <c r="AN72">
        <f t="shared" si="38"/>
        <v>2683.4775540889732</v>
      </c>
      <c r="AO72">
        <f t="shared" si="39"/>
        <v>-5772.1037691172614</v>
      </c>
      <c r="AQ72">
        <f t="shared" si="23"/>
        <v>6.9204152249134951</v>
      </c>
      <c r="AR72">
        <f t="shared" si="24"/>
        <v>-262.97577854671277</v>
      </c>
      <c r="AT72">
        <f t="shared" si="52"/>
        <v>-111347.36090302857</v>
      </c>
      <c r="AU72">
        <f t="shared" si="53"/>
        <v>-994927.6610073247</v>
      </c>
      <c r="AV72">
        <f t="shared" si="42"/>
        <v>-1.6822475945991751</v>
      </c>
      <c r="AW72">
        <f t="shared" si="25"/>
        <v>-1490779.7845948916</v>
      </c>
      <c r="AX72">
        <f t="shared" si="26"/>
        <v>-758845.76832161564</v>
      </c>
      <c r="AY72">
        <f t="shared" si="50"/>
        <v>-2.6707502928813351</v>
      </c>
      <c r="BA72">
        <f t="shared" si="27"/>
        <v>0.5984797645050608</v>
      </c>
      <c r="BB72">
        <f t="shared" si="43"/>
        <v>-4.4590105830915769</v>
      </c>
      <c r="BC72">
        <f t="shared" si="44"/>
        <v>0.98850269828216009</v>
      </c>
      <c r="BD72">
        <f t="shared" si="28"/>
        <v>-123.36296728642117</v>
      </c>
      <c r="BF72">
        <f t="shared" si="29"/>
        <v>8.9850922433652336</v>
      </c>
      <c r="BG72">
        <f t="shared" si="30"/>
        <v>-109.25465665254832</v>
      </c>
      <c r="BH72">
        <f t="shared" si="45"/>
        <v>70.74534334745168</v>
      </c>
      <c r="BI72">
        <f t="shared" si="46"/>
        <v>70.74534334745168</v>
      </c>
      <c r="BJ72">
        <f t="shared" si="31"/>
        <v>0</v>
      </c>
      <c r="BK72">
        <f t="shared" si="47"/>
        <v>0</v>
      </c>
      <c r="BM72">
        <f t="shared" si="48"/>
        <v>13.444102826456811</v>
      </c>
      <c r="BN72">
        <f t="shared" si="32"/>
        <v>-165.89168936612714</v>
      </c>
      <c r="BQ72" s="56">
        <f t="shared" si="49"/>
        <v>12.442950217193559</v>
      </c>
      <c r="BR72" s="59"/>
      <c r="BS72" s="59"/>
      <c r="BT72" s="59">
        <v>416.86900000000003</v>
      </c>
      <c r="BU72" s="59">
        <v>22.4206</v>
      </c>
      <c r="BV72" s="59">
        <v>-265.24939999999998</v>
      </c>
      <c r="BW72" s="61"/>
      <c r="BY72" s="59"/>
      <c r="BZ72" s="59"/>
      <c r="CA72" s="59"/>
      <c r="CC72" s="59"/>
    </row>
    <row r="73" spans="1:81" x14ac:dyDescent="0.2">
      <c r="A73">
        <f t="shared" si="54"/>
        <v>19500</v>
      </c>
      <c r="B73">
        <f t="shared" si="33"/>
        <v>19.5</v>
      </c>
      <c r="C73">
        <f t="shared" ref="C73:C136" si="55">SQRT((A73/Fesr)^2+1)</f>
        <v>1.0000110677415273</v>
      </c>
      <c r="D73">
        <f t="shared" ref="D73:D136" si="56">ATAN(A73/Fesr)</f>
        <v>4.7048144382060503E-3</v>
      </c>
      <c r="F73">
        <f t="shared" ref="F73:F136" si="57">(Ro/(Ro+Rdcr))/SQRT((A73/(Q*Fo))^2+(1-(A73^2/Fo^2))^2)</f>
        <v>0.29339471899114278</v>
      </c>
      <c r="G73">
        <f t="shared" ref="G73:G136" si="58">-ATAN(A73*Fo/(Q*(Fo^2-A73^2)))</f>
        <v>0.23199714595437076</v>
      </c>
      <c r="H73">
        <f t="shared" ref="H73:H136" si="59">IF(G73&gt;0,G73-Pi,G73)</f>
        <v>-2.9095955040456296</v>
      </c>
      <c r="J73">
        <f t="shared" ref="J73:J136" si="60">Vin/Vramp</f>
        <v>15</v>
      </c>
      <c r="M73">
        <f t="shared" ref="M73:M136" si="61">1/(2*Pi*_Rfb1*(Cc1ea_u+Cc2ea_u)*A73)</f>
        <v>1.1573070107703389E-2</v>
      </c>
      <c r="N73">
        <f t="shared" ref="N73:N136" si="62">-Pi/2</f>
        <v>-1.5707963250000001</v>
      </c>
      <c r="O73">
        <f t="shared" ref="O73:O136" si="63">SQRT(1+(A73/Fz1_u)^2)</f>
        <v>18.328428428930291</v>
      </c>
      <c r="P73">
        <f t="shared" ref="P73:P136" si="64">ATAN2(Fz1_u,A73)</f>
        <v>1.51620916986195</v>
      </c>
      <c r="Q73">
        <f t="shared" ref="Q73:Q136" si="65">SQRT(1+(A73/Fz2_u)^2)</f>
        <v>2.9011649245046303</v>
      </c>
      <c r="R73">
        <f t="shared" ref="R73:R136" si="66">ATAN2(Fz2_u,A73)</f>
        <v>1.2188887317223913</v>
      </c>
      <c r="S73">
        <f t="shared" ref="S73:S136" si="67">1/SQRT(1+(A73/Fp1_u)^2)</f>
        <v>0.9970566351252127</v>
      </c>
      <c r="T73">
        <f t="shared" ref="T73:T136" si="68">-ATAN2(Fp1_u,A73)</f>
        <v>-7.674385849874682E-2</v>
      </c>
      <c r="U73">
        <f t="shared" ref="U73:U136" si="69">1/SQRT(1+(A73/Fp2_u)^2)</f>
        <v>0.99648401750301285</v>
      </c>
      <c r="V73">
        <f t="shared" ref="V73:V136" si="70">-ATAN2(Fp2_u,A73)</f>
        <v>-8.3881401829478786E-2</v>
      </c>
      <c r="X73">
        <f t="shared" si="34"/>
        <v>8.5976950734983735</v>
      </c>
      <c r="Y73">
        <f t="shared" ref="Y73:Y136" si="71">(180/Pi)*(D73+H73+N73+P73+R73+T73+V73)</f>
        <v>-108.93155966711194</v>
      </c>
      <c r="Z73">
        <f t="shared" si="35"/>
        <v>71.068440332888059</v>
      </c>
      <c r="AC73">
        <v>1</v>
      </c>
      <c r="AD73">
        <f t="shared" ref="AD73:AD136" si="72">Rcea1_u*Cc1ea_u*A73*2*Pi</f>
        <v>18.301128071089501</v>
      </c>
      <c r="AE73">
        <f t="shared" ref="AE73:AE136" si="73">-Rcea1_u*Cc1ea_u*Cc2ea_u*(A73*2*Pi)^2</f>
        <v>-4.0361271983260105E-4</v>
      </c>
      <c r="AF73">
        <f t="shared" ref="AF73:AF136" si="74">(Cc2ea_u+Cc1ea_u)*A73*2*Pi</f>
        <v>4.8004164010529999E-3</v>
      </c>
      <c r="AG73">
        <f t="shared" si="36"/>
        <v>3768.2507970992929</v>
      </c>
      <c r="AH73">
        <f t="shared" si="37"/>
        <v>-525.14485049164387</v>
      </c>
      <c r="AJ73">
        <f t="shared" ref="AJ73:AJ136" si="75">_Rfb1</f>
        <v>18000</v>
      </c>
      <c r="AK73">
        <f t="shared" ref="AK73:AK136" si="76">_Rfb1*Rcea2_u*Cc3ea_u*A73*2*Pi</f>
        <v>1384.10781009228</v>
      </c>
      <c r="AL73">
        <v>1</v>
      </c>
      <c r="AM73">
        <f t="shared" ref="AM73:AM136" si="77">(_Rfb1+Rcea2_u)*Cc3ea_u*A73*2*Pi</f>
        <v>2.7233725266984603</v>
      </c>
      <c r="AN73">
        <f t="shared" si="38"/>
        <v>2586.4402176040517</v>
      </c>
      <c r="AO73">
        <f t="shared" si="39"/>
        <v>-5659.7324204785818</v>
      </c>
      <c r="AQ73">
        <f t="shared" ref="AQ73:AQ136" si="78">Eadcg/(1+(Eadcg*A73/GBP)^2)</f>
        <v>6.5703022339027592</v>
      </c>
      <c r="AR73">
        <f t="shared" ref="AR73:AR136" si="79">-(A73*Eadcg*Eadcg/GBP)/(1+(Eadcg*A73/GBP)^2)</f>
        <v>-256.2417871222076</v>
      </c>
      <c r="AT73">
        <f t="shared" si="52"/>
        <v>-109805.508357916</v>
      </c>
      <c r="AU73">
        <f t="shared" si="53"/>
        <v>-969033.67895771388</v>
      </c>
      <c r="AV73">
        <f t="shared" si="42"/>
        <v>-1.6836294770356444</v>
      </c>
      <c r="AW73">
        <f t="shared" si="25"/>
        <v>-1424888.7208577711</v>
      </c>
      <c r="AX73">
        <f t="shared" si="26"/>
        <v>-712899.24986589141</v>
      </c>
      <c r="AY73">
        <f t="shared" si="50"/>
        <v>-2.6776896807339434</v>
      </c>
      <c r="BA73">
        <f t="shared" ref="BA73:BA136" si="80">SQRT(AT73^2+AU73^2)/SQRT(AW73^2+AX73^2)</f>
        <v>0.61209369208888642</v>
      </c>
      <c r="BB73">
        <f t="shared" si="43"/>
        <v>-4.2636419217007733</v>
      </c>
      <c r="BC73">
        <f t="shared" si="44"/>
        <v>0.99406020369829906</v>
      </c>
      <c r="BD73">
        <f t="shared" ref="BD73:BD136" si="81">BC73*180/Pi-180</f>
        <v>-123.04454568109146</v>
      </c>
      <c r="BF73">
        <f t="shared" ref="BF73:BF136" si="82">20*LOG(BA73*J73*F73*C73)</f>
        <v>8.6073252404457179</v>
      </c>
      <c r="BG73">
        <f t="shared" ref="BG73:BG136" si="83">(180/Pi)*(D73+H73+BC73)</f>
        <v>-109.48252233262717</v>
      </c>
      <c r="BH73">
        <f t="shared" si="45"/>
        <v>70.51747766737283</v>
      </c>
      <c r="BI73">
        <f t="shared" si="46"/>
        <v>70.51747766737283</v>
      </c>
      <c r="BJ73">
        <f t="shared" ref="BJ73:BJ136" si="84">SUM((BF74&lt;0)*(BF73&gt;0))*A73</f>
        <v>0</v>
      </c>
      <c r="BK73">
        <f t="shared" si="47"/>
        <v>0</v>
      </c>
      <c r="BM73">
        <f t="shared" si="48"/>
        <v>12.870967162146492</v>
      </c>
      <c r="BN73">
        <f t="shared" ref="BN73:BN136" si="85">(H73+D73)*180/Pi</f>
        <v>-166.43797665153571</v>
      </c>
      <c r="BQ73" s="56">
        <f t="shared" si="49"/>
        <v>12.638318878584363</v>
      </c>
      <c r="BR73" s="59"/>
      <c r="BS73" s="59"/>
      <c r="BT73" s="59">
        <v>426.58</v>
      </c>
      <c r="BU73" s="59">
        <v>22.373699999999999</v>
      </c>
      <c r="BV73" s="59">
        <v>-265.14060000000001</v>
      </c>
      <c r="BW73" s="61"/>
      <c r="BY73" s="59"/>
      <c r="BZ73" s="59"/>
      <c r="CA73" s="59"/>
      <c r="CC73" s="59"/>
    </row>
    <row r="74" spans="1:81" x14ac:dyDescent="0.2">
      <c r="A74">
        <f t="shared" si="54"/>
        <v>20000</v>
      </c>
      <c r="B74">
        <f t="shared" ref="B74:B137" si="86">A74/1000</f>
        <v>20</v>
      </c>
      <c r="C74">
        <f t="shared" si="55"/>
        <v>1.0000116425912911</v>
      </c>
      <c r="D74">
        <f t="shared" si="56"/>
        <v>4.8254488565953133E-3</v>
      </c>
      <c r="F74">
        <f t="shared" si="57"/>
        <v>0.27534189482351518</v>
      </c>
      <c r="G74">
        <f t="shared" si="58"/>
        <v>0.22315452607770883</v>
      </c>
      <c r="H74">
        <f t="shared" si="59"/>
        <v>-2.9184381239222912</v>
      </c>
      <c r="J74">
        <f t="shared" si="60"/>
        <v>15</v>
      </c>
      <c r="M74">
        <f t="shared" si="61"/>
        <v>1.1283743355010804E-2</v>
      </c>
      <c r="N74">
        <f t="shared" si="62"/>
        <v>-1.5707963250000001</v>
      </c>
      <c r="O74">
        <f t="shared" si="63"/>
        <v>18.797006592984978</v>
      </c>
      <c r="P74">
        <f t="shared" si="64"/>
        <v>1.5175712399816907</v>
      </c>
      <c r="Q74">
        <f t="shared" si="65"/>
        <v>2.9668132258505717</v>
      </c>
      <c r="R74">
        <f t="shared" si="66"/>
        <v>1.2270017897977037</v>
      </c>
      <c r="S74">
        <f t="shared" si="67"/>
        <v>0.9969044673245141</v>
      </c>
      <c r="T74">
        <f t="shared" si="68"/>
        <v>-7.8703634590597288E-2</v>
      </c>
      <c r="U74">
        <f t="shared" si="69"/>
        <v>0.99630241073684722</v>
      </c>
      <c r="V74">
        <f t="shared" si="70"/>
        <v>-8.602174384499113E-2</v>
      </c>
      <c r="X74">
        <f t="shared" ref="X74:X137" si="87">20*LOG(C74*J74*O74*Q74*F74*M74*S74*U74)</f>
        <v>8.2369087062977577</v>
      </c>
      <c r="Y74">
        <f t="shared" si="71"/>
        <v>-109.12332723019969</v>
      </c>
      <c r="Z74">
        <f t="shared" ref="Z74:Z137" si="88">Y74+180</f>
        <v>70.876672769800308</v>
      </c>
      <c r="AC74">
        <v>1</v>
      </c>
      <c r="AD74">
        <f t="shared" si="72"/>
        <v>18.770387765219997</v>
      </c>
      <c r="AE74">
        <f t="shared" si="73"/>
        <v>-4.2457616813422857E-4</v>
      </c>
      <c r="AF74">
        <f t="shared" si="74"/>
        <v>4.9235040010800002E-3</v>
      </c>
      <c r="AG74">
        <f t="shared" ref="AG74:AG137" si="89">AC74*AE74/(AE74^2+AF74^2)+AD74*AF74/(AE74^2+AF74^2)</f>
        <v>3766.8774133425741</v>
      </c>
      <c r="AH74">
        <f t="shared" ref="AH74:AH137" si="90">AD74*AE74/(AE74^2+AF74^2)-AC74*AF74/(AE74^2+AF74^2)</f>
        <v>-527.94237141234908</v>
      </c>
      <c r="AJ74">
        <f t="shared" si="75"/>
        <v>18000</v>
      </c>
      <c r="AK74">
        <f t="shared" si="76"/>
        <v>1419.5977539408</v>
      </c>
      <c r="AL74">
        <v>1</v>
      </c>
      <c r="AM74">
        <f t="shared" si="77"/>
        <v>2.7932025914856</v>
      </c>
      <c r="AN74">
        <f t="shared" ref="AN74:AN137" si="91">AJ74*AL74/(AL74^2+AM74^2)+AK74*AM74/(AL74^2+AM74^2)</f>
        <v>2495.4865082295623</v>
      </c>
      <c r="AO74">
        <f t="shared" ref="AO74:AO137" si="92">AK74*AL74/(AL74^2+AM74^2)-AJ74*AM74/(AL74^2+AM74^2)</f>
        <v>-5550.801627863365</v>
      </c>
      <c r="AQ74">
        <f t="shared" si="78"/>
        <v>6.2460961898813245</v>
      </c>
      <c r="AR74">
        <f t="shared" si="79"/>
        <v>-249.84384759525295</v>
      </c>
      <c r="AT74">
        <f t="shared" si="52"/>
        <v>-108374.87472299428</v>
      </c>
      <c r="AU74">
        <f t="shared" si="53"/>
        <v>-944428.72520371829</v>
      </c>
      <c r="AV74">
        <f t="shared" ref="AV74:AV137" si="93">ATAN2(AT74,AU74)</f>
        <v>-1.6850483638341733</v>
      </c>
      <c r="AW74">
        <f t="shared" ref="AW74:AW137" si="94">AG74-AH74*AO74/_Rfb2+AG74*AN74/_Rfb2+AN74-AO74*AR74+AQ74*AN74</f>
        <v>-1363052.3024126196</v>
      </c>
      <c r="AX74">
        <f t="shared" ref="AX74:AX137" si="95">AH74+AH74*AN74/_Rfb2+AG74*AO74/_Rfb2+AO74+AO74*AQ74+AN74*AR74</f>
        <v>-670868.66407448938</v>
      </c>
      <c r="AY74">
        <f t="shared" si="50"/>
        <v>-2.6842196581483657</v>
      </c>
      <c r="BA74">
        <f t="shared" si="80"/>
        <v>0.62574046022100993</v>
      </c>
      <c r="BB74">
        <f t="shared" ref="BB74:BB137" si="96">20*LOG(BA74)</f>
        <v>-4.0721152548488169</v>
      </c>
      <c r="BC74">
        <f t="shared" ref="BC74:BC137" si="97">AV74-AY74</f>
        <v>0.99917129431419238</v>
      </c>
      <c r="BD74">
        <f t="shared" si="81"/>
        <v>-122.75170175975722</v>
      </c>
      <c r="BF74">
        <f t="shared" si="82"/>
        <v>8.2472569874985062</v>
      </c>
      <c r="BG74">
        <f t="shared" si="83"/>
        <v>-109.68941136759744</v>
      </c>
      <c r="BH74">
        <f t="shared" ref="BH74:BH137" si="98">IF(BG74&gt;180,BG74-180,BG74+180)</f>
        <v>70.310588632402556</v>
      </c>
      <c r="BI74">
        <f t="shared" ref="BI74:BI137" si="99">IF(BH74&gt;180,BH74-360,BH74)</f>
        <v>70.310588632402556</v>
      </c>
      <c r="BJ74">
        <f t="shared" si="84"/>
        <v>0</v>
      </c>
      <c r="BK74">
        <f t="shared" ref="BK74:BK137" si="100">IF(BJ74&gt;0,BI74,0)</f>
        <v>0</v>
      </c>
      <c r="BM74">
        <f t="shared" ref="BM74:BM137" si="101">20*LOG(J74*F74*C74)</f>
        <v>12.319372242347324</v>
      </c>
      <c r="BN74">
        <f t="shared" si="85"/>
        <v>-166.93770960784022</v>
      </c>
      <c r="BQ74" s="56">
        <f t="shared" ref="BQ74:BQ137" si="102">20*LOG(BA74*7)</f>
        <v>12.829845545436317</v>
      </c>
      <c r="BR74" s="59"/>
      <c r="BS74" s="59"/>
      <c r="BT74" s="59">
        <v>436.51600000000002</v>
      </c>
      <c r="BU74" s="59">
        <v>22.074100000000001</v>
      </c>
      <c r="BV74" s="59">
        <v>-264.9151</v>
      </c>
      <c r="BW74" s="61"/>
      <c r="BY74" s="59"/>
      <c r="BZ74" s="59"/>
      <c r="CA74" s="59"/>
      <c r="CC74" s="59"/>
    </row>
    <row r="75" spans="1:81" x14ac:dyDescent="0.2">
      <c r="A75">
        <f t="shared" si="54"/>
        <v>20500</v>
      </c>
      <c r="B75">
        <f t="shared" si="86"/>
        <v>20.5</v>
      </c>
      <c r="C75">
        <f t="shared" si="55"/>
        <v>1.0000122319938702</v>
      </c>
      <c r="D75">
        <f t="shared" si="56"/>
        <v>4.9460831345373903E-3</v>
      </c>
      <c r="F75">
        <f t="shared" si="57"/>
        <v>0.25899165905370325</v>
      </c>
      <c r="G75">
        <f t="shared" si="58"/>
        <v>0.21502269701143104</v>
      </c>
      <c r="H75">
        <f t="shared" si="59"/>
        <v>-2.9265699529885691</v>
      </c>
      <c r="J75">
        <f t="shared" si="60"/>
        <v>15</v>
      </c>
      <c r="M75">
        <f t="shared" si="61"/>
        <v>1.1008530102449565E-2</v>
      </c>
      <c r="N75">
        <f t="shared" si="62"/>
        <v>-1.5707963250000001</v>
      </c>
      <c r="O75">
        <f t="shared" si="63"/>
        <v>19.265617933512857</v>
      </c>
      <c r="P75">
        <f t="shared" si="64"/>
        <v>1.5188670512065505</v>
      </c>
      <c r="Q75">
        <f t="shared" si="65"/>
        <v>3.0326483460639055</v>
      </c>
      <c r="R75">
        <f t="shared" si="66"/>
        <v>1.2347630911183711</v>
      </c>
      <c r="S75">
        <f t="shared" si="67"/>
        <v>0.99674851949010546</v>
      </c>
      <c r="T75">
        <f t="shared" si="68"/>
        <v>-8.0662805061456302E-2</v>
      </c>
      <c r="U75">
        <f t="shared" si="69"/>
        <v>0.99611630938724649</v>
      </c>
      <c r="V75">
        <f t="shared" si="70"/>
        <v>-8.8161296061252392E-2</v>
      </c>
      <c r="X75">
        <f t="shared" si="87"/>
        <v>7.892246617272999</v>
      </c>
      <c r="Y75">
        <f t="shared" si="71"/>
        <v>-109.2982400685612</v>
      </c>
      <c r="Z75">
        <f t="shared" si="88"/>
        <v>70.701759931438801</v>
      </c>
      <c r="AC75">
        <v>1</v>
      </c>
      <c r="AD75">
        <f t="shared" si="72"/>
        <v>19.2396474593505</v>
      </c>
      <c r="AE75">
        <f t="shared" si="73"/>
        <v>-4.460703366460239E-4</v>
      </c>
      <c r="AF75">
        <f t="shared" si="74"/>
        <v>5.0465916011069997E-3</v>
      </c>
      <c r="AG75">
        <f t="shared" si="89"/>
        <v>3765.4702994175559</v>
      </c>
      <c r="AH75">
        <f t="shared" si="90"/>
        <v>-530.98503225503589</v>
      </c>
      <c r="AJ75">
        <f t="shared" si="75"/>
        <v>18000</v>
      </c>
      <c r="AK75">
        <f t="shared" si="76"/>
        <v>1455.0876977893199</v>
      </c>
      <c r="AL75">
        <v>1</v>
      </c>
      <c r="AM75">
        <f t="shared" si="77"/>
        <v>2.8630326562727402</v>
      </c>
      <c r="AN75">
        <f t="shared" si="91"/>
        <v>2410.1413139828055</v>
      </c>
      <c r="AO75">
        <f t="shared" si="92"/>
        <v>-5445.2255903755449</v>
      </c>
      <c r="AQ75">
        <f t="shared" si="78"/>
        <v>5.9453032104637336</v>
      </c>
      <c r="AR75">
        <f t="shared" si="79"/>
        <v>-243.75743162901307</v>
      </c>
      <c r="AT75">
        <f t="shared" si="52"/>
        <v>-107044.68503590318</v>
      </c>
      <c r="AU75">
        <f t="shared" si="53"/>
        <v>-921018.23607832822</v>
      </c>
      <c r="AV75">
        <f t="shared" si="93"/>
        <v>-1.6865014892717765</v>
      </c>
      <c r="AW75">
        <f t="shared" si="94"/>
        <v>-1304962.966234823</v>
      </c>
      <c r="AX75">
        <f t="shared" si="95"/>
        <v>-632344.40464742039</v>
      </c>
      <c r="AY75">
        <f t="shared" ref="AY75:AY138" si="103">ATAN2(AW75,AX75)</f>
        <v>-2.6903659970589882</v>
      </c>
      <c r="BA75">
        <f t="shared" si="80"/>
        <v>0.6394169058864918</v>
      </c>
      <c r="BB75">
        <f t="shared" si="96"/>
        <v>-3.8843177073562787</v>
      </c>
      <c r="BC75">
        <f t="shared" si="97"/>
        <v>1.0038645077872117</v>
      </c>
      <c r="BD75">
        <f t="shared" si="81"/>
        <v>-122.48280043509203</v>
      </c>
      <c r="BF75">
        <f t="shared" si="82"/>
        <v>7.9033292718882828</v>
      </c>
      <c r="BG75">
        <f t="shared" si="83"/>
        <v>-109.87951769368559</v>
      </c>
      <c r="BH75">
        <f t="shared" si="98"/>
        <v>70.120482306314415</v>
      </c>
      <c r="BI75">
        <f t="shared" si="99"/>
        <v>70.120482306314415</v>
      </c>
      <c r="BJ75">
        <f t="shared" si="84"/>
        <v>0</v>
      </c>
      <c r="BK75">
        <f t="shared" si="100"/>
        <v>0</v>
      </c>
      <c r="BM75">
        <f t="shared" si="101"/>
        <v>11.787646979244562</v>
      </c>
      <c r="BN75">
        <f t="shared" si="85"/>
        <v>-167.39671725859355</v>
      </c>
      <c r="BQ75" s="56">
        <f t="shared" si="102"/>
        <v>13.017643092928859</v>
      </c>
      <c r="BR75" s="59"/>
      <c r="BS75" s="59"/>
      <c r="BT75" s="59">
        <v>446.68400000000003</v>
      </c>
      <c r="BU75" s="59">
        <v>21.761099999999999</v>
      </c>
      <c r="BV75" s="59">
        <v>-265.3082</v>
      </c>
      <c r="BW75" s="61"/>
      <c r="BY75" s="59"/>
      <c r="BZ75" s="59"/>
      <c r="CA75" s="59"/>
      <c r="CC75" s="59"/>
    </row>
    <row r="76" spans="1:81" x14ac:dyDescent="0.2">
      <c r="A76">
        <f t="shared" si="54"/>
        <v>21000</v>
      </c>
      <c r="B76">
        <f t="shared" si="86"/>
        <v>21</v>
      </c>
      <c r="C76">
        <f t="shared" si="55"/>
        <v>1.0000128359492393</v>
      </c>
      <c r="D76">
        <f t="shared" si="56"/>
        <v>5.0667172685214378E-3</v>
      </c>
      <c r="F76">
        <f t="shared" si="57"/>
        <v>0.24412859137216664</v>
      </c>
      <c r="G76">
        <f t="shared" si="58"/>
        <v>0.20751636103684412</v>
      </c>
      <c r="H76">
        <f t="shared" si="59"/>
        <v>-2.9340762889631562</v>
      </c>
      <c r="J76">
        <f t="shared" si="60"/>
        <v>15</v>
      </c>
      <c r="M76">
        <f t="shared" si="61"/>
        <v>1.0746422242867433E-2</v>
      </c>
      <c r="N76">
        <f t="shared" si="62"/>
        <v>-1.5707963250000001</v>
      </c>
      <c r="O76">
        <f t="shared" si="63"/>
        <v>19.734260087080401</v>
      </c>
      <c r="P76">
        <f t="shared" si="64"/>
        <v>1.5201013194992234</v>
      </c>
      <c r="Q76">
        <f t="shared" si="65"/>
        <v>3.0986583775212728</v>
      </c>
      <c r="R76">
        <f t="shared" si="66"/>
        <v>1.2421941497728057</v>
      </c>
      <c r="S76">
        <f t="shared" si="67"/>
        <v>0.99658879698627334</v>
      </c>
      <c r="T76">
        <f t="shared" si="68"/>
        <v>-8.2621355159133769E-2</v>
      </c>
      <c r="U76">
        <f t="shared" si="69"/>
        <v>0.99592572108237232</v>
      </c>
      <c r="V76">
        <f t="shared" si="70"/>
        <v>-9.0300039337973315E-2</v>
      </c>
      <c r="X76">
        <f t="shared" si="87"/>
        <v>7.562337505179066</v>
      </c>
      <c r="Y76">
        <f t="shared" si="71"/>
        <v>-109.45968056856395</v>
      </c>
      <c r="Z76">
        <f t="shared" si="88"/>
        <v>70.540319431436046</v>
      </c>
      <c r="AC76">
        <v>1</v>
      </c>
      <c r="AD76">
        <f t="shared" si="72"/>
        <v>19.708907153481</v>
      </c>
      <c r="AE76">
        <f t="shared" si="73"/>
        <v>-4.6809522536798705E-4</v>
      </c>
      <c r="AF76">
        <f t="shared" si="74"/>
        <v>5.169679201134E-3</v>
      </c>
      <c r="AG76">
        <f t="shared" si="89"/>
        <v>3764.0295320297796</v>
      </c>
      <c r="AH76">
        <f t="shared" si="90"/>
        <v>-534.25447588341535</v>
      </c>
      <c r="AJ76">
        <f t="shared" si="75"/>
        <v>18000</v>
      </c>
      <c r="AK76">
        <f t="shared" si="76"/>
        <v>1490.5776416378401</v>
      </c>
      <c r="AL76">
        <v>1</v>
      </c>
      <c r="AM76">
        <f t="shared" si="77"/>
        <v>2.9328627210598803</v>
      </c>
      <c r="AN76">
        <f t="shared" si="91"/>
        <v>2329.9725550684661</v>
      </c>
      <c r="AO76">
        <f t="shared" si="92"/>
        <v>-5342.9120062151032</v>
      </c>
      <c r="AQ76">
        <f t="shared" si="78"/>
        <v>5.6657223796033991</v>
      </c>
      <c r="AR76">
        <f t="shared" si="79"/>
        <v>-237.96033994334277</v>
      </c>
      <c r="AT76">
        <f t="shared" si="52"/>
        <v>-105805.4303403607</v>
      </c>
      <c r="AU76">
        <f t="shared" si="53"/>
        <v>-898716.68453900365</v>
      </c>
      <c r="AV76">
        <f t="shared" si="93"/>
        <v>-1.6879863472434729</v>
      </c>
      <c r="AW76">
        <f t="shared" si="94"/>
        <v>-1250339.7104205287</v>
      </c>
      <c r="AX76">
        <f t="shared" si="95"/>
        <v>-596966.72626182833</v>
      </c>
      <c r="AY76">
        <f t="shared" si="103"/>
        <v>-2.6961524259440566</v>
      </c>
      <c r="BA76">
        <f t="shared" si="80"/>
        <v>0.65312010628748096</v>
      </c>
      <c r="BB76">
        <f t="shared" si="96"/>
        <v>-3.7001389257557666</v>
      </c>
      <c r="BC76">
        <f t="shared" si="97"/>
        <v>1.0081660787005837</v>
      </c>
      <c r="BD76">
        <f t="shared" si="81"/>
        <v>-122.23633857619795</v>
      </c>
      <c r="BF76">
        <f t="shared" si="82"/>
        <v>7.574170651135379</v>
      </c>
      <c r="BG76">
        <f t="shared" si="83"/>
        <v>-110.05622537948361</v>
      </c>
      <c r="BH76">
        <f t="shared" si="98"/>
        <v>69.943774620516393</v>
      </c>
      <c r="BI76">
        <f t="shared" si="99"/>
        <v>69.943774620516393</v>
      </c>
      <c r="BJ76">
        <f t="shared" si="84"/>
        <v>0</v>
      </c>
      <c r="BK76">
        <f t="shared" si="100"/>
        <v>0</v>
      </c>
      <c r="BM76">
        <f t="shared" si="101"/>
        <v>11.274309576891145</v>
      </c>
      <c r="BN76">
        <f t="shared" si="85"/>
        <v>-167.81988680328567</v>
      </c>
      <c r="BQ76" s="56">
        <f t="shared" si="102"/>
        <v>13.201821874529369</v>
      </c>
      <c r="BR76" s="59"/>
      <c r="BS76" s="59"/>
      <c r="BT76" s="59">
        <v>457.08800000000002</v>
      </c>
      <c r="BU76" s="59">
        <v>21.6126</v>
      </c>
      <c r="BV76" s="59">
        <v>-265.65139999999997</v>
      </c>
      <c r="BW76" s="61"/>
      <c r="BY76" s="59"/>
      <c r="BZ76" s="59"/>
      <c r="CA76" s="59"/>
      <c r="CC76" s="59"/>
    </row>
    <row r="77" spans="1:81" x14ac:dyDescent="0.2">
      <c r="A77">
        <f t="shared" si="54"/>
        <v>21500</v>
      </c>
      <c r="B77">
        <f t="shared" si="86"/>
        <v>21.5</v>
      </c>
      <c r="C77">
        <f t="shared" si="55"/>
        <v>1.0000134544573718</v>
      </c>
      <c r="D77">
        <f t="shared" si="56"/>
        <v>5.1873512550366443E-3</v>
      </c>
      <c r="F77">
        <f t="shared" si="57"/>
        <v>0.23057112613366079</v>
      </c>
      <c r="G77">
        <f t="shared" si="58"/>
        <v>0.2005634715599624</v>
      </c>
      <c r="H77">
        <f t="shared" si="59"/>
        <v>-2.9410291784400378</v>
      </c>
      <c r="J77">
        <f t="shared" si="60"/>
        <v>15</v>
      </c>
      <c r="M77">
        <f t="shared" si="61"/>
        <v>1.0496505446521679E-2</v>
      </c>
      <c r="N77">
        <f t="shared" si="62"/>
        <v>-1.5707963250000001</v>
      </c>
      <c r="O77">
        <f t="shared" si="63"/>
        <v>20.202930909401434</v>
      </c>
      <c r="P77">
        <f t="shared" si="64"/>
        <v>1.5212783240097816</v>
      </c>
      <c r="Q77">
        <f t="shared" si="65"/>
        <v>3.1648323756840173</v>
      </c>
      <c r="R77">
        <f t="shared" si="66"/>
        <v>1.2493148336191842</v>
      </c>
      <c r="S77">
        <f t="shared" si="67"/>
        <v>0.99642530530249451</v>
      </c>
      <c r="T77">
        <f t="shared" si="68"/>
        <v>-8.457927015981799E-2</v>
      </c>
      <c r="U77">
        <f t="shared" si="69"/>
        <v>0.99573065362640478</v>
      </c>
      <c r="V77">
        <f t="shared" si="70"/>
        <v>-9.2437954578936998E-2</v>
      </c>
      <c r="X77">
        <f t="shared" si="87"/>
        <v>7.2459695041873253</v>
      </c>
      <c r="Y77">
        <f t="shared" si="71"/>
        <v>-109.6103912367704</v>
      </c>
      <c r="Z77">
        <f t="shared" si="88"/>
        <v>70.389608763229603</v>
      </c>
      <c r="AC77">
        <v>1</v>
      </c>
      <c r="AD77">
        <f t="shared" si="72"/>
        <v>20.1781668476115</v>
      </c>
      <c r="AE77">
        <f t="shared" si="73"/>
        <v>-4.9065083430011795E-4</v>
      </c>
      <c r="AF77">
        <f t="shared" si="74"/>
        <v>5.2927668011610004E-3</v>
      </c>
      <c r="AG77">
        <f t="shared" si="89"/>
        <v>3762.5551896298161</v>
      </c>
      <c r="AH77">
        <f t="shared" si="90"/>
        <v>-537.73403397780498</v>
      </c>
      <c r="AJ77">
        <f t="shared" si="75"/>
        <v>18000</v>
      </c>
      <c r="AK77">
        <f t="shared" si="76"/>
        <v>1526.06758548636</v>
      </c>
      <c r="AL77">
        <v>1</v>
      </c>
      <c r="AM77">
        <f t="shared" si="77"/>
        <v>3.0026927858470205</v>
      </c>
      <c r="AN77">
        <f t="shared" si="91"/>
        <v>2254.586906315641</v>
      </c>
      <c r="AO77">
        <f t="shared" si="92"/>
        <v>-5243.764253172767</v>
      </c>
      <c r="AQ77">
        <f t="shared" si="78"/>
        <v>5.4054054054054053</v>
      </c>
      <c r="AR77">
        <f t="shared" si="79"/>
        <v>-232.43243243243242</v>
      </c>
      <c r="AT77">
        <f t="shared" si="52"/>
        <v>-104648.6933590043</v>
      </c>
      <c r="AU77">
        <f t="shared" si="53"/>
        <v>-877446.52534086432</v>
      </c>
      <c r="AV77">
        <f t="shared" si="93"/>
        <v>-1.6895006613484855</v>
      </c>
      <c r="AW77">
        <f t="shared" si="94"/>
        <v>-1198925.6706079047</v>
      </c>
      <c r="AX77">
        <f t="shared" si="95"/>
        <v>-564418.89828972425</v>
      </c>
      <c r="AY77">
        <f t="shared" si="103"/>
        <v>-2.7016008201429722</v>
      </c>
      <c r="BA77">
        <f t="shared" si="80"/>
        <v>0.66684735486372682</v>
      </c>
      <c r="BB77">
        <f t="shared" si="96"/>
        <v>-3.519471343474379</v>
      </c>
      <c r="BC77">
        <f t="shared" si="97"/>
        <v>1.0121001587944867</v>
      </c>
      <c r="BD77">
        <f t="shared" si="81"/>
        <v>-122.01093239029331</v>
      </c>
      <c r="BF77">
        <f t="shared" si="82"/>
        <v>7.2585691150364795</v>
      </c>
      <c r="BG77">
        <f t="shared" si="83"/>
        <v>-110.22227859817936</v>
      </c>
      <c r="BH77">
        <f t="shared" si="98"/>
        <v>69.777721401820642</v>
      </c>
      <c r="BI77">
        <f t="shared" si="99"/>
        <v>69.777721401820642</v>
      </c>
      <c r="BJ77">
        <f t="shared" si="84"/>
        <v>0</v>
      </c>
      <c r="BK77">
        <f t="shared" si="100"/>
        <v>0</v>
      </c>
      <c r="BM77">
        <f t="shared" si="101"/>
        <v>10.778040458510858</v>
      </c>
      <c r="BN77">
        <f t="shared" si="85"/>
        <v>-168.21134620788607</v>
      </c>
      <c r="BQ77" s="56">
        <f t="shared" si="102"/>
        <v>13.382489456810758</v>
      </c>
      <c r="BR77" s="58"/>
      <c r="BS77" s="58"/>
      <c r="BT77" s="58">
        <v>467.73500000000001</v>
      </c>
      <c r="BU77" s="58">
        <v>21.3672</v>
      </c>
      <c r="BV77" s="58">
        <v>-265.05009999999999</v>
      </c>
      <c r="BW77" s="61"/>
      <c r="BY77" s="58"/>
      <c r="BZ77" s="58"/>
      <c r="CA77" s="58"/>
      <c r="CC77" s="58"/>
    </row>
    <row r="78" spans="1:81" x14ac:dyDescent="0.2">
      <c r="A78">
        <f t="shared" si="54"/>
        <v>22000</v>
      </c>
      <c r="B78">
        <f t="shared" si="86"/>
        <v>22</v>
      </c>
      <c r="C78">
        <f t="shared" si="55"/>
        <v>1.0000140875182406</v>
      </c>
      <c r="D78">
        <f t="shared" si="56"/>
        <v>5.3079850905722193E-3</v>
      </c>
      <c r="F78">
        <f t="shared" si="57"/>
        <v>0.21816526618607579</v>
      </c>
      <c r="G78">
        <f t="shared" si="58"/>
        <v>0.19410275656946616</v>
      </c>
      <c r="H78">
        <f t="shared" si="59"/>
        <v>-2.947489893430534</v>
      </c>
      <c r="J78">
        <f t="shared" si="60"/>
        <v>15</v>
      </c>
      <c r="M78">
        <f t="shared" si="61"/>
        <v>1.0257948504555277E-2</v>
      </c>
      <c r="N78">
        <f t="shared" si="62"/>
        <v>-1.5707963250000001</v>
      </c>
      <c r="O78">
        <f t="shared" si="63"/>
        <v>20.671628450526871</v>
      </c>
      <c r="P78">
        <f t="shared" si="64"/>
        <v>1.522401956466473</v>
      </c>
      <c r="Q78">
        <f t="shared" si="65"/>
        <v>3.2311602664784465</v>
      </c>
      <c r="R78">
        <f t="shared" si="66"/>
        <v>1.2561435112009975</v>
      </c>
      <c r="S78">
        <f t="shared" si="67"/>
        <v>0.99625805005291668</v>
      </c>
      <c r="T78">
        <f t="shared" si="68"/>
        <v>-8.6536535368721204E-2</v>
      </c>
      <c r="U78">
        <f t="shared" si="69"/>
        <v>0.99553111499866243</v>
      </c>
      <c r="V78">
        <f t="shared" si="70"/>
        <v>-9.4575022732987235E-2</v>
      </c>
      <c r="X78">
        <f t="shared" si="87"/>
        <v>6.9420674408511251</v>
      </c>
      <c r="Y78">
        <f t="shared" si="71"/>
        <v>-109.75260534791357</v>
      </c>
      <c r="Z78">
        <f t="shared" si="88"/>
        <v>70.247394652086427</v>
      </c>
      <c r="AC78">
        <v>1</v>
      </c>
      <c r="AD78">
        <f t="shared" si="72"/>
        <v>20.647426541742</v>
      </c>
      <c r="AE78">
        <f t="shared" si="73"/>
        <v>-5.1373716344241651E-4</v>
      </c>
      <c r="AF78">
        <f t="shared" si="74"/>
        <v>5.4158544011879998E-3</v>
      </c>
      <c r="AG78">
        <f t="shared" si="89"/>
        <v>3761.0473524026925</v>
      </c>
      <c r="AH78">
        <f t="shared" si="90"/>
        <v>-541.4085352355072</v>
      </c>
      <c r="AJ78">
        <f t="shared" si="75"/>
        <v>18000</v>
      </c>
      <c r="AK78">
        <f t="shared" si="76"/>
        <v>1561.55752933488</v>
      </c>
      <c r="AL78">
        <v>1</v>
      </c>
      <c r="AM78">
        <f t="shared" si="77"/>
        <v>3.0725228506341602</v>
      </c>
      <c r="AN78">
        <f t="shared" si="91"/>
        <v>2183.6259595442298</v>
      </c>
      <c r="AO78">
        <f t="shared" si="92"/>
        <v>-5147.6831286027091</v>
      </c>
      <c r="AQ78">
        <f t="shared" si="78"/>
        <v>5.1626226122870422</v>
      </c>
      <c r="AR78">
        <f t="shared" si="79"/>
        <v>-227.15539494062983</v>
      </c>
      <c r="AT78">
        <f t="shared" si="52"/>
        <v>-103567.00153825308</v>
      </c>
      <c r="AU78">
        <f t="shared" si="53"/>
        <v>-857137.28467193583</v>
      </c>
      <c r="AV78">
        <f t="shared" si="93"/>
        <v>-1.6910423590146664</v>
      </c>
      <c r="AW78">
        <f t="shared" si="94"/>
        <v>-1150485.9034478001</v>
      </c>
      <c r="AX78">
        <f t="shared" si="95"/>
        <v>-534421.39652293117</v>
      </c>
      <c r="AY78">
        <f t="shared" si="103"/>
        <v>-2.7067313722832771</v>
      </c>
      <c r="BA78">
        <f t="shared" si="80"/>
        <v>0.68059614005869939</v>
      </c>
      <c r="BB78">
        <f t="shared" si="96"/>
        <v>-3.3422103659255797</v>
      </c>
      <c r="BC78">
        <f t="shared" si="97"/>
        <v>1.0156890132686107</v>
      </c>
      <c r="BD78">
        <f t="shared" si="81"/>
        <v>-121.80530617540441</v>
      </c>
      <c r="BF78">
        <f t="shared" si="82"/>
        <v>6.9554493426551147</v>
      </c>
      <c r="BG78">
        <f t="shared" si="83"/>
        <v>-110.37991227565519</v>
      </c>
      <c r="BH78">
        <f t="shared" si="98"/>
        <v>69.620087724344813</v>
      </c>
      <c r="BI78">
        <f t="shared" si="99"/>
        <v>69.620087724344813</v>
      </c>
      <c r="BJ78">
        <f t="shared" si="84"/>
        <v>0</v>
      </c>
      <c r="BK78">
        <f t="shared" si="100"/>
        <v>0</v>
      </c>
      <c r="BM78">
        <f t="shared" si="101"/>
        <v>10.297659708580696</v>
      </c>
      <c r="BN78">
        <f t="shared" si="85"/>
        <v>-168.5746061002508</v>
      </c>
      <c r="BQ78" s="56">
        <f t="shared" si="102"/>
        <v>13.559750434359557</v>
      </c>
      <c r="BR78" s="58"/>
      <c r="BS78" s="58"/>
      <c r="BT78" s="58">
        <v>478.63</v>
      </c>
      <c r="BU78" s="58">
        <v>21.195799999999998</v>
      </c>
      <c r="BV78" s="58">
        <v>-264.35129999999998</v>
      </c>
      <c r="BW78" s="61"/>
      <c r="BY78" s="58"/>
      <c r="BZ78" s="58"/>
      <c r="CA78" s="58"/>
      <c r="CC78" s="58"/>
    </row>
    <row r="79" spans="1:81" x14ac:dyDescent="0.2">
      <c r="A79">
        <f t="shared" si="54"/>
        <v>22500</v>
      </c>
      <c r="B79">
        <f t="shared" si="86"/>
        <v>22.5</v>
      </c>
      <c r="C79">
        <f t="shared" si="55"/>
        <v>1.0000147351318183</v>
      </c>
      <c r="D79">
        <f t="shared" si="56"/>
        <v>5.428618771617399E-3</v>
      </c>
      <c r="F79">
        <f t="shared" si="57"/>
        <v>0.20677962888363996</v>
      </c>
      <c r="G79">
        <f t="shared" si="58"/>
        <v>0.18808177537873449</v>
      </c>
      <c r="H79">
        <f t="shared" si="59"/>
        <v>-2.9535108746212657</v>
      </c>
      <c r="J79">
        <f t="shared" si="60"/>
        <v>15</v>
      </c>
      <c r="M79">
        <f t="shared" si="61"/>
        <v>1.0029994093342936E-2</v>
      </c>
      <c r="N79">
        <f t="shared" si="62"/>
        <v>-1.5707963250000001</v>
      </c>
      <c r="O79">
        <f t="shared" si="63"/>
        <v>21.140350933328591</v>
      </c>
      <c r="P79">
        <f t="shared" si="64"/>
        <v>1.5234757640180812</v>
      </c>
      <c r="Q79">
        <f t="shared" si="65"/>
        <v>3.2976327638257033</v>
      </c>
      <c r="R79">
        <f t="shared" si="66"/>
        <v>1.2626971841494203</v>
      </c>
      <c r="S79">
        <f t="shared" si="67"/>
        <v>0.9960870369758279</v>
      </c>
      <c r="T79">
        <f t="shared" si="68"/>
        <v>-8.8493136120721766E-2</v>
      </c>
      <c r="U79">
        <f t="shared" si="69"/>
        <v>0.99532711335270785</v>
      </c>
      <c r="V79">
        <f t="shared" si="70"/>
        <v>-9.6711224795010736E-2</v>
      </c>
      <c r="X79">
        <f t="shared" si="87"/>
        <v>6.6496738390494956</v>
      </c>
      <c r="Y79">
        <f t="shared" si="71"/>
        <v>-109.88814824468673</v>
      </c>
      <c r="Z79">
        <f t="shared" si="88"/>
        <v>70.111851755313268</v>
      </c>
      <c r="AC79">
        <v>1</v>
      </c>
      <c r="AD79">
        <f t="shared" si="72"/>
        <v>21.1166862358725</v>
      </c>
      <c r="AE79">
        <f t="shared" si="73"/>
        <v>-5.3735421279488304E-4</v>
      </c>
      <c r="AF79">
        <f t="shared" si="74"/>
        <v>5.5389420012150001E-3</v>
      </c>
      <c r="AG79">
        <f t="shared" si="89"/>
        <v>3759.5061022571185</v>
      </c>
      <c r="AH79">
        <f t="shared" si="90"/>
        <v>-545.26413914668854</v>
      </c>
      <c r="AJ79">
        <f t="shared" si="75"/>
        <v>18000</v>
      </c>
      <c r="AK79">
        <f t="shared" si="76"/>
        <v>1597.0474731833999</v>
      </c>
      <c r="AL79">
        <v>1</v>
      </c>
      <c r="AM79">
        <f t="shared" si="77"/>
        <v>3.1423529154213004</v>
      </c>
      <c r="AN79">
        <f t="shared" si="91"/>
        <v>2116.7627835220605</v>
      </c>
      <c r="AO79">
        <f t="shared" si="92"/>
        <v>-5054.5682308724536</v>
      </c>
      <c r="AQ79">
        <f t="shared" si="78"/>
        <v>4.9358341559723593</v>
      </c>
      <c r="AR79">
        <f t="shared" si="79"/>
        <v>-222.11253701875617</v>
      </c>
      <c r="AT79">
        <f t="shared" si="52"/>
        <v>-102553.70266211187</v>
      </c>
      <c r="AU79">
        <f t="shared" si="53"/>
        <v>-837724.77167185105</v>
      </c>
      <c r="AV79">
        <f t="shared" si="93"/>
        <v>-1.6926095490400037</v>
      </c>
      <c r="AW79">
        <f t="shared" si="94"/>
        <v>-1104805.3668907066</v>
      </c>
      <c r="AX79">
        <f t="shared" si="95"/>
        <v>-506726.96182652755</v>
      </c>
      <c r="AY79">
        <f t="shared" si="103"/>
        <v>-2.7115627450639819</v>
      </c>
      <c r="BA79">
        <f t="shared" si="80"/>
        <v>0.69436412648033752</v>
      </c>
      <c r="BB79">
        <f t="shared" si="96"/>
        <v>-3.1682544914838768</v>
      </c>
      <c r="BC79">
        <f t="shared" si="97"/>
        <v>1.0189531960239782</v>
      </c>
      <c r="BD79">
        <f t="shared" si="81"/>
        <v>-121.61828227974877</v>
      </c>
      <c r="BF79">
        <f t="shared" si="82"/>
        <v>6.6638537072908086</v>
      </c>
      <c r="BG79">
        <f t="shared" si="83"/>
        <v>-110.53095339035143</v>
      </c>
      <c r="BH79">
        <f t="shared" si="98"/>
        <v>69.469046609648572</v>
      </c>
      <c r="BI79">
        <f t="shared" si="99"/>
        <v>69.469046609648572</v>
      </c>
      <c r="BJ79">
        <f t="shared" si="84"/>
        <v>0</v>
      </c>
      <c r="BK79">
        <f t="shared" si="100"/>
        <v>0</v>
      </c>
      <c r="BM79">
        <f t="shared" si="101"/>
        <v>9.8321081987746854</v>
      </c>
      <c r="BN79">
        <f t="shared" si="85"/>
        <v>-168.91267111060267</v>
      </c>
      <c r="BQ79" s="56">
        <f t="shared" si="102"/>
        <v>13.733706308801262</v>
      </c>
      <c r="BR79" s="59"/>
      <c r="BS79" s="59"/>
      <c r="BT79" s="59">
        <v>489.779</v>
      </c>
      <c r="BU79" s="59">
        <v>20.944800000000001</v>
      </c>
      <c r="BV79" s="59">
        <v>-263.91079999999999</v>
      </c>
      <c r="BW79" s="61"/>
      <c r="BY79" s="59"/>
      <c r="BZ79" s="59"/>
      <c r="CA79" s="59"/>
      <c r="CC79" s="59"/>
    </row>
    <row r="80" spans="1:81" x14ac:dyDescent="0.2">
      <c r="A80">
        <f t="shared" si="54"/>
        <v>23000</v>
      </c>
      <c r="B80">
        <f t="shared" si="86"/>
        <v>23</v>
      </c>
      <c r="C80">
        <f t="shared" si="55"/>
        <v>1.0000153972980763</v>
      </c>
      <c r="D80">
        <f t="shared" si="56"/>
        <v>5.5492522946614473E-3</v>
      </c>
      <c r="F80">
        <f t="shared" si="57"/>
        <v>0.19630151003591345</v>
      </c>
      <c r="G80">
        <f t="shared" si="58"/>
        <v>0.1824553800164177</v>
      </c>
      <c r="H80">
        <f t="shared" si="59"/>
        <v>-2.9591372699835823</v>
      </c>
      <c r="J80">
        <f t="shared" si="60"/>
        <v>15</v>
      </c>
      <c r="M80">
        <f t="shared" si="61"/>
        <v>9.8119507434876567E-3</v>
      </c>
      <c r="N80">
        <f t="shared" si="62"/>
        <v>-1.5707963250000001</v>
      </c>
      <c r="O80">
        <f t="shared" si="63"/>
        <v>21.609096734778458</v>
      </c>
      <c r="P80">
        <f t="shared" si="64"/>
        <v>1.5245029865181494</v>
      </c>
      <c r="Q80">
        <f t="shared" si="65"/>
        <v>3.364241296093486</v>
      </c>
      <c r="R80">
        <f t="shared" si="66"/>
        <v>1.2689916065795972</v>
      </c>
      <c r="S80">
        <f t="shared" si="67"/>
        <v>0.99591227193311604</v>
      </c>
      <c r="T80">
        <f t="shared" si="68"/>
        <v>-9.0449057781002984E-2</v>
      </c>
      <c r="U80">
        <f t="shared" si="69"/>
        <v>0.99511865701543167</v>
      </c>
      <c r="V80">
        <f t="shared" si="70"/>
        <v>-9.8846541806913352E-2</v>
      </c>
      <c r="X80">
        <f t="shared" si="87"/>
        <v>6.3679329893406802</v>
      </c>
      <c r="Y80">
        <f t="shared" si="71"/>
        <v>-110.01851651653065</v>
      </c>
      <c r="Z80">
        <f t="shared" si="88"/>
        <v>69.981483483469347</v>
      </c>
      <c r="AC80">
        <v>1</v>
      </c>
      <c r="AD80">
        <f t="shared" si="72"/>
        <v>21.585945930003</v>
      </c>
      <c r="AE80">
        <f t="shared" si="73"/>
        <v>-5.6150198235751733E-4</v>
      </c>
      <c r="AF80">
        <f t="shared" si="74"/>
        <v>5.6620296012419996E-3</v>
      </c>
      <c r="AG80">
        <f t="shared" si="89"/>
        <v>3757.9315228144978</v>
      </c>
      <c r="AH80">
        <f t="shared" si="90"/>
        <v>-549.28819145380817</v>
      </c>
      <c r="AJ80">
        <f t="shared" si="75"/>
        <v>18000</v>
      </c>
      <c r="AK80">
        <f t="shared" si="76"/>
        <v>1632.5374170319199</v>
      </c>
      <c r="AL80">
        <v>1</v>
      </c>
      <c r="AM80">
        <f t="shared" si="77"/>
        <v>3.2121829802084401</v>
      </c>
      <c r="AN80">
        <f t="shared" si="91"/>
        <v>2053.6988418394881</v>
      </c>
      <c r="AO80">
        <f t="shared" si="92"/>
        <v>-4964.3190491986688</v>
      </c>
      <c r="AQ80">
        <f t="shared" si="78"/>
        <v>4.7236655644780345</v>
      </c>
      <c r="AR80">
        <f t="shared" si="79"/>
        <v>-217.28861596598961</v>
      </c>
      <c r="AT80">
        <f t="shared" si="52"/>
        <v>-101602.85915947416</v>
      </c>
      <c r="AU80">
        <f t="shared" si="53"/>
        <v>-819150.39320227061</v>
      </c>
      <c r="AV80">
        <f t="shared" si="93"/>
        <v>-1.6942005020367645</v>
      </c>
      <c r="AW80">
        <f t="shared" si="94"/>
        <v>-1061687.0849065483</v>
      </c>
      <c r="AX80">
        <f t="shared" si="95"/>
        <v>-481116.384926036</v>
      </c>
      <c r="AY80">
        <f t="shared" si="103"/>
        <v>-2.7161122083780405</v>
      </c>
      <c r="BA80">
        <f t="shared" si="80"/>
        <v>0.7081491381545657</v>
      </c>
      <c r="BB80">
        <f t="shared" si="96"/>
        <v>-2.9975053813251518</v>
      </c>
      <c r="BC80">
        <f t="shared" si="97"/>
        <v>1.0219117063412759</v>
      </c>
      <c r="BD80">
        <f t="shared" si="81"/>
        <v>-121.44877212472799</v>
      </c>
      <c r="BF80">
        <f t="shared" si="82"/>
        <v>6.3829263458585999</v>
      </c>
      <c r="BG80">
        <f t="shared" si="83"/>
        <v>-110.67690015208561</v>
      </c>
      <c r="BH80">
        <f t="shared" si="98"/>
        <v>69.323099847914392</v>
      </c>
      <c r="BI80">
        <f t="shared" si="99"/>
        <v>69.323099847914392</v>
      </c>
      <c r="BJ80">
        <f t="shared" si="84"/>
        <v>0</v>
      </c>
      <c r="BK80">
        <f t="shared" si="100"/>
        <v>0</v>
      </c>
      <c r="BM80">
        <f t="shared" si="101"/>
        <v>9.3804317271837512</v>
      </c>
      <c r="BN80">
        <f t="shared" si="85"/>
        <v>-169.22812802735763</v>
      </c>
      <c r="BQ80" s="56">
        <f t="shared" si="102"/>
        <v>13.904455418959984</v>
      </c>
      <c r="BR80" s="59"/>
      <c r="BS80" s="59"/>
      <c r="BT80" s="59">
        <v>501.18700000000001</v>
      </c>
      <c r="BU80" s="59">
        <v>20.7819</v>
      </c>
      <c r="BV80" s="59">
        <v>-264.7826</v>
      </c>
      <c r="BW80" s="61"/>
      <c r="BY80" s="59"/>
      <c r="BZ80" s="59"/>
      <c r="CA80" s="59"/>
      <c r="CC80" s="59"/>
    </row>
    <row r="81" spans="1:81" x14ac:dyDescent="0.2">
      <c r="A81">
        <f t="shared" si="54"/>
        <v>23500</v>
      </c>
      <c r="B81">
        <f t="shared" si="86"/>
        <v>23.5</v>
      </c>
      <c r="C81">
        <f t="shared" si="55"/>
        <v>1.0000160740169859</v>
      </c>
      <c r="D81">
        <f t="shared" si="56"/>
        <v>5.6698856561936571E-3</v>
      </c>
      <c r="F81">
        <f t="shared" si="57"/>
        <v>0.18663373251330553</v>
      </c>
      <c r="G81">
        <f t="shared" si="58"/>
        <v>0.17718448670675627</v>
      </c>
      <c r="H81">
        <f t="shared" si="59"/>
        <v>-2.964408163293244</v>
      </c>
      <c r="J81">
        <f t="shared" si="60"/>
        <v>15</v>
      </c>
      <c r="M81">
        <f t="shared" si="61"/>
        <v>9.603185834051748E-3</v>
      </c>
      <c r="N81">
        <f t="shared" si="62"/>
        <v>-1.5707963250000001</v>
      </c>
      <c r="O81">
        <f t="shared" si="63"/>
        <v>22.077864369608079</v>
      </c>
      <c r="P81">
        <f t="shared" si="64"/>
        <v>1.5254865890739513</v>
      </c>
      <c r="Q81">
        <f t="shared" si="65"/>
        <v>3.4309779404014185</v>
      </c>
      <c r="R81">
        <f t="shared" si="66"/>
        <v>1.2750413928354878</v>
      </c>
      <c r="S81">
        <f t="shared" si="67"/>
        <v>0.99573376090971455</v>
      </c>
      <c r="T81">
        <f t="shared" si="68"/>
        <v>-9.2404285745688541E-2</v>
      </c>
      <c r="U81">
        <f t="shared" si="69"/>
        <v>0.99490575448612084</v>
      </c>
      <c r="V81">
        <f t="shared" si="70"/>
        <v>-0.10098095485858974</v>
      </c>
      <c r="X81">
        <f t="shared" si="87"/>
        <v>6.09607753175756</v>
      </c>
      <c r="Y81">
        <f t="shared" si="71"/>
        <v>-110.14494035047483</v>
      </c>
      <c r="Z81">
        <f t="shared" si="88"/>
        <v>69.855059649525174</v>
      </c>
      <c r="AC81">
        <v>1</v>
      </c>
      <c r="AD81">
        <f t="shared" si="72"/>
        <v>22.055205624133499</v>
      </c>
      <c r="AE81">
        <f t="shared" si="73"/>
        <v>-5.8618047213031938E-4</v>
      </c>
      <c r="AF81">
        <f t="shared" si="74"/>
        <v>5.7851172012689999E-3</v>
      </c>
      <c r="AG81">
        <f t="shared" si="89"/>
        <v>3756.3236993977212</v>
      </c>
      <c r="AH81">
        <f t="shared" si="90"/>
        <v>-553.46909806510257</v>
      </c>
      <c r="AJ81">
        <f t="shared" si="75"/>
        <v>18000</v>
      </c>
      <c r="AK81">
        <f t="shared" si="76"/>
        <v>1668.0273608804398</v>
      </c>
      <c r="AL81">
        <v>1</v>
      </c>
      <c r="AM81">
        <f t="shared" si="77"/>
        <v>3.2820130449955807</v>
      </c>
      <c r="AN81">
        <f t="shared" si="91"/>
        <v>1994.1612320321528</v>
      </c>
      <c r="AO81">
        <f t="shared" si="92"/>
        <v>-4876.8358164735455</v>
      </c>
      <c r="AQ81">
        <f t="shared" si="78"/>
        <v>4.5248868778280542</v>
      </c>
      <c r="AR81">
        <f t="shared" si="79"/>
        <v>-212.66968325791856</v>
      </c>
      <c r="AT81">
        <f t="shared" si="52"/>
        <v>-100709.15796227196</v>
      </c>
      <c r="AU81">
        <f t="shared" si="53"/>
        <v>-801360.55642424442</v>
      </c>
      <c r="AV81">
        <f t="shared" si="93"/>
        <v>-1.6958136333503702</v>
      </c>
      <c r="AW81">
        <f t="shared" si="94"/>
        <v>-1020950.4832278556</v>
      </c>
      <c r="AX81">
        <f t="shared" si="95"/>
        <v>-457394.90111427277</v>
      </c>
      <c r="AY81">
        <f t="shared" si="103"/>
        <v>-2.7203957625234949</v>
      </c>
      <c r="BA81">
        <f t="shared" si="80"/>
        <v>0.72194914361143681</v>
      </c>
      <c r="BB81">
        <f t="shared" si="96"/>
        <v>-2.8298678886856408</v>
      </c>
      <c r="BC81">
        <f t="shared" si="97"/>
        <v>1.0245821291731247</v>
      </c>
      <c r="BD81">
        <f t="shared" si="81"/>
        <v>-121.29576816677285</v>
      </c>
      <c r="BF81">
        <f t="shared" si="82"/>
        <v>6.1118997417109791</v>
      </c>
      <c r="BG81">
        <f t="shared" si="83"/>
        <v>-110.81898435289072</v>
      </c>
      <c r="BH81">
        <f t="shared" si="98"/>
        <v>69.181015647109277</v>
      </c>
      <c r="BI81">
        <f t="shared" si="99"/>
        <v>69.181015647109277</v>
      </c>
      <c r="BJ81">
        <f t="shared" si="84"/>
        <v>0</v>
      </c>
      <c r="BK81">
        <f t="shared" si="100"/>
        <v>0</v>
      </c>
      <c r="BM81">
        <f t="shared" si="101"/>
        <v>8.9417676303966207</v>
      </c>
      <c r="BN81">
        <f t="shared" si="85"/>
        <v>-169.52321618611788</v>
      </c>
      <c r="BQ81" s="56">
        <f t="shared" si="102"/>
        <v>14.072092911599496</v>
      </c>
      <c r="BR81" s="59"/>
      <c r="BS81" s="59"/>
      <c r="BT81" s="59">
        <v>512.86099999999999</v>
      </c>
      <c r="BU81" s="59">
        <v>20.634799999999998</v>
      </c>
      <c r="BV81" s="59">
        <v>-265.04300000000001</v>
      </c>
      <c r="BW81" s="61"/>
      <c r="BY81" s="59"/>
      <c r="BZ81" s="59"/>
      <c r="CA81" s="59"/>
      <c r="CC81" s="59"/>
    </row>
    <row r="82" spans="1:81" x14ac:dyDescent="0.2">
      <c r="A82">
        <f t="shared" si="54"/>
        <v>24000</v>
      </c>
      <c r="B82">
        <f t="shared" si="86"/>
        <v>24</v>
      </c>
      <c r="C82">
        <f t="shared" si="55"/>
        <v>1.0000167652885175</v>
      </c>
      <c r="D82">
        <f t="shared" si="56"/>
        <v>5.7905188527033469E-3</v>
      </c>
      <c r="F82">
        <f t="shared" si="57"/>
        <v>0.17769210474475428</v>
      </c>
      <c r="G82">
        <f t="shared" si="58"/>
        <v>0.17223508718813396</v>
      </c>
      <c r="H82">
        <f t="shared" si="59"/>
        <v>-2.969357562811866</v>
      </c>
      <c r="J82">
        <f t="shared" si="60"/>
        <v>15</v>
      </c>
      <c r="M82">
        <f t="shared" si="61"/>
        <v>9.403119462509003E-3</v>
      </c>
      <c r="N82">
        <f t="shared" si="62"/>
        <v>-1.5707963250000001</v>
      </c>
      <c r="O82">
        <f t="shared" si="63"/>
        <v>22.546652476003565</v>
      </c>
      <c r="P82">
        <f t="shared" si="64"/>
        <v>1.5264292905468382</v>
      </c>
      <c r="Q82">
        <f t="shared" si="65"/>
        <v>3.4978353638497479</v>
      </c>
      <c r="R82">
        <f t="shared" si="66"/>
        <v>1.2808601147977399</v>
      </c>
      <c r="S82">
        <f t="shared" si="67"/>
        <v>0.99555151001304076</v>
      </c>
      <c r="T82">
        <f t="shared" si="68"/>
        <v>-9.4358805442474436E-2</v>
      </c>
      <c r="U82">
        <f t="shared" si="69"/>
        <v>0.99468841443550826</v>
      </c>
      <c r="V82">
        <f t="shared" si="70"/>
        <v>-0.10311444508888686</v>
      </c>
      <c r="X82">
        <f t="shared" si="87"/>
        <v>5.8334171076582049</v>
      </c>
      <c r="Y82">
        <f t="shared" si="71"/>
        <v>-110.26843297022297</v>
      </c>
      <c r="Z82">
        <f t="shared" si="88"/>
        <v>69.731567029777025</v>
      </c>
      <c r="AC82">
        <v>1</v>
      </c>
      <c r="AD82">
        <f t="shared" si="72"/>
        <v>22.524465318263999</v>
      </c>
      <c r="AE82">
        <f t="shared" si="73"/>
        <v>-6.1138968211328919E-4</v>
      </c>
      <c r="AF82">
        <f t="shared" si="74"/>
        <v>5.9082048012960003E-3</v>
      </c>
      <c r="AG82">
        <f t="shared" si="89"/>
        <v>3754.6827190197637</v>
      </c>
      <c r="AH82">
        <f t="shared" si="90"/>
        <v>-557.79621473088571</v>
      </c>
      <c r="AJ82">
        <f t="shared" si="75"/>
        <v>18000</v>
      </c>
      <c r="AK82">
        <f t="shared" si="76"/>
        <v>1703.5173047289602</v>
      </c>
      <c r="AL82">
        <v>1</v>
      </c>
      <c r="AM82">
        <f t="shared" si="77"/>
        <v>3.3518431097827204</v>
      </c>
      <c r="AN82">
        <f t="shared" si="91"/>
        <v>1937.900212401415</v>
      </c>
      <c r="AO82">
        <f t="shared" si="92"/>
        <v>-4792.020169655194</v>
      </c>
      <c r="AQ82">
        <f t="shared" si="78"/>
        <v>4.3383947939262475</v>
      </c>
      <c r="AR82">
        <f t="shared" si="79"/>
        <v>-208.24295010845987</v>
      </c>
      <c r="AT82">
        <f t="shared" si="52"/>
        <v>-99867.833353851413</v>
      </c>
      <c r="AU82">
        <f t="shared" si="53"/>
        <v>-784306.14632398926</v>
      </c>
      <c r="AV82">
        <f t="shared" si="93"/>
        <v>-1.6974474880956247</v>
      </c>
      <c r="AW82">
        <f t="shared" si="94"/>
        <v>-982429.88244066678</v>
      </c>
      <c r="AX82">
        <f t="shared" si="95"/>
        <v>-435389.09867526783</v>
      </c>
      <c r="AY82">
        <f t="shared" si="103"/>
        <v>-2.7244282490468947</v>
      </c>
      <c r="BA82">
        <f t="shared" si="80"/>
        <v>0.73576224257923828</v>
      </c>
      <c r="BB82">
        <f t="shared" si="96"/>
        <v>-2.6652500561165349</v>
      </c>
      <c r="BC82">
        <f t="shared" si="97"/>
        <v>1.02698076095127</v>
      </c>
      <c r="BD82">
        <f t="shared" si="81"/>
        <v>-121.15833668912214</v>
      </c>
      <c r="BF82">
        <f t="shared" si="82"/>
        <v>5.8500833765154949</v>
      </c>
      <c r="BG82">
        <f t="shared" si="83"/>
        <v>-110.95822080606811</v>
      </c>
      <c r="BH82">
        <f t="shared" si="98"/>
        <v>69.041779193931887</v>
      </c>
      <c r="BI82">
        <f t="shared" si="99"/>
        <v>69.041779193931887</v>
      </c>
      <c r="BJ82">
        <f t="shared" si="84"/>
        <v>0</v>
      </c>
      <c r="BK82">
        <f t="shared" si="100"/>
        <v>0</v>
      </c>
      <c r="BM82">
        <f t="shared" si="101"/>
        <v>8.5153334326320298</v>
      </c>
      <c r="BN82">
        <f t="shared" si="85"/>
        <v>-169.799884116946</v>
      </c>
      <c r="BQ82" s="56">
        <f t="shared" si="102"/>
        <v>14.236710744168601</v>
      </c>
      <c r="BR82" s="59"/>
      <c r="BS82" s="59"/>
      <c r="BT82" s="59">
        <v>524.80700000000002</v>
      </c>
      <c r="BU82" s="59">
        <v>20.243600000000001</v>
      </c>
      <c r="BV82" s="59">
        <v>-263.95569999999998</v>
      </c>
      <c r="BW82" s="61"/>
      <c r="BY82" s="59"/>
      <c r="BZ82" s="59"/>
      <c r="CA82" s="59"/>
      <c r="CC82" s="59"/>
    </row>
    <row r="83" spans="1:81" x14ac:dyDescent="0.2">
      <c r="A83">
        <f t="shared" si="54"/>
        <v>24500</v>
      </c>
      <c r="B83">
        <f t="shared" si="86"/>
        <v>24.5</v>
      </c>
      <c r="C83">
        <f t="shared" si="55"/>
        <v>1.0000174711126411</v>
      </c>
      <c r="D83">
        <f t="shared" si="56"/>
        <v>5.9111518806798657E-3</v>
      </c>
      <c r="F83">
        <f t="shared" si="57"/>
        <v>0.16940335702611023</v>
      </c>
      <c r="G83">
        <f t="shared" si="58"/>
        <v>0.16757744715303052</v>
      </c>
      <c r="H83">
        <f t="shared" si="59"/>
        <v>-2.9740152028469695</v>
      </c>
      <c r="J83">
        <f t="shared" si="60"/>
        <v>15</v>
      </c>
      <c r="M83">
        <f t="shared" si="61"/>
        <v>9.2112190653149423E-3</v>
      </c>
      <c r="N83">
        <f t="shared" si="62"/>
        <v>-1.5707963250000001</v>
      </c>
      <c r="O83">
        <f t="shared" si="63"/>
        <v>23.015459803045786</v>
      </c>
      <c r="P83">
        <f t="shared" si="64"/>
        <v>1.5273335885791819</v>
      </c>
      <c r="Q83">
        <f t="shared" si="65"/>
        <v>3.5648067708602365</v>
      </c>
      <c r="R83">
        <f t="shared" si="66"/>
        <v>1.2864603898413076</v>
      </c>
      <c r="S83">
        <f t="shared" si="67"/>
        <v>0.9953655254724223</v>
      </c>
      <c r="T83">
        <f t="shared" si="68"/>
        <v>-9.6312602331257352E-2</v>
      </c>
      <c r="U83">
        <f t="shared" si="69"/>
        <v>0.99446664570480614</v>
      </c>
      <c r="V83">
        <f t="shared" si="70"/>
        <v>-0.10524699368656076</v>
      </c>
      <c r="X83">
        <f t="shared" si="87"/>
        <v>5.5793287214974914</v>
      </c>
      <c r="Y83">
        <f t="shared" si="71"/>
        <v>-110.38983008871354</v>
      </c>
      <c r="Z83">
        <f t="shared" si="88"/>
        <v>69.610169911286462</v>
      </c>
      <c r="AC83">
        <v>1</v>
      </c>
      <c r="AD83">
        <f t="shared" si="72"/>
        <v>22.993725012394499</v>
      </c>
      <c r="AE83">
        <f t="shared" si="73"/>
        <v>-6.3712961230642665E-4</v>
      </c>
      <c r="AF83">
        <f t="shared" si="74"/>
        <v>6.0312924013229997E-3</v>
      </c>
      <c r="AG83">
        <f t="shared" si="89"/>
        <v>3753.0086703720763</v>
      </c>
      <c r="AH83">
        <f t="shared" si="90"/>
        <v>-562.25975023080446</v>
      </c>
      <c r="AJ83">
        <f t="shared" si="75"/>
        <v>18000</v>
      </c>
      <c r="AK83">
        <f t="shared" si="76"/>
        <v>1739.0072485774799</v>
      </c>
      <c r="AL83">
        <v>1</v>
      </c>
      <c r="AM83">
        <f t="shared" si="77"/>
        <v>3.4216731745698605</v>
      </c>
      <c r="AN83">
        <f t="shared" si="91"/>
        <v>1884.6869860690758</v>
      </c>
      <c r="AO83">
        <f t="shared" si="92"/>
        <v>-4709.775654115997</v>
      </c>
      <c r="AQ83">
        <f t="shared" si="78"/>
        <v>4.1631973355537051</v>
      </c>
      <c r="AR83">
        <f t="shared" si="79"/>
        <v>-203.99666944213155</v>
      </c>
      <c r="AT83">
        <f t="shared" si="52"/>
        <v>-99074.600711645893</v>
      </c>
      <c r="AU83">
        <f t="shared" si="53"/>
        <v>-767942.06743739604</v>
      </c>
      <c r="AV83">
        <f t="shared" si="93"/>
        <v>-1.6991007280106338</v>
      </c>
      <c r="AW83">
        <f t="shared" si="94"/>
        <v>-945973.13498202467</v>
      </c>
      <c r="AX83">
        <f t="shared" si="95"/>
        <v>-414944.26116233709</v>
      </c>
      <c r="AY83">
        <f t="shared" si="103"/>
        <v>-2.728223450581202</v>
      </c>
      <c r="BA83">
        <f t="shared" si="80"/>
        <v>0.74958665409215219</v>
      </c>
      <c r="BB83">
        <f t="shared" si="96"/>
        <v>-2.503563087702561</v>
      </c>
      <c r="BC83">
        <f t="shared" si="97"/>
        <v>1.0291227225705681</v>
      </c>
      <c r="BD83">
        <f t="shared" si="81"/>
        <v>-121.0356113283171</v>
      </c>
      <c r="BF83">
        <f t="shared" si="82"/>
        <v>5.5968540920539187</v>
      </c>
      <c r="BG83">
        <f t="shared" si="83"/>
        <v>-111.09544679868978</v>
      </c>
      <c r="BH83">
        <f t="shared" si="98"/>
        <v>68.904553201310222</v>
      </c>
      <c r="BI83">
        <f t="shared" si="99"/>
        <v>68.904553201310222</v>
      </c>
      <c r="BJ83">
        <f t="shared" si="84"/>
        <v>0</v>
      </c>
      <c r="BK83">
        <f t="shared" si="100"/>
        <v>0</v>
      </c>
      <c r="BM83">
        <f t="shared" si="101"/>
        <v>8.1004171797564801</v>
      </c>
      <c r="BN83">
        <f t="shared" si="85"/>
        <v>-170.05983547037266</v>
      </c>
      <c r="BQ83" s="56">
        <f t="shared" si="102"/>
        <v>14.398397712582575</v>
      </c>
      <c r="BR83" s="59"/>
      <c r="BS83" s="59"/>
      <c r="BT83" s="59">
        <v>537.03200000000004</v>
      </c>
      <c r="BU83" s="59">
        <v>20.2926</v>
      </c>
      <c r="BV83" s="59">
        <v>-264.56819999999999</v>
      </c>
      <c r="BW83" s="61"/>
      <c r="BY83" s="59"/>
      <c r="BZ83" s="59"/>
      <c r="CA83" s="59"/>
      <c r="CC83" s="59"/>
    </row>
    <row r="84" spans="1:81" x14ac:dyDescent="0.2">
      <c r="A84">
        <f t="shared" si="54"/>
        <v>25000</v>
      </c>
      <c r="B84">
        <f t="shared" si="86"/>
        <v>25</v>
      </c>
      <c r="C84">
        <f t="shared" si="55"/>
        <v>1.0000181914893254</v>
      </c>
      <c r="D84">
        <f t="shared" si="56"/>
        <v>6.0317847366125922E-3</v>
      </c>
      <c r="F84">
        <f t="shared" si="57"/>
        <v>0.16170345497490468</v>
      </c>
      <c r="G84">
        <f t="shared" si="58"/>
        <v>0.16318545187669298</v>
      </c>
      <c r="H84">
        <f t="shared" si="59"/>
        <v>-2.9784071981233073</v>
      </c>
      <c r="J84">
        <f t="shared" si="60"/>
        <v>15</v>
      </c>
      <c r="M84">
        <f t="shared" si="61"/>
        <v>9.0269946840086431E-3</v>
      </c>
      <c r="N84">
        <f t="shared" si="62"/>
        <v>-1.5707963250000001</v>
      </c>
      <c r="O84">
        <f t="shared" si="63"/>
        <v>23.484285199652682</v>
      </c>
      <c r="P84">
        <f t="shared" si="64"/>
        <v>1.5282017816316502</v>
      </c>
      <c r="Q84">
        <f t="shared" si="65"/>
        <v>3.6318858559211944</v>
      </c>
      <c r="R84">
        <f t="shared" si="66"/>
        <v>1.291853960413887</v>
      </c>
      <c r="S84">
        <f t="shared" si="67"/>
        <v>0.99517581363851104</v>
      </c>
      <c r="T84">
        <f t="shared" si="68"/>
        <v>-9.8265661904759466E-2</v>
      </c>
      <c r="U84">
        <f t="shared" si="69"/>
        <v>0.99424045730471944</v>
      </c>
      <c r="V84">
        <f t="shared" si="70"/>
        <v>-0.10737858189122677</v>
      </c>
      <c r="X84">
        <f t="shared" si="87"/>
        <v>5.3332485214627043</v>
      </c>
      <c r="Y84">
        <f t="shared" si="71"/>
        <v>-110.50982157877338</v>
      </c>
      <c r="Z84">
        <f t="shared" si="88"/>
        <v>69.490178421226616</v>
      </c>
      <c r="AC84">
        <v>1</v>
      </c>
      <c r="AD84">
        <f t="shared" si="72"/>
        <v>23.462984706524999</v>
      </c>
      <c r="AE84">
        <f t="shared" si="73"/>
        <v>-6.6340026270973209E-4</v>
      </c>
      <c r="AF84">
        <f t="shared" si="74"/>
        <v>6.1543800013500001E-3</v>
      </c>
      <c r="AG84">
        <f t="shared" si="89"/>
        <v>3751.3016438127665</v>
      </c>
      <c r="AH84">
        <f t="shared" si="90"/>
        <v>-566.85068118049116</v>
      </c>
      <c r="AJ84">
        <f t="shared" si="75"/>
        <v>18000</v>
      </c>
      <c r="AK84">
        <f t="shared" si="76"/>
        <v>1774.4971924259999</v>
      </c>
      <c r="AL84">
        <v>1</v>
      </c>
      <c r="AM84">
        <f t="shared" si="77"/>
        <v>3.4915032393570002</v>
      </c>
      <c r="AN84">
        <f t="shared" si="91"/>
        <v>1834.3117147663106</v>
      </c>
      <c r="AO84">
        <f t="shared" si="92"/>
        <v>-4630.0081016710683</v>
      </c>
      <c r="AQ84">
        <f t="shared" si="78"/>
        <v>3.9984006397441023</v>
      </c>
      <c r="AR84">
        <f t="shared" si="79"/>
        <v>-199.92003198720511</v>
      </c>
      <c r="AT84">
        <f t="shared" si="52"/>
        <v>-98325.599421078732</v>
      </c>
      <c r="AU84">
        <f t="shared" si="53"/>
        <v>-752226.84075097484</v>
      </c>
      <c r="AV84">
        <f t="shared" si="93"/>
        <v>-1.7007721198762191</v>
      </c>
      <c r="AW84">
        <f t="shared" si="94"/>
        <v>-911440.39315515058</v>
      </c>
      <c r="AX84">
        <f t="shared" si="95"/>
        <v>-395922.07704758318</v>
      </c>
      <c r="AY84">
        <f t="shared" si="103"/>
        <v>-2.7317941808807134</v>
      </c>
      <c r="BA84">
        <f t="shared" si="80"/>
        <v>0.763420705842905</v>
      </c>
      <c r="BB84">
        <f t="shared" si="96"/>
        <v>-2.3447213019022137</v>
      </c>
      <c r="BC84">
        <f t="shared" si="97"/>
        <v>1.0310220610044942</v>
      </c>
      <c r="BD84">
        <f t="shared" si="81"/>
        <v>-120.9267872520618</v>
      </c>
      <c r="BF84">
        <f t="shared" si="82"/>
        <v>5.3516478708859525</v>
      </c>
      <c r="BG84">
        <f t="shared" si="83"/>
        <v>-111.23135376217411</v>
      </c>
      <c r="BH84">
        <f t="shared" si="98"/>
        <v>68.768646237825891</v>
      </c>
      <c r="BI84">
        <f t="shared" si="99"/>
        <v>68.768646237825891</v>
      </c>
      <c r="BJ84">
        <f t="shared" si="84"/>
        <v>0</v>
      </c>
      <c r="BK84">
        <f t="shared" si="100"/>
        <v>0</v>
      </c>
      <c r="BM84">
        <f t="shared" si="101"/>
        <v>7.6963691727881658</v>
      </c>
      <c r="BN84">
        <f t="shared" si="85"/>
        <v>-170.30456651011229</v>
      </c>
      <c r="BQ84" s="56">
        <f t="shared" si="102"/>
        <v>14.557239498382923</v>
      </c>
      <c r="BR84" s="59"/>
      <c r="BS84" s="59"/>
      <c r="BT84" s="59">
        <v>549.54100000000005</v>
      </c>
      <c r="BU84" s="59">
        <v>19.992000000000001</v>
      </c>
      <c r="BV84" s="59">
        <v>-264.47620000000001</v>
      </c>
      <c r="BW84" s="61"/>
      <c r="BY84" s="59"/>
      <c r="BZ84" s="59"/>
      <c r="CA84" s="59"/>
      <c r="CC84" s="59"/>
    </row>
    <row r="85" spans="1:81" x14ac:dyDescent="0.2">
      <c r="A85">
        <f t="shared" si="54"/>
        <v>25500</v>
      </c>
      <c r="B85">
        <f t="shared" si="86"/>
        <v>25.5</v>
      </c>
      <c r="C85">
        <f t="shared" si="55"/>
        <v>1.0000189264185393</v>
      </c>
      <c r="D85">
        <f t="shared" si="56"/>
        <v>6.1524174169909317E-3</v>
      </c>
      <c r="F85">
        <f t="shared" si="57"/>
        <v>0.15453621279468974</v>
      </c>
      <c r="G85">
        <f t="shared" si="58"/>
        <v>0.15903606851647226</v>
      </c>
      <c r="H85">
        <f t="shared" si="59"/>
        <v>-2.9825565814835278</v>
      </c>
      <c r="J85">
        <f t="shared" si="60"/>
        <v>15</v>
      </c>
      <c r="M85">
        <f t="shared" si="61"/>
        <v>8.849994788243767E-3</v>
      </c>
      <c r="N85">
        <f t="shared" si="62"/>
        <v>-1.5707963250000001</v>
      </c>
      <c r="O85">
        <f t="shared" si="63"/>
        <v>23.95312760481826</v>
      </c>
      <c r="P85">
        <f t="shared" si="64"/>
        <v>1.5290359884391012</v>
      </c>
      <c r="Q85">
        <f t="shared" si="65"/>
        <v>3.6990667611177579</v>
      </c>
      <c r="R85">
        <f t="shared" si="66"/>
        <v>1.2970517661020811</v>
      </c>
      <c r="S85">
        <f t="shared" si="67"/>
        <v>0.99498238098269021</v>
      </c>
      <c r="T85">
        <f t="shared" si="68"/>
        <v>-0.10021796968914946</v>
      </c>
      <c r="U85">
        <f t="shared" si="69"/>
        <v>0.99400985841444522</v>
      </c>
      <c r="V85">
        <f t="shared" si="70"/>
        <v>-0.10950919099430294</v>
      </c>
      <c r="X85">
        <f t="shared" si="87"/>
        <v>5.0946647622966292</v>
      </c>
      <c r="Y85">
        <f t="shared" si="71"/>
        <v>-110.62897703735881</v>
      </c>
      <c r="Z85">
        <f t="shared" si="88"/>
        <v>69.371022962641192</v>
      </c>
      <c r="AC85">
        <v>1</v>
      </c>
      <c r="AD85">
        <f t="shared" si="72"/>
        <v>23.932244400655499</v>
      </c>
      <c r="AE85">
        <f t="shared" si="73"/>
        <v>-6.9020163332320539E-4</v>
      </c>
      <c r="AF85">
        <f t="shared" si="74"/>
        <v>6.2774676013770004E-3</v>
      </c>
      <c r="AG85">
        <f t="shared" si="89"/>
        <v>3749.5617313545913</v>
      </c>
      <c r="AH85">
        <f t="shared" si="90"/>
        <v>-571.5606768627664</v>
      </c>
      <c r="AJ85">
        <f t="shared" si="75"/>
        <v>18000</v>
      </c>
      <c r="AK85">
        <f t="shared" si="76"/>
        <v>1809.98713627452</v>
      </c>
      <c r="AL85">
        <v>1</v>
      </c>
      <c r="AM85">
        <f t="shared" si="77"/>
        <v>3.56133330414414</v>
      </c>
      <c r="AN85">
        <f t="shared" si="91"/>
        <v>1786.5817376417344</v>
      </c>
      <c r="AO85">
        <f t="shared" si="92"/>
        <v>-4552.6259065646982</v>
      </c>
      <c r="AQ85">
        <f t="shared" si="78"/>
        <v>3.8431975403535743</v>
      </c>
      <c r="AR85">
        <f t="shared" si="79"/>
        <v>-196.0030745580323</v>
      </c>
      <c r="AT85">
        <f t="shared" si="52"/>
        <v>-97617.343538226356</v>
      </c>
      <c r="AU85">
        <f t="shared" si="53"/>
        <v>-737122.24817812035</v>
      </c>
      <c r="AV85">
        <f t="shared" si="93"/>
        <v>-1.7024605252877902</v>
      </c>
      <c r="AW85">
        <f t="shared" si="94"/>
        <v>-878702.99601510086</v>
      </c>
      <c r="AX85">
        <f t="shared" si="95"/>
        <v>-378198.66124793218</v>
      </c>
      <c r="AY85">
        <f t="shared" si="103"/>
        <v>-2.7351523661151114</v>
      </c>
      <c r="BA85">
        <f t="shared" si="80"/>
        <v>0.777262824633974</v>
      </c>
      <c r="BB85">
        <f t="shared" si="96"/>
        <v>-2.188642069598453</v>
      </c>
      <c r="BC85">
        <f t="shared" si="97"/>
        <v>1.0326918408273211</v>
      </c>
      <c r="BD85">
        <f t="shared" si="81"/>
        <v>-120.83111591538841</v>
      </c>
      <c r="BF85">
        <f t="shared" si="82"/>
        <v>5.1139527992008951</v>
      </c>
      <c r="BG85">
        <f t="shared" si="83"/>
        <v>-111.36651283642989</v>
      </c>
      <c r="BH85">
        <f t="shared" si="98"/>
        <v>68.633487163570109</v>
      </c>
      <c r="BI85">
        <f t="shared" si="99"/>
        <v>68.633487163570109</v>
      </c>
      <c r="BJ85">
        <f t="shared" si="84"/>
        <v>0</v>
      </c>
      <c r="BK85">
        <f t="shared" si="100"/>
        <v>0</v>
      </c>
      <c r="BM85">
        <f t="shared" si="101"/>
        <v>7.302594868799348</v>
      </c>
      <c r="BN85">
        <f t="shared" si="85"/>
        <v>-170.5353969210415</v>
      </c>
      <c r="BQ85" s="56">
        <f t="shared" si="102"/>
        <v>14.713318730686684</v>
      </c>
      <c r="BR85" s="59"/>
      <c r="BS85" s="59"/>
      <c r="BT85" s="59">
        <v>562.34100000000001</v>
      </c>
      <c r="BU85" s="59">
        <v>19.682300000000001</v>
      </c>
      <c r="BV85" s="59">
        <v>-264.60399999999998</v>
      </c>
      <c r="BW85" s="61"/>
      <c r="BY85" s="59"/>
      <c r="BZ85" s="59"/>
      <c r="CA85" s="59"/>
      <c r="CC85" s="59"/>
    </row>
    <row r="86" spans="1:81" x14ac:dyDescent="0.2">
      <c r="A86">
        <f t="shared" si="54"/>
        <v>26000</v>
      </c>
      <c r="B86">
        <f t="shared" si="86"/>
        <v>26</v>
      </c>
      <c r="C86">
        <f t="shared" si="55"/>
        <v>1.0000196759002509</v>
      </c>
      <c r="D86">
        <f t="shared" si="56"/>
        <v>6.273049918304326E-3</v>
      </c>
      <c r="F86">
        <f t="shared" si="57"/>
        <v>0.14785214647890035</v>
      </c>
      <c r="G86">
        <f t="shared" si="58"/>
        <v>0.15510890156302021</v>
      </c>
      <c r="H86">
        <f t="shared" si="59"/>
        <v>-2.9864837484369802</v>
      </c>
      <c r="J86">
        <f t="shared" si="60"/>
        <v>15</v>
      </c>
      <c r="M86">
        <f t="shared" si="61"/>
        <v>8.6798025807775427E-3</v>
      </c>
      <c r="N86">
        <f t="shared" si="62"/>
        <v>-1.5707963250000001</v>
      </c>
      <c r="O86">
        <f t="shared" si="63"/>
        <v>24.421986038974346</v>
      </c>
      <c r="P86">
        <f t="shared" si="64"/>
        <v>1.5298381652309176</v>
      </c>
      <c r="Q86">
        <f t="shared" si="65"/>
        <v>3.7663440379057738</v>
      </c>
      <c r="R86">
        <f t="shared" si="66"/>
        <v>1.3020640089587525</v>
      </c>
      <c r="S86">
        <f t="shared" si="67"/>
        <v>0.99478523409646757</v>
      </c>
      <c r="T86">
        <f t="shared" si="68"/>
        <v>-0.10216951124465996</v>
      </c>
      <c r="U86">
        <f t="shared" si="69"/>
        <v>0.99377485838065371</v>
      </c>
      <c r="V86">
        <f t="shared" si="70"/>
        <v>-0.11163880233994655</v>
      </c>
      <c r="X86">
        <f t="shared" si="87"/>
        <v>4.863111757143054</v>
      </c>
      <c r="Y86">
        <f t="shared" si="71"/>
        <v>-110.74776652678068</v>
      </c>
      <c r="Z86">
        <f t="shared" si="88"/>
        <v>69.25223347321932</v>
      </c>
      <c r="AC86">
        <v>1</v>
      </c>
      <c r="AD86">
        <f t="shared" si="72"/>
        <v>24.401504094785999</v>
      </c>
      <c r="AE86">
        <f t="shared" si="73"/>
        <v>-7.1753372414684634E-4</v>
      </c>
      <c r="AF86">
        <f t="shared" si="74"/>
        <v>6.4005552014039999E-3</v>
      </c>
      <c r="AG86">
        <f t="shared" si="89"/>
        <v>3747.7890266527529</v>
      </c>
      <c r="AH86">
        <f t="shared" si="90"/>
        <v>-576.38203273390934</v>
      </c>
      <c r="AJ86">
        <f t="shared" si="75"/>
        <v>18000</v>
      </c>
      <c r="AK86">
        <f t="shared" si="76"/>
        <v>1845.47708012304</v>
      </c>
      <c r="AL86">
        <v>1</v>
      </c>
      <c r="AM86">
        <f t="shared" si="77"/>
        <v>3.6311633689312806</v>
      </c>
      <c r="AN86">
        <f t="shared" si="91"/>
        <v>1741.3199729516964</v>
      </c>
      <c r="AO86">
        <f t="shared" si="92"/>
        <v>-4477.5402192475676</v>
      </c>
      <c r="AQ86">
        <f t="shared" si="78"/>
        <v>3.6968576709796674</v>
      </c>
      <c r="AR86">
        <f t="shared" si="79"/>
        <v>-192.2365988909427</v>
      </c>
      <c r="AT86">
        <f t="shared" ref="AT86:AT149" si="104">-AR86*AH86+AG86*AQ86</f>
        <v>-96946.67902222008</v>
      </c>
      <c r="AU86">
        <f t="shared" ref="AU86:AU149" si="105">AQ86*AH86+AG86*AR86</f>
        <v>-722593.01818364905</v>
      </c>
      <c r="AV86">
        <f t="shared" si="93"/>
        <v>-1.7041648915991148</v>
      </c>
      <c r="AW86">
        <f t="shared" si="94"/>
        <v>-847642.463819984</v>
      </c>
      <c r="AX86">
        <f t="shared" si="95"/>
        <v>-361662.84208116622</v>
      </c>
      <c r="AY86">
        <f t="shared" si="103"/>
        <v>-2.7383091183613182</v>
      </c>
      <c r="BA86">
        <f t="shared" si="80"/>
        <v>0.79111152779989202</v>
      </c>
      <c r="BB86">
        <f t="shared" si="96"/>
        <v>-2.035245741076575</v>
      </c>
      <c r="BC86">
        <f t="shared" si="97"/>
        <v>1.0341442267622034</v>
      </c>
      <c r="BD86">
        <f t="shared" si="81"/>
        <v>-120.74790033100038</v>
      </c>
      <c r="BF86">
        <f t="shared" si="82"/>
        <v>4.8833030186922706</v>
      </c>
      <c r="BG86">
        <f t="shared" si="83"/>
        <v>-111.50139561096981</v>
      </c>
      <c r="BH86">
        <f t="shared" si="98"/>
        <v>68.498604389030191</v>
      </c>
      <c r="BI86">
        <f t="shared" si="99"/>
        <v>68.498604389030191</v>
      </c>
      <c r="BJ86">
        <f t="shared" si="84"/>
        <v>0</v>
      </c>
      <c r="BK86">
        <f t="shared" si="100"/>
        <v>0</v>
      </c>
      <c r="BM86">
        <f t="shared" si="101"/>
        <v>6.9185487597688446</v>
      </c>
      <c r="BN86">
        <f t="shared" si="85"/>
        <v>-170.75349527996943</v>
      </c>
      <c r="BQ86" s="56">
        <f t="shared" si="102"/>
        <v>14.866715059208563</v>
      </c>
      <c r="BR86" s="59"/>
      <c r="BS86" s="59"/>
      <c r="BT86" s="59">
        <v>575.44000000000005</v>
      </c>
      <c r="BU86" s="59">
        <v>19.596</v>
      </c>
      <c r="BV86" s="59">
        <v>-264.9076</v>
      </c>
      <c r="BW86" s="61"/>
      <c r="BY86" s="59"/>
      <c r="BZ86" s="59"/>
      <c r="CA86" s="59"/>
      <c r="CC86" s="59"/>
    </row>
    <row r="87" spans="1:81" x14ac:dyDescent="0.2">
      <c r="A87">
        <f t="shared" si="54"/>
        <v>26500</v>
      </c>
      <c r="B87">
        <f t="shared" si="86"/>
        <v>26.5</v>
      </c>
      <c r="C87">
        <f t="shared" si="55"/>
        <v>1.000020439934427</v>
      </c>
      <c r="D87">
        <f t="shared" si="56"/>
        <v>6.3936822370422447E-3</v>
      </c>
      <c r="F87">
        <f t="shared" si="57"/>
        <v>0.14160752026822135</v>
      </c>
      <c r="G87">
        <f t="shared" si="58"/>
        <v>0.15138582317493951</v>
      </c>
      <c r="H87">
        <f t="shared" si="59"/>
        <v>-2.9902068268250606</v>
      </c>
      <c r="J87">
        <f t="shared" si="60"/>
        <v>15</v>
      </c>
      <c r="M87">
        <f t="shared" si="61"/>
        <v>8.516032720762871E-3</v>
      </c>
      <c r="N87">
        <f t="shared" si="62"/>
        <v>-1.5707963250000001</v>
      </c>
      <c r="O87">
        <f t="shared" si="63"/>
        <v>24.890859596327324</v>
      </c>
      <c r="P87">
        <f t="shared" si="64"/>
        <v>1.5306101210096763</v>
      </c>
      <c r="Q87">
        <f t="shared" si="65"/>
        <v>3.8337126126545873</v>
      </c>
      <c r="R87">
        <f t="shared" si="66"/>
        <v>1.3069002127814406</v>
      </c>
      <c r="S87">
        <f t="shared" si="67"/>
        <v>0.99458437969086</v>
      </c>
      <c r="T87">
        <f t="shared" si="68"/>
        <v>-0.104120272166201</v>
      </c>
      <c r="U87">
        <f t="shared" si="69"/>
        <v>0.99353546671645265</v>
      </c>
      <c r="V87">
        <f t="shared" si="70"/>
        <v>-0.11376739732598372</v>
      </c>
      <c r="X87">
        <f t="shared" si="87"/>
        <v>4.6381646601525226</v>
      </c>
      <c r="Y87">
        <f t="shared" si="71"/>
        <v>-110.86657748325055</v>
      </c>
      <c r="Z87">
        <f t="shared" si="88"/>
        <v>69.133422516749448</v>
      </c>
      <c r="AC87">
        <v>1</v>
      </c>
      <c r="AD87">
        <f t="shared" si="72"/>
        <v>24.870763788916499</v>
      </c>
      <c r="AE87">
        <f t="shared" si="73"/>
        <v>-7.4539653518065517E-4</v>
      </c>
      <c r="AF87">
        <f t="shared" si="74"/>
        <v>6.5236428014310002E-3</v>
      </c>
      <c r="AG87">
        <f t="shared" si="89"/>
        <v>3745.9836249924911</v>
      </c>
      <c r="AH87">
        <f t="shared" si="90"/>
        <v>-581.30761145920223</v>
      </c>
      <c r="AJ87">
        <f t="shared" si="75"/>
        <v>18000</v>
      </c>
      <c r="AK87">
        <f t="shared" si="76"/>
        <v>1880.9670239715599</v>
      </c>
      <c r="AL87">
        <v>1</v>
      </c>
      <c r="AM87">
        <f t="shared" si="77"/>
        <v>3.7009934337184203</v>
      </c>
      <c r="AN87">
        <f t="shared" si="91"/>
        <v>1698.3634828561439</v>
      </c>
      <c r="AO87">
        <f t="shared" si="92"/>
        <v>-4404.6650741461754</v>
      </c>
      <c r="AQ87">
        <f t="shared" si="78"/>
        <v>3.5587188612099645</v>
      </c>
      <c r="AR87">
        <f t="shared" si="79"/>
        <v>-188.61209964412811</v>
      </c>
      <c r="AT87">
        <f t="shared" si="104"/>
        <v>-96310.746556388709</v>
      </c>
      <c r="AU87">
        <f t="shared" si="105"/>
        <v>-708606.54710342071</v>
      </c>
      <c r="AV87">
        <f t="shared" si="93"/>
        <v>-1.7058842438844297</v>
      </c>
      <c r="AW87">
        <f t="shared" si="94"/>
        <v>-818149.5896249389</v>
      </c>
      <c r="AX87">
        <f t="shared" si="95"/>
        <v>-346214.67467700108</v>
      </c>
      <c r="AY87">
        <f t="shared" si="103"/>
        <v>-2.7412748021233142</v>
      </c>
      <c r="BA87">
        <f t="shared" si="80"/>
        <v>0.80496541548949641</v>
      </c>
      <c r="BB87">
        <f t="shared" si="96"/>
        <v>-1.8844555649338812</v>
      </c>
      <c r="BC87">
        <f t="shared" si="97"/>
        <v>1.0353905582388845</v>
      </c>
      <c r="BD87">
        <f t="shared" si="81"/>
        <v>-120.67649079743066</v>
      </c>
      <c r="BF87">
        <f t="shared" si="82"/>
        <v>4.6592735091931576</v>
      </c>
      <c r="BG87">
        <f t="shared" si="83"/>
        <v>-111.63639103333276</v>
      </c>
      <c r="BH87">
        <f t="shared" si="98"/>
        <v>68.363608966667243</v>
      </c>
      <c r="BI87">
        <f t="shared" si="99"/>
        <v>68.363608966667243</v>
      </c>
      <c r="BJ87">
        <f t="shared" si="84"/>
        <v>0</v>
      </c>
      <c r="BK87">
        <f t="shared" si="100"/>
        <v>0</v>
      </c>
      <c r="BM87">
        <f t="shared" si="101"/>
        <v>6.5437290741270395</v>
      </c>
      <c r="BN87">
        <f t="shared" si="85"/>
        <v>-170.9599002359021</v>
      </c>
      <c r="BQ87" s="56">
        <f t="shared" si="102"/>
        <v>15.017505235351257</v>
      </c>
      <c r="BR87" s="59"/>
      <c r="BS87" s="59"/>
      <c r="BT87" s="59">
        <v>588.84400000000005</v>
      </c>
      <c r="BU87" s="59">
        <v>19.373200000000001</v>
      </c>
      <c r="BV87" s="59">
        <v>-263.88170000000002</v>
      </c>
      <c r="BW87" s="61"/>
      <c r="BY87" s="59"/>
      <c r="BZ87" s="59"/>
      <c r="CA87" s="59"/>
      <c r="CC87" s="59"/>
    </row>
    <row r="88" spans="1:81" x14ac:dyDescent="0.2">
      <c r="A88">
        <f t="shared" si="54"/>
        <v>27000</v>
      </c>
      <c r="B88">
        <f t="shared" si="86"/>
        <v>27</v>
      </c>
      <c r="C88">
        <f t="shared" si="55"/>
        <v>1.0000212185210349</v>
      </c>
      <c r="D88">
        <f t="shared" si="56"/>
        <v>6.5143143696941878E-3</v>
      </c>
      <c r="F88">
        <f t="shared" si="57"/>
        <v>0.13576354970370694</v>
      </c>
      <c r="G88">
        <f t="shared" si="58"/>
        <v>0.14785066410054248</v>
      </c>
      <c r="H88">
        <f t="shared" si="59"/>
        <v>-2.9937419858994576</v>
      </c>
      <c r="J88">
        <f t="shared" si="60"/>
        <v>15</v>
      </c>
      <c r="M88">
        <f t="shared" si="61"/>
        <v>8.3583284111191144E-3</v>
      </c>
      <c r="N88">
        <f t="shared" si="62"/>
        <v>-1.5707963250000001</v>
      </c>
      <c r="O88">
        <f t="shared" si="63"/>
        <v>25.359747438043886</v>
      </c>
      <c r="P88">
        <f t="shared" si="64"/>
        <v>1.5313535311387281</v>
      </c>
      <c r="Q88">
        <f t="shared" si="65"/>
        <v>3.9011677555421418</v>
      </c>
      <c r="R88">
        <f t="shared" si="66"/>
        <v>1.3115692769571088</v>
      </c>
      <c r="S88">
        <f t="shared" si="67"/>
        <v>0.99437982459576868</v>
      </c>
      <c r="T88">
        <f t="shared" si="68"/>
        <v>-0.10607023808396972</v>
      </c>
      <c r="U88">
        <f t="shared" si="69"/>
        <v>0.99329169310033461</v>
      </c>
      <c r="V88">
        <f t="shared" si="70"/>
        <v>-0.11589495740483179</v>
      </c>
      <c r="X88">
        <f t="shared" si="87"/>
        <v>4.419434949669732</v>
      </c>
      <c r="Y88">
        <f t="shared" si="71"/>
        <v>-110.98572856225998</v>
      </c>
      <c r="Z88">
        <f t="shared" si="88"/>
        <v>69.014271437740021</v>
      </c>
      <c r="AC88">
        <v>1</v>
      </c>
      <c r="AD88">
        <f t="shared" si="72"/>
        <v>25.340023483047002</v>
      </c>
      <c r="AE88">
        <f t="shared" si="73"/>
        <v>-7.7379006642463142E-4</v>
      </c>
      <c r="AF88">
        <f t="shared" si="74"/>
        <v>6.6467304014579997E-3</v>
      </c>
      <c r="AG88">
        <f t="shared" si="89"/>
        <v>3744.1456232765081</v>
      </c>
      <c r="AH88">
        <f t="shared" si="90"/>
        <v>-586.33079050171068</v>
      </c>
      <c r="AJ88">
        <f t="shared" si="75"/>
        <v>18000</v>
      </c>
      <c r="AK88">
        <f t="shared" si="76"/>
        <v>1916.4569678200801</v>
      </c>
      <c r="AL88">
        <v>1</v>
      </c>
      <c r="AM88">
        <f t="shared" si="77"/>
        <v>3.7708234985055604</v>
      </c>
      <c r="AN88">
        <f t="shared" si="91"/>
        <v>1657.5621836860455</v>
      </c>
      <c r="AO88">
        <f t="shared" si="92"/>
        <v>-4333.9174646574502</v>
      </c>
      <c r="AQ88">
        <f t="shared" si="78"/>
        <v>3.4281796366129584</v>
      </c>
      <c r="AR88">
        <f t="shared" si="79"/>
        <v>-185.12170037709976</v>
      </c>
      <c r="AT88">
        <f t="shared" si="104"/>
        <v>-95706.949138895681</v>
      </c>
      <c r="AU88">
        <f t="shared" si="105"/>
        <v>-695132.65151674033</v>
      </c>
      <c r="AV88">
        <f t="shared" si="93"/>
        <v>-1.7076176777878878</v>
      </c>
      <c r="AW88">
        <f t="shared" si="94"/>
        <v>-790123.61847739876</v>
      </c>
      <c r="AX88">
        <f t="shared" si="95"/>
        <v>-331764.14805436938</v>
      </c>
      <c r="AY88">
        <f t="shared" si="103"/>
        <v>-2.7440590946147365</v>
      </c>
      <c r="BA88">
        <f t="shared" si="80"/>
        <v>0.81882316371103914</v>
      </c>
      <c r="BB88">
        <f t="shared" si="96"/>
        <v>-1.7361976013437566</v>
      </c>
      <c r="BC88">
        <f t="shared" si="97"/>
        <v>1.0364414168268488</v>
      </c>
      <c r="BD88">
        <f t="shared" si="81"/>
        <v>-120.61628103540643</v>
      </c>
      <c r="BF88">
        <f t="shared" si="82"/>
        <v>4.441475571893716</v>
      </c>
      <c r="BG88">
        <f t="shared" si="83"/>
        <v>-111.77181925432775</v>
      </c>
      <c r="BH88">
        <f t="shared" si="98"/>
        <v>68.228180745672248</v>
      </c>
      <c r="BI88">
        <f t="shared" si="99"/>
        <v>68.228180745672248</v>
      </c>
      <c r="BJ88">
        <f t="shared" si="84"/>
        <v>0</v>
      </c>
      <c r="BK88">
        <f t="shared" si="100"/>
        <v>0</v>
      </c>
      <c r="BM88">
        <f t="shared" si="101"/>
        <v>6.1776731732374737</v>
      </c>
      <c r="BN88">
        <f t="shared" si="85"/>
        <v>-171.15553821892132</v>
      </c>
      <c r="BQ88" s="56">
        <f t="shared" si="102"/>
        <v>15.165763198941381</v>
      </c>
      <c r="BR88" s="59"/>
      <c r="BS88" s="59"/>
      <c r="BT88" s="59">
        <v>602.55999999999995</v>
      </c>
      <c r="BU88" s="59">
        <v>19.198</v>
      </c>
      <c r="BV88" s="59">
        <v>-264.00260000000003</v>
      </c>
      <c r="BW88" s="61"/>
      <c r="BY88" s="59"/>
      <c r="BZ88" s="59"/>
      <c r="CA88" s="59"/>
      <c r="CC88" s="59"/>
    </row>
    <row r="89" spans="1:81" x14ac:dyDescent="0.2">
      <c r="A89">
        <f t="shared" si="54"/>
        <v>27500</v>
      </c>
      <c r="B89">
        <f t="shared" si="86"/>
        <v>27.5</v>
      </c>
      <c r="C89">
        <f t="shared" si="55"/>
        <v>1.00002201166004</v>
      </c>
      <c r="D89">
        <f t="shared" si="56"/>
        <v>6.6349463127496908E-3</v>
      </c>
      <c r="F89">
        <f t="shared" si="57"/>
        <v>0.13028573230209026</v>
      </c>
      <c r="G89">
        <f t="shared" si="58"/>
        <v>0.14448895391957428</v>
      </c>
      <c r="H89">
        <f t="shared" si="59"/>
        <v>-2.9971036960804258</v>
      </c>
      <c r="J89">
        <f t="shared" si="60"/>
        <v>15</v>
      </c>
      <c r="M89">
        <f t="shared" si="61"/>
        <v>8.206358803644221E-3</v>
      </c>
      <c r="N89">
        <f t="shared" si="62"/>
        <v>-1.5707963250000001</v>
      </c>
      <c r="O89">
        <f t="shared" si="63"/>
        <v>25.828648786178061</v>
      </c>
      <c r="P89">
        <f t="shared" si="64"/>
        <v>1.5320699494529952</v>
      </c>
      <c r="Q89">
        <f t="shared" si="65"/>
        <v>3.9687050524362375</v>
      </c>
      <c r="R89">
        <f t="shared" si="66"/>
        <v>1.316079525422017</v>
      </c>
      <c r="S89">
        <f t="shared" si="67"/>
        <v>0.99417157575934267</v>
      </c>
      <c r="T89">
        <f t="shared" si="68"/>
        <v>-0.10801939466405605</v>
      </c>
      <c r="U89">
        <f t="shared" si="69"/>
        <v>0.99304354737511136</v>
      </c>
      <c r="V89">
        <f t="shared" si="70"/>
        <v>-0.11802146408441463</v>
      </c>
      <c r="X89">
        <f t="shared" si="87"/>
        <v>4.2065665044982996</v>
      </c>
      <c r="Y89">
        <f t="shared" si="71"/>
        <v>-111.1054810226285</v>
      </c>
      <c r="Z89">
        <f t="shared" si="88"/>
        <v>68.894518977371504</v>
      </c>
      <c r="AC89">
        <v>1</v>
      </c>
      <c r="AD89">
        <f t="shared" si="72"/>
        <v>25.809283177177498</v>
      </c>
      <c r="AE89">
        <f t="shared" si="73"/>
        <v>-8.0271431787877587E-4</v>
      </c>
      <c r="AF89">
        <f t="shared" si="74"/>
        <v>6.769818001485E-3</v>
      </c>
      <c r="AG89">
        <f t="shared" si="89"/>
        <v>3742.2751200121802</v>
      </c>
      <c r="AH89">
        <f t="shared" si="90"/>
        <v>-591.44541543022206</v>
      </c>
      <c r="AJ89">
        <f t="shared" si="75"/>
        <v>18000</v>
      </c>
      <c r="AK89">
        <f t="shared" si="76"/>
        <v>1951.9469116686</v>
      </c>
      <c r="AL89">
        <v>1</v>
      </c>
      <c r="AM89">
        <f t="shared" si="77"/>
        <v>3.8406535632927001</v>
      </c>
      <c r="AN89">
        <f t="shared" si="91"/>
        <v>1618.7776859811318</v>
      </c>
      <c r="AO89">
        <f t="shared" si="92"/>
        <v>-4265.2173761735457</v>
      </c>
      <c r="AQ89">
        <f t="shared" si="78"/>
        <v>3.3046926635822866</v>
      </c>
      <c r="AR89">
        <f t="shared" si="79"/>
        <v>-181.75809649702578</v>
      </c>
      <c r="AT89">
        <f t="shared" si="104"/>
        <v>-95132.923756279022</v>
      </c>
      <c r="AU89">
        <f t="shared" si="105"/>
        <v>-682143.34770687425</v>
      </c>
      <c r="AV89">
        <f t="shared" si="93"/>
        <v>-1.7093643531482341</v>
      </c>
      <c r="AW89">
        <f t="shared" si="94"/>
        <v>-763471.50552639528</v>
      </c>
      <c r="AX89">
        <f t="shared" si="95"/>
        <v>-318230.0582113709</v>
      </c>
      <c r="AY89">
        <f t="shared" si="103"/>
        <v>-2.7466710404552122</v>
      </c>
      <c r="BA89">
        <f t="shared" si="80"/>
        <v>0.83268351805515084</v>
      </c>
      <c r="BB89">
        <f t="shared" si="96"/>
        <v>-1.590400631621858</v>
      </c>
      <c r="BC89">
        <f t="shared" si="97"/>
        <v>1.0373066873069781</v>
      </c>
      <c r="BD89">
        <f t="shared" si="81"/>
        <v>-120.56670468870112</v>
      </c>
      <c r="BF89">
        <f t="shared" si="82"/>
        <v>4.2295529056365266</v>
      </c>
      <c r="BG89">
        <f t="shared" si="83"/>
        <v>-111.90794301193876</v>
      </c>
      <c r="BH89">
        <f t="shared" si="98"/>
        <v>68.092056988061245</v>
      </c>
      <c r="BI89">
        <f t="shared" si="99"/>
        <v>68.092056988061245</v>
      </c>
      <c r="BJ89">
        <f t="shared" si="84"/>
        <v>0</v>
      </c>
      <c r="BK89">
        <f t="shared" si="100"/>
        <v>0</v>
      </c>
      <c r="BM89">
        <f t="shared" si="101"/>
        <v>5.8199535372583835</v>
      </c>
      <c r="BN89">
        <f t="shared" si="85"/>
        <v>-171.34123832323763</v>
      </c>
      <c r="BQ89" s="56">
        <f t="shared" si="102"/>
        <v>15.311560168663279</v>
      </c>
      <c r="BR89" s="59"/>
      <c r="BS89" s="59"/>
      <c r="BT89" s="59">
        <v>616.59500000000003</v>
      </c>
      <c r="BU89" s="59">
        <v>18.983699999999999</v>
      </c>
      <c r="BV89" s="59">
        <v>-264.13310000000001</v>
      </c>
      <c r="BW89" s="61"/>
      <c r="BY89" s="59"/>
      <c r="BZ89" s="59"/>
      <c r="CA89" s="59"/>
      <c r="CC89" s="59"/>
    </row>
    <row r="90" spans="1:81" x14ac:dyDescent="0.2">
      <c r="A90">
        <f t="shared" si="54"/>
        <v>28000</v>
      </c>
      <c r="B90">
        <f t="shared" si="86"/>
        <v>28</v>
      </c>
      <c r="C90">
        <f t="shared" si="55"/>
        <v>1.0000228193514078</v>
      </c>
      <c r="D90">
        <f t="shared" si="56"/>
        <v>6.7555780626983213E-3</v>
      </c>
      <c r="F90">
        <f t="shared" si="57"/>
        <v>0.12514328280927287</v>
      </c>
      <c r="G90">
        <f t="shared" si="58"/>
        <v>0.14128770166555671</v>
      </c>
      <c r="H90">
        <f t="shared" si="59"/>
        <v>-3.0003049483344437</v>
      </c>
      <c r="J90">
        <f t="shared" si="60"/>
        <v>15</v>
      </c>
      <c r="M90">
        <f t="shared" si="61"/>
        <v>8.0598166821505748E-3</v>
      </c>
      <c r="N90">
        <f t="shared" si="62"/>
        <v>-1.5707963250000001</v>
      </c>
      <c r="O90">
        <f t="shared" si="63"/>
        <v>26.297562918247241</v>
      </c>
      <c r="P90">
        <f t="shared" si="64"/>
        <v>1.5327608190768236</v>
      </c>
      <c r="Q90">
        <f t="shared" si="65"/>
        <v>4.0363203794397275</v>
      </c>
      <c r="R90">
        <f t="shared" si="66"/>
        <v>1.320438751226364</v>
      </c>
      <c r="S90">
        <f t="shared" si="67"/>
        <v>0.99395964024733319</v>
      </c>
      <c r="T90">
        <f t="shared" si="68"/>
        <v>-0.10996772760904452</v>
      </c>
      <c r="U90">
        <f t="shared" si="69"/>
        <v>0.99279103954682679</v>
      </c>
      <c r="V90">
        <f t="shared" si="70"/>
        <v>-0.12014689892907059</v>
      </c>
      <c r="X90">
        <f t="shared" si="87"/>
        <v>3.9992321841131204</v>
      </c>
      <c r="Y90">
        <f t="shared" si="71"/>
        <v>-111.22604812282108</v>
      </c>
      <c r="Z90">
        <f t="shared" si="88"/>
        <v>68.773951877178916</v>
      </c>
      <c r="AC90">
        <v>1</v>
      </c>
      <c r="AD90">
        <f t="shared" si="72"/>
        <v>26.278542871308002</v>
      </c>
      <c r="AE90">
        <f t="shared" si="73"/>
        <v>-8.3216928954308797E-4</v>
      </c>
      <c r="AF90">
        <f t="shared" si="74"/>
        <v>6.8929056015119994E-3</v>
      </c>
      <c r="AG90">
        <f t="shared" si="89"/>
        <v>3740.3722152986134</v>
      </c>
      <c r="AH90">
        <f t="shared" si="90"/>
        <v>-596.64575823142354</v>
      </c>
      <c r="AJ90">
        <f t="shared" si="75"/>
        <v>18000</v>
      </c>
      <c r="AK90">
        <f t="shared" si="76"/>
        <v>1987.43685551712</v>
      </c>
      <c r="AL90">
        <v>1</v>
      </c>
      <c r="AM90">
        <f t="shared" si="77"/>
        <v>3.9104836280798407</v>
      </c>
      <c r="AN90">
        <f t="shared" si="91"/>
        <v>1581.8822503315614</v>
      </c>
      <c r="AO90">
        <f t="shared" si="92"/>
        <v>-4198.4877859545477</v>
      </c>
      <c r="AQ90">
        <f t="shared" si="78"/>
        <v>3.1877590054191902</v>
      </c>
      <c r="AR90">
        <f t="shared" si="79"/>
        <v>-178.51450430347467</v>
      </c>
      <c r="AT90">
        <f t="shared" si="104"/>
        <v>-94586.516562515477</v>
      </c>
      <c r="AU90">
        <f t="shared" si="105"/>
        <v>-669612.65481336869</v>
      </c>
      <c r="AV90">
        <f t="shared" si="93"/>
        <v>-1.7111234883024875</v>
      </c>
      <c r="AW90">
        <f t="shared" si="94"/>
        <v>-738107.24516945973</v>
      </c>
      <c r="AX90">
        <f t="shared" si="95"/>
        <v>-305539.02384829824</v>
      </c>
      <c r="AY90">
        <f t="shared" si="103"/>
        <v>-2.7491191013576599</v>
      </c>
      <c r="BA90">
        <f t="shared" si="80"/>
        <v>0.84654528802116635</v>
      </c>
      <c r="BB90">
        <f t="shared" si="96"/>
        <v>-1.4469960656531589</v>
      </c>
      <c r="BC90">
        <f t="shared" si="97"/>
        <v>1.0379956130551724</v>
      </c>
      <c r="BD90">
        <f t="shared" si="81"/>
        <v>-120.52723215088659</v>
      </c>
      <c r="BF90">
        <f t="shared" si="82"/>
        <v>4.0231781871600578</v>
      </c>
      <c r="BG90">
        <f t="shared" si="83"/>
        <v>-112.04497702749053</v>
      </c>
      <c r="BH90">
        <f t="shared" si="98"/>
        <v>67.955022972509468</v>
      </c>
      <c r="BI90">
        <f t="shared" si="99"/>
        <v>67.955022972509468</v>
      </c>
      <c r="BJ90">
        <f t="shared" si="84"/>
        <v>0</v>
      </c>
      <c r="BK90">
        <f t="shared" si="100"/>
        <v>0</v>
      </c>
      <c r="BM90">
        <f t="shared" si="101"/>
        <v>5.4701742528132167</v>
      </c>
      <c r="BN90">
        <f t="shared" si="85"/>
        <v>-171.51774487660398</v>
      </c>
      <c r="BQ90" s="56">
        <f t="shared" si="102"/>
        <v>15.454964734631977</v>
      </c>
      <c r="BR90" s="59"/>
      <c r="BS90" s="59"/>
      <c r="BT90" s="59">
        <v>630.95699999999999</v>
      </c>
      <c r="BU90" s="59">
        <v>18.802900000000001</v>
      </c>
      <c r="BV90" s="59">
        <v>-263.74850000000004</v>
      </c>
      <c r="BW90" s="61"/>
      <c r="BY90" s="59"/>
      <c r="BZ90" s="59"/>
      <c r="CA90" s="59"/>
      <c r="CC90" s="59"/>
    </row>
    <row r="91" spans="1:81" x14ac:dyDescent="0.2">
      <c r="A91">
        <f t="shared" si="54"/>
        <v>28500</v>
      </c>
      <c r="B91">
        <f t="shared" si="86"/>
        <v>28.5</v>
      </c>
      <c r="C91">
        <f t="shared" si="55"/>
        <v>1.0000236415951032</v>
      </c>
      <c r="D91">
        <f t="shared" si="56"/>
        <v>6.8762096160296807E-3</v>
      </c>
      <c r="F91">
        <f t="shared" si="57"/>
        <v>0.12030865459438013</v>
      </c>
      <c r="G91">
        <f t="shared" si="58"/>
        <v>0.13823520969118205</v>
      </c>
      <c r="H91">
        <f t="shared" si="59"/>
        <v>-3.0033574403088181</v>
      </c>
      <c r="J91">
        <f t="shared" si="60"/>
        <v>15</v>
      </c>
      <c r="M91">
        <f t="shared" si="61"/>
        <v>7.918416389481266E-3</v>
      </c>
      <c r="N91">
        <f t="shared" si="62"/>
        <v>-1.5707963250000001</v>
      </c>
      <c r="O91">
        <f t="shared" si="63"/>
        <v>26.766489162377614</v>
      </c>
      <c r="P91">
        <f t="shared" si="64"/>
        <v>1.5334274821070373</v>
      </c>
      <c r="Q91">
        <f t="shared" si="65"/>
        <v>4.1040098798156395</v>
      </c>
      <c r="R91">
        <f t="shared" si="66"/>
        <v>1.3246542571407394</v>
      </c>
      <c r="S91">
        <f t="shared" si="67"/>
        <v>0.99374402524243788</v>
      </c>
      <c r="T91">
        <f t="shared" si="68"/>
        <v>-0.11191522265861194</v>
      </c>
      <c r="U91">
        <f t="shared" si="69"/>
        <v>0.99253417978365932</v>
      </c>
      <c r="V91">
        <f t="shared" si="70"/>
        <v>-0.12227124356045294</v>
      </c>
      <c r="X91">
        <f t="shared" si="87"/>
        <v>3.7971308386362179</v>
      </c>
      <c r="Y91">
        <f t="shared" si="71"/>
        <v>-111.34760290438473</v>
      </c>
      <c r="Z91">
        <f t="shared" si="88"/>
        <v>68.652397095615271</v>
      </c>
      <c r="AC91">
        <v>1</v>
      </c>
      <c r="AD91">
        <f t="shared" si="72"/>
        <v>26.747802565438501</v>
      </c>
      <c r="AE91">
        <f t="shared" si="73"/>
        <v>-8.6215498141756794E-4</v>
      </c>
      <c r="AF91">
        <f t="shared" si="74"/>
        <v>7.0159932015390006E-3</v>
      </c>
      <c r="AG91">
        <f t="shared" si="89"/>
        <v>3738.4370108134913</v>
      </c>
      <c r="AH91">
        <f t="shared" si="90"/>
        <v>-601.92648001173779</v>
      </c>
      <c r="AJ91">
        <f t="shared" si="75"/>
        <v>18000</v>
      </c>
      <c r="AK91">
        <f t="shared" si="76"/>
        <v>2022.9267993656401</v>
      </c>
      <c r="AL91">
        <v>1</v>
      </c>
      <c r="AM91">
        <f t="shared" si="77"/>
        <v>3.9803136928669804</v>
      </c>
      <c r="AN91">
        <f t="shared" si="91"/>
        <v>1546.7578466084776</v>
      </c>
      <c r="AO91">
        <f t="shared" si="92"/>
        <v>-4133.6546370395281</v>
      </c>
      <c r="AQ91">
        <f t="shared" si="78"/>
        <v>3.0769230769230771</v>
      </c>
      <c r="AR91">
        <f t="shared" si="79"/>
        <v>-175.38461538461539</v>
      </c>
      <c r="AT91">
        <f t="shared" si="104"/>
        <v>-94065.761076478666</v>
      </c>
      <c r="AU91">
        <f t="shared" si="105"/>
        <v>-657516.41875809454</v>
      </c>
      <c r="AV91">
        <f t="shared" si="93"/>
        <v>-1.7128943549858062</v>
      </c>
      <c r="AW91">
        <f t="shared" si="94"/>
        <v>-713951.26411885861</v>
      </c>
      <c r="AX91">
        <f t="shared" si="95"/>
        <v>-293624.62491024064</v>
      </c>
      <c r="AY91">
        <f t="shared" si="103"/>
        <v>-2.7514112013189109</v>
      </c>
      <c r="BA91">
        <f t="shared" si="80"/>
        <v>0.86040734188135071</v>
      </c>
      <c r="BB91">
        <f t="shared" si="96"/>
        <v>-1.3059178484215472</v>
      </c>
      <c r="BC91">
        <f t="shared" si="97"/>
        <v>1.0385168463331047</v>
      </c>
      <c r="BD91">
        <f t="shared" si="81"/>
        <v>-120.49736768388516</v>
      </c>
      <c r="BF91">
        <f t="shared" si="82"/>
        <v>3.8220500811060338</v>
      </c>
      <c r="BG91">
        <f t="shared" si="83"/>
        <v>-112.18309578892828</v>
      </c>
      <c r="BH91">
        <f t="shared" si="98"/>
        <v>67.816904211071716</v>
      </c>
      <c r="BI91">
        <f t="shared" si="99"/>
        <v>67.816904211071716</v>
      </c>
      <c r="BJ91">
        <f t="shared" si="84"/>
        <v>0</v>
      </c>
      <c r="BK91">
        <f t="shared" si="100"/>
        <v>0</v>
      </c>
      <c r="BM91">
        <f t="shared" si="101"/>
        <v>5.1279679295275802</v>
      </c>
      <c r="BN91">
        <f t="shared" si="85"/>
        <v>-171.68572810504313</v>
      </c>
      <c r="BQ91" s="56">
        <f t="shared" si="102"/>
        <v>15.596042951863589</v>
      </c>
      <c r="BR91" s="59"/>
      <c r="BS91" s="59"/>
      <c r="BT91" s="59">
        <v>645.654</v>
      </c>
      <c r="BU91" s="59">
        <v>18.598600000000001</v>
      </c>
      <c r="BV91" s="59">
        <v>-263.7636</v>
      </c>
      <c r="BW91" s="61"/>
      <c r="BY91" s="59"/>
      <c r="BZ91" s="59"/>
      <c r="CA91" s="59"/>
      <c r="CC91" s="59"/>
    </row>
    <row r="92" spans="1:81" x14ac:dyDescent="0.2">
      <c r="A92">
        <f t="shared" si="54"/>
        <v>29000</v>
      </c>
      <c r="B92">
        <f t="shared" si="86"/>
        <v>29</v>
      </c>
      <c r="C92">
        <f t="shared" si="55"/>
        <v>1.0000244783910903</v>
      </c>
      <c r="D92">
        <f t="shared" si="56"/>
        <v>6.9968409692334034E-3</v>
      </c>
      <c r="F92">
        <f t="shared" si="57"/>
        <v>0.11575713234828011</v>
      </c>
      <c r="G92">
        <f t="shared" si="58"/>
        <v>0.13532091504340302</v>
      </c>
      <c r="H92">
        <f t="shared" si="59"/>
        <v>-3.0062717349565973</v>
      </c>
      <c r="J92">
        <f t="shared" si="60"/>
        <v>15</v>
      </c>
      <c r="M92">
        <f t="shared" si="61"/>
        <v>7.7818919689729678E-3</v>
      </c>
      <c r="N92">
        <f t="shared" si="62"/>
        <v>-1.5707963250000001</v>
      </c>
      <c r="O92">
        <f t="shared" si="63"/>
        <v>27.235426892950574</v>
      </c>
      <c r="P92">
        <f t="shared" si="64"/>
        <v>1.5340711882976297</v>
      </c>
      <c r="Q92">
        <f t="shared" si="65"/>
        <v>4.1717699430415189</v>
      </c>
      <c r="R92">
        <f t="shared" si="66"/>
        <v>1.3287328926946709</v>
      </c>
      <c r="S92">
        <f t="shared" si="67"/>
        <v>0.99352473804363639</v>
      </c>
      <c r="T92">
        <f t="shared" si="68"/>
        <v>-0.11386186559012089</v>
      </c>
      <c r="U92">
        <f t="shared" si="69"/>
        <v>0.99227297841480644</v>
      </c>
      <c r="V92">
        <f t="shared" si="70"/>
        <v>-0.124394479658423</v>
      </c>
      <c r="X92">
        <f t="shared" si="87"/>
        <v>3.5999846865960405</v>
      </c>
      <c r="Y92">
        <f t="shared" si="71"/>
        <v>-111.47028466082298</v>
      </c>
      <c r="Z92">
        <f t="shared" si="88"/>
        <v>68.529715339177017</v>
      </c>
      <c r="AC92">
        <v>1</v>
      </c>
      <c r="AD92">
        <f t="shared" si="72"/>
        <v>27.217062259568998</v>
      </c>
      <c r="AE92">
        <f t="shared" si="73"/>
        <v>-8.9267139350221567E-4</v>
      </c>
      <c r="AF92">
        <f t="shared" si="74"/>
        <v>7.1390808015659992E-3</v>
      </c>
      <c r="AG92">
        <f t="shared" si="89"/>
        <v>3736.4696097997726</v>
      </c>
      <c r="AH92">
        <f t="shared" si="90"/>
        <v>-607.28259755900763</v>
      </c>
      <c r="AJ92">
        <f t="shared" si="75"/>
        <v>18000</v>
      </c>
      <c r="AK92">
        <f t="shared" si="76"/>
        <v>2058.4167432141599</v>
      </c>
      <c r="AL92">
        <v>1</v>
      </c>
      <c r="AM92">
        <f t="shared" si="77"/>
        <v>4.0501437576541202</v>
      </c>
      <c r="AN92">
        <f t="shared" si="91"/>
        <v>1513.2953055516246</v>
      </c>
      <c r="AO92">
        <f t="shared" si="92"/>
        <v>-4070.6467920530372</v>
      </c>
      <c r="AQ92">
        <f t="shared" si="78"/>
        <v>2.9717682020802378</v>
      </c>
      <c r="AR92">
        <f t="shared" si="79"/>
        <v>-172.3625557206538</v>
      </c>
      <c r="AT92">
        <f t="shared" si="104"/>
        <v>-93568.858985505707</v>
      </c>
      <c r="AU92">
        <f t="shared" si="105"/>
        <v>-645832.1544307454</v>
      </c>
      <c r="AV92">
        <f t="shared" si="93"/>
        <v>-1.7146762737560568</v>
      </c>
      <c r="AW92">
        <f t="shared" si="94"/>
        <v>-690929.87197004259</v>
      </c>
      <c r="AX92">
        <f t="shared" si="95"/>
        <v>-282426.64711860078</v>
      </c>
      <c r="AY92">
        <f t="shared" si="103"/>
        <v>-2.7535547677688594</v>
      </c>
      <c r="BA92">
        <f t="shared" si="80"/>
        <v>0.87426860202546652</v>
      </c>
      <c r="BB92">
        <f t="shared" si="96"/>
        <v>-1.1671023666239408</v>
      </c>
      <c r="BC92">
        <f t="shared" si="97"/>
        <v>1.0388784940128026</v>
      </c>
      <c r="BD92">
        <f t="shared" si="81"/>
        <v>-120.47664679814409</v>
      </c>
      <c r="BF92">
        <f t="shared" si="82"/>
        <v>3.6258906178108168</v>
      </c>
      <c r="BG92">
        <f t="shared" si="83"/>
        <v>-112.32244001952989</v>
      </c>
      <c r="BH92">
        <f t="shared" si="98"/>
        <v>67.677559980470107</v>
      </c>
      <c r="BI92">
        <f t="shared" si="99"/>
        <v>67.677559980470107</v>
      </c>
      <c r="BJ92">
        <f t="shared" si="84"/>
        <v>0</v>
      </c>
      <c r="BK92">
        <f t="shared" si="100"/>
        <v>0</v>
      </c>
      <c r="BM92">
        <f t="shared" si="101"/>
        <v>4.7929929844347576</v>
      </c>
      <c r="BN92">
        <f t="shared" si="85"/>
        <v>-171.8457932213858</v>
      </c>
      <c r="BQ92" s="56">
        <f t="shared" si="102"/>
        <v>15.734858433661197</v>
      </c>
      <c r="BR92" s="59"/>
      <c r="BS92" s="59"/>
      <c r="BT92" s="59">
        <v>660.69299999999998</v>
      </c>
      <c r="BU92" s="59">
        <v>18.468</v>
      </c>
      <c r="BV92" s="59">
        <v>-263.60980000000001</v>
      </c>
      <c r="BW92" s="61"/>
      <c r="BY92" s="59"/>
      <c r="BZ92" s="59"/>
      <c r="CA92" s="59"/>
      <c r="CC92" s="59"/>
    </row>
    <row r="93" spans="1:81" x14ac:dyDescent="0.2">
      <c r="A93">
        <f t="shared" si="54"/>
        <v>29500</v>
      </c>
      <c r="B93">
        <f t="shared" si="86"/>
        <v>29.5</v>
      </c>
      <c r="C93">
        <f t="shared" si="55"/>
        <v>1.0000253297393324</v>
      </c>
      <c r="D93">
        <f t="shared" si="56"/>
        <v>7.1174721187991603E-3</v>
      </c>
      <c r="F93">
        <f t="shared" si="57"/>
        <v>0.11146648408360056</v>
      </c>
      <c r="G93">
        <f t="shared" si="58"/>
        <v>0.13253525371640199</v>
      </c>
      <c r="H93">
        <f t="shared" si="59"/>
        <v>-3.0090573962835983</v>
      </c>
      <c r="J93">
        <f t="shared" si="60"/>
        <v>15</v>
      </c>
      <c r="M93">
        <f t="shared" si="61"/>
        <v>7.6499954949225792E-3</v>
      </c>
      <c r="N93">
        <f t="shared" si="62"/>
        <v>-1.5707963250000001</v>
      </c>
      <c r="O93">
        <f t="shared" si="63"/>
        <v>27.704375526690779</v>
      </c>
      <c r="P93">
        <f t="shared" si="64"/>
        <v>1.5346931028641011</v>
      </c>
      <c r="Q93">
        <f t="shared" si="65"/>
        <v>4.2395971857714567</v>
      </c>
      <c r="R93">
        <f t="shared" si="66"/>
        <v>1.3326810879960316</v>
      </c>
      <c r="S93">
        <f t="shared" si="67"/>
        <v>0.99330178606551478</v>
      </c>
      <c r="T93">
        <f t="shared" si="68"/>
        <v>-0.11580764221920929</v>
      </c>
      <c r="U93">
        <f t="shared" si="69"/>
        <v>0.99200744592935264</v>
      </c>
      <c r="V93">
        <f t="shared" si="70"/>
        <v>-0.12651658896193546</v>
      </c>
      <c r="X93">
        <f t="shared" si="87"/>
        <v>3.4075370084931862</v>
      </c>
      <c r="Y93">
        <f t="shared" si="71"/>
        <v>-111.59420433054743</v>
      </c>
      <c r="Z93">
        <f t="shared" si="88"/>
        <v>68.405795669452573</v>
      </c>
      <c r="AC93">
        <v>1</v>
      </c>
      <c r="AD93">
        <f t="shared" si="72"/>
        <v>27.686321953699501</v>
      </c>
      <c r="AE93">
        <f t="shared" si="73"/>
        <v>-9.2371852579703094E-4</v>
      </c>
      <c r="AF93">
        <f t="shared" si="74"/>
        <v>7.2621684015930004E-3</v>
      </c>
      <c r="AG93">
        <f t="shared" si="89"/>
        <v>3734.4701170521903</v>
      </c>
      <c r="AH93">
        <f t="shared" si="90"/>
        <v>-612.70945330604957</v>
      </c>
      <c r="AJ93">
        <f t="shared" si="75"/>
        <v>18000</v>
      </c>
      <c r="AK93">
        <f t="shared" si="76"/>
        <v>2093.9066870626798</v>
      </c>
      <c r="AL93">
        <v>1</v>
      </c>
      <c r="AM93">
        <f t="shared" si="77"/>
        <v>4.1199738224412608</v>
      </c>
      <c r="AN93">
        <f t="shared" si="91"/>
        <v>1481.393552912798</v>
      </c>
      <c r="AO93">
        <f t="shared" si="92"/>
        <v>-4009.3959716713002</v>
      </c>
      <c r="AQ93">
        <f t="shared" si="78"/>
        <v>2.8719126938541066</v>
      </c>
      <c r="AR93">
        <f t="shared" si="79"/>
        <v>-169.44284893739231</v>
      </c>
      <c r="AT93">
        <f t="shared" si="104"/>
        <v>-93094.16320506818</v>
      </c>
      <c r="AU93">
        <f t="shared" si="105"/>
        <v>-634538.90396147419</v>
      </c>
      <c r="AV93">
        <f t="shared" si="93"/>
        <v>-1.7164686098812225</v>
      </c>
      <c r="AW93">
        <f t="shared" si="94"/>
        <v>-668974.76349818835</v>
      </c>
      <c r="AX93">
        <f t="shared" si="95"/>
        <v>-271890.4181619017</v>
      </c>
      <c r="AY93">
        <f t="shared" si="103"/>
        <v>-2.755556769083042</v>
      </c>
      <c r="BA93">
        <f t="shared" si="80"/>
        <v>0.8881280407349188</v>
      </c>
      <c r="BB93">
        <f t="shared" si="96"/>
        <v>-1.030488356139589</v>
      </c>
      <c r="BC93">
        <f t="shared" si="97"/>
        <v>1.0390881592018195</v>
      </c>
      <c r="BD93">
        <f t="shared" si="81"/>
        <v>-120.46463386768889</v>
      </c>
      <c r="BF93">
        <f t="shared" si="82"/>
        <v>3.434442886903613</v>
      </c>
      <c r="BG93">
        <f t="shared" si="83"/>
        <v>-112.4631220706912</v>
      </c>
      <c r="BH93">
        <f t="shared" si="98"/>
        <v>67.536877929308801</v>
      </c>
      <c r="BI93">
        <f t="shared" si="99"/>
        <v>67.536877929308801</v>
      </c>
      <c r="BJ93">
        <f t="shared" si="84"/>
        <v>0</v>
      </c>
      <c r="BK93">
        <f t="shared" si="100"/>
        <v>0</v>
      </c>
      <c r="BM93">
        <f t="shared" si="101"/>
        <v>4.4649312430432015</v>
      </c>
      <c r="BN93">
        <f t="shared" si="85"/>
        <v>-171.9984882030023</v>
      </c>
      <c r="BQ93" s="56">
        <f t="shared" si="102"/>
        <v>15.871472444145546</v>
      </c>
      <c r="BR93" s="59"/>
      <c r="BS93" s="59"/>
      <c r="BT93" s="59">
        <v>676.08299999999997</v>
      </c>
      <c r="BU93" s="59">
        <v>18.2744</v>
      </c>
      <c r="BV93" s="59">
        <v>-263.3252</v>
      </c>
      <c r="BW93" s="61"/>
      <c r="BY93" s="59"/>
      <c r="BZ93" s="59"/>
      <c r="CA93" s="59"/>
      <c r="CC93" s="59"/>
    </row>
    <row r="94" spans="1:81" x14ac:dyDescent="0.2">
      <c r="A94">
        <f t="shared" si="54"/>
        <v>30000</v>
      </c>
      <c r="B94">
        <f t="shared" si="86"/>
        <v>30</v>
      </c>
      <c r="C94">
        <f t="shared" si="55"/>
        <v>1.0000261956397924</v>
      </c>
      <c r="D94">
        <f t="shared" si="56"/>
        <v>7.2381030612166577E-3</v>
      </c>
      <c r="F94">
        <f t="shared" si="57"/>
        <v>0.10741666267505984</v>
      </c>
      <c r="G94">
        <f t="shared" si="58"/>
        <v>0.12986954402010506</v>
      </c>
      <c r="H94">
        <f t="shared" si="59"/>
        <v>-3.011723105979895</v>
      </c>
      <c r="J94">
        <f t="shared" si="60"/>
        <v>15</v>
      </c>
      <c r="M94">
        <f t="shared" si="61"/>
        <v>7.5224955700072035E-3</v>
      </c>
      <c r="N94">
        <f t="shared" si="62"/>
        <v>-1.5707963250000001</v>
      </c>
      <c r="O94">
        <f t="shared" si="63"/>
        <v>28.173334519144543</v>
      </c>
      <c r="P94">
        <f t="shared" si="64"/>
        <v>1.5352943135097845</v>
      </c>
      <c r="Q94">
        <f t="shared" si="65"/>
        <v>4.3074884345096294</v>
      </c>
      <c r="R94">
        <f t="shared" si="66"/>
        <v>1.3365048846431504</v>
      </c>
      <c r="S94">
        <f t="shared" si="67"/>
        <v>0.99307517683758195</v>
      </c>
      <c r="T94">
        <f t="shared" si="68"/>
        <v>-0.11775253840037547</v>
      </c>
      <c r="U94">
        <f t="shared" si="69"/>
        <v>0.99173759297512598</v>
      </c>
      <c r="V94">
        <f t="shared" si="70"/>
        <v>-0.12863755326991613</v>
      </c>
      <c r="X94">
        <f t="shared" si="87"/>
        <v>3.2195501124261954</v>
      </c>
      <c r="Y94">
        <f t="shared" si="71"/>
        <v>-111.71944900574115</v>
      </c>
      <c r="Z94">
        <f t="shared" si="88"/>
        <v>68.280550994258846</v>
      </c>
      <c r="AC94">
        <v>1</v>
      </c>
      <c r="AD94">
        <f t="shared" si="72"/>
        <v>28.155581647830001</v>
      </c>
      <c r="AE94">
        <f t="shared" si="73"/>
        <v>-9.5529637830201407E-4</v>
      </c>
      <c r="AF94">
        <f t="shared" si="74"/>
        <v>7.3852560016199999E-3</v>
      </c>
      <c r="AG94">
        <f t="shared" si="89"/>
        <v>3732.4386389036044</v>
      </c>
      <c r="AH94">
        <f t="shared" si="90"/>
        <v>-618.20268829917666</v>
      </c>
      <c r="AJ94">
        <f t="shared" si="75"/>
        <v>18000</v>
      </c>
      <c r="AK94">
        <f t="shared" si="76"/>
        <v>2129.3966309112002</v>
      </c>
      <c r="AL94">
        <v>1</v>
      </c>
      <c r="AM94">
        <f t="shared" si="77"/>
        <v>4.1898038872284005</v>
      </c>
      <c r="AN94">
        <f t="shared" si="91"/>
        <v>1450.9589174468365</v>
      </c>
      <c r="AO94">
        <f t="shared" si="92"/>
        <v>-3949.8366816162679</v>
      </c>
      <c r="AQ94">
        <f t="shared" si="78"/>
        <v>2.7770063871146902</v>
      </c>
      <c r="AR94">
        <f t="shared" si="79"/>
        <v>-166.62038322688142</v>
      </c>
      <c r="AT94">
        <f t="shared" si="104"/>
        <v>-92640.162896548165</v>
      </c>
      <c r="AU94">
        <f t="shared" si="105"/>
        <v>-623617.10919887654</v>
      </c>
      <c r="AV94">
        <f t="shared" si="93"/>
        <v>-1.718270769635984</v>
      </c>
      <c r="AW94">
        <f t="shared" si="94"/>
        <v>-648022.56749461486</v>
      </c>
      <c r="AX94">
        <f t="shared" si="95"/>
        <v>-261966.22331831569</v>
      </c>
      <c r="AY94">
        <f t="shared" si="103"/>
        <v>-2.7574237488191473</v>
      </c>
      <c r="BA94">
        <f t="shared" si="80"/>
        <v>0.9019846763416991</v>
      </c>
      <c r="BB94">
        <f t="shared" si="96"/>
        <v>-0.89601681095212937</v>
      </c>
      <c r="BC94">
        <f t="shared" si="97"/>
        <v>1.0391529791831633</v>
      </c>
      <c r="BD94">
        <f t="shared" si="81"/>
        <v>-120.46091995632554</v>
      </c>
      <c r="BF94">
        <f t="shared" si="82"/>
        <v>3.2474690029652202</v>
      </c>
      <c r="BG94">
        <f t="shared" si="83"/>
        <v>-112.60523043062018</v>
      </c>
      <c r="BH94">
        <f t="shared" si="98"/>
        <v>67.394769569379818</v>
      </c>
      <c r="BI94">
        <f t="shared" si="99"/>
        <v>67.394769569379818</v>
      </c>
      <c r="BJ94">
        <f t="shared" si="84"/>
        <v>0</v>
      </c>
      <c r="BK94">
        <f t="shared" si="100"/>
        <v>0</v>
      </c>
      <c r="BM94">
        <f t="shared" si="101"/>
        <v>4.1434858139173496</v>
      </c>
      <c r="BN94">
        <f t="shared" si="85"/>
        <v>-172.14431047429466</v>
      </c>
      <c r="BQ94" s="56">
        <f t="shared" si="102"/>
        <v>16.005943989333005</v>
      </c>
      <c r="BR94" s="59"/>
      <c r="BS94" s="59"/>
      <c r="BT94" s="59">
        <v>691.83100000000002</v>
      </c>
      <c r="BU94" s="59">
        <v>18.092600000000001</v>
      </c>
      <c r="BV94" s="59">
        <v>-263.57819999999998</v>
      </c>
      <c r="BW94" s="61"/>
      <c r="BY94" s="59"/>
      <c r="BZ94" s="59"/>
      <c r="CA94" s="59"/>
      <c r="CC94" s="59"/>
    </row>
    <row r="95" spans="1:81" x14ac:dyDescent="0.2">
      <c r="A95">
        <f t="shared" si="54"/>
        <v>30500</v>
      </c>
      <c r="B95">
        <f t="shared" si="86"/>
        <v>30.5</v>
      </c>
      <c r="C95">
        <f t="shared" si="55"/>
        <v>1.0000270760924328</v>
      </c>
      <c r="D95">
        <f t="shared" si="56"/>
        <v>7.3587337929756375E-3</v>
      </c>
      <c r="F95">
        <f t="shared" si="57"/>
        <v>0.10358954896273349</v>
      </c>
      <c r="G95">
        <f t="shared" si="58"/>
        <v>0.12731588599228452</v>
      </c>
      <c r="H95">
        <f t="shared" si="59"/>
        <v>-3.0142767640077155</v>
      </c>
      <c r="J95">
        <f t="shared" si="60"/>
        <v>15</v>
      </c>
      <c r="M95">
        <f t="shared" si="61"/>
        <v>7.3991759704988887E-3</v>
      </c>
      <c r="N95">
        <f t="shared" si="62"/>
        <v>-1.5707963250000001</v>
      </c>
      <c r="O95">
        <f t="shared" si="63"/>
        <v>28.642303361503785</v>
      </c>
      <c r="P95">
        <f t="shared" si="64"/>
        <v>1.5358758367631273</v>
      </c>
      <c r="Q95">
        <f t="shared" si="65"/>
        <v>4.3754407098215289</v>
      </c>
      <c r="R95">
        <f t="shared" si="66"/>
        <v>1.3402099640086924</v>
      </c>
      <c r="S95">
        <f t="shared" si="67"/>
        <v>0.99284491800357544</v>
      </c>
      <c r="T95">
        <f t="shared" si="68"/>
        <v>-0.11969654002755914</v>
      </c>
      <c r="U95">
        <f t="shared" si="69"/>
        <v>0.99146343035753559</v>
      </c>
      <c r="V95">
        <f t="shared" si="70"/>
        <v>-0.13075735444213171</v>
      </c>
      <c r="X95">
        <f t="shared" si="87"/>
        <v>3.0358035348284371</v>
      </c>
      <c r="Y95">
        <f t="shared" si="71"/>
        <v>-111.84608571205752</v>
      </c>
      <c r="Z95">
        <f t="shared" si="88"/>
        <v>68.153914287942484</v>
      </c>
      <c r="AC95">
        <v>1</v>
      </c>
      <c r="AD95">
        <f t="shared" si="72"/>
        <v>28.624841341960497</v>
      </c>
      <c r="AE95">
        <f t="shared" si="73"/>
        <v>-9.8740495101716529E-4</v>
      </c>
      <c r="AF95">
        <f t="shared" si="74"/>
        <v>7.5083436016470002E-3</v>
      </c>
      <c r="AG95">
        <f t="shared" si="89"/>
        <v>3730.3752832111627</v>
      </c>
      <c r="AH95">
        <f t="shared" si="90"/>
        <v>-623.75821782682294</v>
      </c>
      <c r="AJ95">
        <f t="shared" si="75"/>
        <v>18000</v>
      </c>
      <c r="AK95">
        <f t="shared" si="76"/>
        <v>2164.8865747597201</v>
      </c>
      <c r="AL95">
        <v>1</v>
      </c>
      <c r="AM95">
        <f t="shared" si="77"/>
        <v>4.2596339520155402</v>
      </c>
      <c r="AN95">
        <f t="shared" si="91"/>
        <v>1421.9045050114069</v>
      </c>
      <c r="AO95">
        <f t="shared" si="92"/>
        <v>-3891.90613131072</v>
      </c>
      <c r="AQ95">
        <f t="shared" si="78"/>
        <v>2.6867275658248255</v>
      </c>
      <c r="AR95">
        <f t="shared" si="79"/>
        <v>-163.89038151531435</v>
      </c>
      <c r="AT95">
        <f t="shared" si="104"/>
        <v>-92205.47018867555</v>
      </c>
      <c r="AU95">
        <f t="shared" si="105"/>
        <v>-613048.49675902131</v>
      </c>
      <c r="AV95">
        <f t="shared" si="93"/>
        <v>-1.7200821969607922</v>
      </c>
      <c r="AW95">
        <f t="shared" si="94"/>
        <v>-628014.4374860872</v>
      </c>
      <c r="AX95">
        <f t="shared" si="95"/>
        <v>-252608.79005318641</v>
      </c>
      <c r="AY95">
        <f t="shared" si="103"/>
        <v>-2.7591618569987975</v>
      </c>
      <c r="BA95">
        <f t="shared" si="80"/>
        <v>0.91583756973252173</v>
      </c>
      <c r="BB95">
        <f t="shared" si="96"/>
        <v>-0.763630893981458</v>
      </c>
      <c r="BC95">
        <f t="shared" si="97"/>
        <v>1.0390796600380052</v>
      </c>
      <c r="BD95">
        <f t="shared" si="81"/>
        <v>-120.4651208339054</v>
      </c>
      <c r="BF95">
        <f t="shared" si="82"/>
        <v>3.0647483062983873</v>
      </c>
      <c r="BG95">
        <f t="shared" si="83"/>
        <v>-112.74883350386378</v>
      </c>
      <c r="BH95">
        <f t="shared" si="98"/>
        <v>67.251166496136221</v>
      </c>
      <c r="BI95">
        <f t="shared" si="99"/>
        <v>67.251166496136221</v>
      </c>
      <c r="BJ95">
        <f t="shared" si="84"/>
        <v>0</v>
      </c>
      <c r="BK95">
        <f t="shared" si="100"/>
        <v>0</v>
      </c>
      <c r="BM95">
        <f t="shared" si="101"/>
        <v>3.828379200279846</v>
      </c>
      <c r="BN95">
        <f t="shared" si="85"/>
        <v>-172.28371266995836</v>
      </c>
      <c r="BQ95" s="56">
        <f t="shared" si="102"/>
        <v>16.138329906303678</v>
      </c>
      <c r="BR95" s="59"/>
      <c r="BS95" s="59"/>
      <c r="BT95" s="59">
        <v>707.94600000000003</v>
      </c>
      <c r="BU95" s="59">
        <v>17.887</v>
      </c>
      <c r="BV95" s="59">
        <v>-262.84989999999999</v>
      </c>
      <c r="BW95" s="61"/>
      <c r="BY95" s="59"/>
      <c r="BZ95" s="59"/>
      <c r="CA95" s="59"/>
      <c r="CC95" s="59"/>
    </row>
    <row r="96" spans="1:81" x14ac:dyDescent="0.2">
      <c r="A96">
        <f t="shared" si="54"/>
        <v>31000</v>
      </c>
      <c r="B96">
        <f t="shared" si="86"/>
        <v>31</v>
      </c>
      <c r="C96">
        <f t="shared" si="55"/>
        <v>1.0000279710972149</v>
      </c>
      <c r="D96">
        <f t="shared" si="56"/>
        <v>7.4793643105658791E-3</v>
      </c>
      <c r="F96">
        <f t="shared" si="57"/>
        <v>9.9968729867886796E-2</v>
      </c>
      <c r="G96">
        <f t="shared" si="58"/>
        <v>0.12486707433356412</v>
      </c>
      <c r="H96">
        <f t="shared" si="59"/>
        <v>-3.016725575666436</v>
      </c>
      <c r="J96">
        <f t="shared" si="60"/>
        <v>15</v>
      </c>
      <c r="M96">
        <f t="shared" si="61"/>
        <v>7.2798344225876157E-3</v>
      </c>
      <c r="N96">
        <f t="shared" si="62"/>
        <v>-1.5707963250000001</v>
      </c>
      <c r="O96">
        <f t="shared" si="63"/>
        <v>29.111281577736687</v>
      </c>
      <c r="P96">
        <f t="shared" si="64"/>
        <v>1.5364386237034684</v>
      </c>
      <c r="Q96">
        <f t="shared" si="65"/>
        <v>4.4434512119285392</v>
      </c>
      <c r="R96">
        <f t="shared" si="66"/>
        <v>1.3438016731452234</v>
      </c>
      <c r="S96">
        <f t="shared" si="67"/>
        <v>0.9926110173207584</v>
      </c>
      <c r="T96">
        <f t="shared" si="68"/>
        <v>-0.12163963303471796</v>
      </c>
      <c r="U96">
        <f t="shared" si="69"/>
        <v>0.99118496903839881</v>
      </c>
      <c r="V96">
        <f t="shared" si="70"/>
        <v>-0.13287597440005194</v>
      </c>
      <c r="X96">
        <f t="shared" si="87"/>
        <v>2.8560924450017748</v>
      </c>
      <c r="Y96">
        <f t="shared" si="71"/>
        <v>-111.97416458481679</v>
      </c>
      <c r="Z96">
        <f t="shared" si="88"/>
        <v>68.025835415183209</v>
      </c>
      <c r="AC96">
        <v>1</v>
      </c>
      <c r="AD96">
        <f t="shared" si="72"/>
        <v>29.094101036091001</v>
      </c>
      <c r="AE96">
        <f t="shared" si="73"/>
        <v>-1.0200442439424842E-3</v>
      </c>
      <c r="AF96">
        <f t="shared" si="74"/>
        <v>7.6314312016739997E-3</v>
      </c>
      <c r="AG96">
        <f t="shared" si="89"/>
        <v>3728.2801593423196</v>
      </c>
      <c r="AH96">
        <f t="shared" si="90"/>
        <v>-629.37220940791974</v>
      </c>
      <c r="AJ96">
        <f t="shared" si="75"/>
        <v>18000</v>
      </c>
      <c r="AK96">
        <f t="shared" si="76"/>
        <v>2200.3765186082401</v>
      </c>
      <c r="AL96">
        <v>1</v>
      </c>
      <c r="AM96">
        <f t="shared" si="77"/>
        <v>4.3294640168026799</v>
      </c>
      <c r="AN96">
        <f t="shared" si="91"/>
        <v>1394.1496318961754</v>
      </c>
      <c r="AO96">
        <f t="shared" si="92"/>
        <v>-3835.5441467249534</v>
      </c>
      <c r="AQ96">
        <f t="shared" si="78"/>
        <v>2.6007802340702209</v>
      </c>
      <c r="AR96">
        <f t="shared" si="79"/>
        <v>-161.24837451235371</v>
      </c>
      <c r="AT96">
        <f t="shared" si="104"/>
        <v>-91788.808384782067</v>
      </c>
      <c r="AU96">
        <f t="shared" si="105"/>
        <v>-602815.97422270931</v>
      </c>
      <c r="AV96">
        <f t="shared" si="93"/>
        <v>-1.7219023704427403</v>
      </c>
      <c r="AW96">
        <f t="shared" si="94"/>
        <v>-608895.68015987065</v>
      </c>
      <c r="AX96">
        <f t="shared" si="95"/>
        <v>-243776.83263004676</v>
      </c>
      <c r="AY96">
        <f t="shared" si="103"/>
        <v>-2.7607768787213538</v>
      </c>
      <c r="BA96">
        <f t="shared" si="80"/>
        <v>0.92968582116307197</v>
      </c>
      <c r="BB96">
        <f t="shared" si="96"/>
        <v>-0.63327585016806953</v>
      </c>
      <c r="BC96">
        <f t="shared" si="97"/>
        <v>1.0388745082786135</v>
      </c>
      <c r="BD96">
        <f t="shared" si="81"/>
        <v>-120.47687516389166</v>
      </c>
      <c r="BF96">
        <f t="shared" si="82"/>
        <v>2.8860757674953246</v>
      </c>
      <c r="BG96">
        <f t="shared" si="83"/>
        <v>-112.89398278733118</v>
      </c>
      <c r="BH96">
        <f t="shared" si="98"/>
        <v>67.106017212668817</v>
      </c>
      <c r="BI96">
        <f t="shared" si="99"/>
        <v>67.106017212668817</v>
      </c>
      <c r="BJ96">
        <f t="shared" si="84"/>
        <v>0</v>
      </c>
      <c r="BK96">
        <f t="shared" si="100"/>
        <v>0</v>
      </c>
      <c r="BM96">
        <f t="shared" si="101"/>
        <v>3.519351617663395</v>
      </c>
      <c r="BN96">
        <f t="shared" si="85"/>
        <v>-172.41710762343951</v>
      </c>
      <c r="BQ96" s="56">
        <f t="shared" si="102"/>
        <v>16.268684950117066</v>
      </c>
      <c r="BR96" s="59"/>
      <c r="BS96" s="59"/>
      <c r="BT96" s="59">
        <v>724.43600000000004</v>
      </c>
      <c r="BU96" s="59">
        <v>17.753599999999999</v>
      </c>
      <c r="BV96" s="59">
        <v>-262.81690000000003</v>
      </c>
      <c r="BW96" s="61"/>
      <c r="BY96" s="59"/>
      <c r="BZ96" s="59"/>
      <c r="CA96" s="59"/>
      <c r="CC96" s="59"/>
    </row>
    <row r="97" spans="1:81" x14ac:dyDescent="0.2">
      <c r="A97">
        <f t="shared" si="54"/>
        <v>31500</v>
      </c>
      <c r="B97">
        <f t="shared" si="86"/>
        <v>31.5</v>
      </c>
      <c r="C97">
        <f t="shared" si="55"/>
        <v>1.0000288806540993</v>
      </c>
      <c r="D97">
        <f t="shared" si="56"/>
        <v>7.599994610477198E-3</v>
      </c>
      <c r="F97">
        <f t="shared" si="57"/>
        <v>9.6539306118443843E-2</v>
      </c>
      <c r="G97">
        <f t="shared" si="58"/>
        <v>0.12251652278720335</v>
      </c>
      <c r="H97">
        <f t="shared" si="59"/>
        <v>-3.0190761272127968</v>
      </c>
      <c r="J97">
        <f t="shared" si="60"/>
        <v>15</v>
      </c>
      <c r="M97">
        <f t="shared" si="61"/>
        <v>7.1642814952449551E-3</v>
      </c>
      <c r="N97">
        <f t="shared" si="62"/>
        <v>-1.5707963250000001</v>
      </c>
      <c r="O97">
        <f t="shared" si="63"/>
        <v>29.580268721991061</v>
      </c>
      <c r="P97">
        <f t="shared" si="64"/>
        <v>1.5369835651430319</v>
      </c>
      <c r="Q97">
        <f t="shared" si="65"/>
        <v>4.5115173075486723</v>
      </c>
      <c r="R97">
        <f t="shared" si="66"/>
        <v>1.3472850485364618</v>
      </c>
      <c r="S97">
        <f t="shared" si="67"/>
        <v>0.99237348265920877</v>
      </c>
      <c r="T97">
        <f t="shared" si="68"/>
        <v>-0.12358180339639972</v>
      </c>
      <c r="U97">
        <f t="shared" si="69"/>
        <v>0.99090222013475071</v>
      </c>
      <c r="V97">
        <f t="shared" si="70"/>
        <v>-0.13499339512770345</v>
      </c>
      <c r="X97">
        <f t="shared" si="87"/>
        <v>2.6802262268202632</v>
      </c>
      <c r="Y97">
        <f t="shared" si="71"/>
        <v>-112.10372154405417</v>
      </c>
      <c r="Z97">
        <f t="shared" si="88"/>
        <v>67.896278455945833</v>
      </c>
      <c r="AC97">
        <v>1</v>
      </c>
      <c r="AD97">
        <f t="shared" si="72"/>
        <v>29.5633607302215</v>
      </c>
      <c r="AE97">
        <f t="shared" si="73"/>
        <v>-1.0532142570779707E-3</v>
      </c>
      <c r="AF97">
        <f t="shared" si="74"/>
        <v>7.754518801701E-3</v>
      </c>
      <c r="AG97">
        <f t="shared" si="89"/>
        <v>3726.1533781606759</v>
      </c>
      <c r="AH97">
        <f t="shared" si="90"/>
        <v>-635.04106287779746</v>
      </c>
      <c r="AJ97">
        <f t="shared" si="75"/>
        <v>18000</v>
      </c>
      <c r="AK97">
        <f t="shared" si="76"/>
        <v>2235.86646245676</v>
      </c>
      <c r="AL97">
        <v>1</v>
      </c>
      <c r="AM97">
        <f t="shared" si="77"/>
        <v>4.3992940815898205</v>
      </c>
      <c r="AN97">
        <f t="shared" si="91"/>
        <v>1367.6193112631381</v>
      </c>
      <c r="AO97">
        <f t="shared" si="92"/>
        <v>-3780.6930794511104</v>
      </c>
      <c r="AQ97">
        <f t="shared" si="78"/>
        <v>2.5188916876574305</v>
      </c>
      <c r="AR97">
        <f t="shared" si="79"/>
        <v>-158.69017632241813</v>
      </c>
      <c r="AT97">
        <f t="shared" si="104"/>
        <v>-91389.001468867908</v>
      </c>
      <c r="AU97">
        <f t="shared" si="105"/>
        <v>-592903.53623929562</v>
      </c>
      <c r="AV97">
        <f t="shared" si="93"/>
        <v>-1.7237308005826746</v>
      </c>
      <c r="AW97">
        <f t="shared" si="94"/>
        <v>-590615.41774946079</v>
      </c>
      <c r="AX97">
        <f t="shared" si="95"/>
        <v>-235432.64903895979</v>
      </c>
      <c r="AY97">
        <f t="shared" si="103"/>
        <v>-2.7622742603658943</v>
      </c>
      <c r="BA97">
        <f t="shared" si="80"/>
        <v>0.94352856735126422</v>
      </c>
      <c r="BB97">
        <f t="shared" si="96"/>
        <v>-0.50489892205951525</v>
      </c>
      <c r="BC97">
        <f t="shared" si="97"/>
        <v>1.0385434597832197</v>
      </c>
      <c r="BD97">
        <f t="shared" si="81"/>
        <v>-120.49584284551355</v>
      </c>
      <c r="BF97">
        <f t="shared" si="82"/>
        <v>2.7112605691757317</v>
      </c>
      <c r="BG97">
        <f t="shared" si="83"/>
        <v>-113.04071554516719</v>
      </c>
      <c r="BH97">
        <f t="shared" si="98"/>
        <v>66.959284454832812</v>
      </c>
      <c r="BI97">
        <f t="shared" si="99"/>
        <v>66.959284454832812</v>
      </c>
      <c r="BJ97">
        <f t="shared" si="84"/>
        <v>0</v>
      </c>
      <c r="BK97">
        <f t="shared" si="100"/>
        <v>0</v>
      </c>
      <c r="BM97">
        <f t="shared" si="101"/>
        <v>3.2161594912352465</v>
      </c>
      <c r="BN97">
        <f t="shared" si="85"/>
        <v>-172.54487269965364</v>
      </c>
      <c r="BQ97" s="56">
        <f t="shared" si="102"/>
        <v>16.397061878225621</v>
      </c>
      <c r="BR97" s="59"/>
      <c r="BS97" s="59"/>
      <c r="BT97" s="59">
        <v>741.31</v>
      </c>
      <c r="BU97" s="59">
        <v>17.416399999999999</v>
      </c>
      <c r="BV97" s="59">
        <v>-262.19720000000001</v>
      </c>
      <c r="BW97" s="61"/>
      <c r="BY97" s="59"/>
      <c r="BZ97" s="59"/>
      <c r="CA97" s="59"/>
      <c r="CC97" s="59"/>
    </row>
    <row r="98" spans="1:81" x14ac:dyDescent="0.2">
      <c r="A98">
        <f t="shared" si="54"/>
        <v>32000</v>
      </c>
      <c r="B98">
        <f t="shared" si="86"/>
        <v>32</v>
      </c>
      <c r="C98">
        <f t="shared" si="55"/>
        <v>1.0000298047630467</v>
      </c>
      <c r="D98">
        <f t="shared" si="56"/>
        <v>7.720624689199449E-3</v>
      </c>
      <c r="F98">
        <f t="shared" si="57"/>
        <v>9.3287725108339395E-2</v>
      </c>
      <c r="G98">
        <f t="shared" si="58"/>
        <v>0.12025819824266028</v>
      </c>
      <c r="H98">
        <f t="shared" si="59"/>
        <v>-3.0213344517573399</v>
      </c>
      <c r="J98">
        <f t="shared" si="60"/>
        <v>15</v>
      </c>
      <c r="M98">
        <f t="shared" si="61"/>
        <v>7.0523395968817536E-3</v>
      </c>
      <c r="N98">
        <f t="shared" si="62"/>
        <v>-1.5707963250000001</v>
      </c>
      <c r="O98">
        <f t="shared" si="63"/>
        <v>30.049264376240643</v>
      </c>
      <c r="P98">
        <f t="shared" si="64"/>
        <v>1.537511496324429</v>
      </c>
      <c r="Q98">
        <f t="shared" si="65"/>
        <v>4.5796365178613891</v>
      </c>
      <c r="R98">
        <f t="shared" si="66"/>
        <v>1.3506648378951693</v>
      </c>
      <c r="S98">
        <f t="shared" si="67"/>
        <v>0.99213232200109769</v>
      </c>
      <c r="T98">
        <f t="shared" si="68"/>
        <v>-0.12552303712831009</v>
      </c>
      <c r="U98">
        <f t="shared" si="69"/>
        <v>0.99061519491764105</v>
      </c>
      <c r="V98">
        <f t="shared" si="70"/>
        <v>-0.13710959867251568</v>
      </c>
      <c r="X98">
        <f t="shared" si="87"/>
        <v>2.5080272148903515</v>
      </c>
      <c r="Y98">
        <f t="shared" si="71"/>
        <v>-112.2347805521146</v>
      </c>
      <c r="Z98">
        <f t="shared" si="88"/>
        <v>67.7652194478854</v>
      </c>
      <c r="AC98">
        <v>1</v>
      </c>
      <c r="AD98">
        <f t="shared" si="72"/>
        <v>30.032620424351997</v>
      </c>
      <c r="AE98">
        <f t="shared" si="73"/>
        <v>-1.0869149904236251E-3</v>
      </c>
      <c r="AF98">
        <f t="shared" si="74"/>
        <v>7.8776064017279986E-3</v>
      </c>
      <c r="AG98">
        <f t="shared" si="89"/>
        <v>3723.9950520116759</v>
      </c>
      <c r="AH98">
        <f t="shared" si="90"/>
        <v>-640.76139234217931</v>
      </c>
      <c r="AJ98">
        <f t="shared" si="75"/>
        <v>18000</v>
      </c>
      <c r="AK98">
        <f t="shared" si="76"/>
        <v>2271.35640630528</v>
      </c>
      <c r="AL98">
        <v>1</v>
      </c>
      <c r="AM98">
        <f t="shared" si="77"/>
        <v>4.4691241463769602</v>
      </c>
      <c r="AN98">
        <f t="shared" si="91"/>
        <v>1342.2437872539799</v>
      </c>
      <c r="AO98">
        <f t="shared" si="92"/>
        <v>-3727.2977136359414</v>
      </c>
      <c r="AQ98">
        <f t="shared" si="78"/>
        <v>2.4408103490358801</v>
      </c>
      <c r="AR98">
        <f t="shared" si="79"/>
        <v>-156.21186233829633</v>
      </c>
      <c r="AT98">
        <f t="shared" si="104"/>
        <v>-91004.964749543084</v>
      </c>
      <c r="AU98">
        <f t="shared" si="105"/>
        <v>-583296.17945103603</v>
      </c>
      <c r="AV98">
        <f t="shared" si="93"/>
        <v>-1.7255670273174031</v>
      </c>
      <c r="AW98">
        <f t="shared" si="94"/>
        <v>-573126.28102413984</v>
      </c>
      <c r="AX98">
        <f t="shared" si="95"/>
        <v>-227541.76361914643</v>
      </c>
      <c r="AY98">
        <f t="shared" si="103"/>
        <v>-2.763659133610465</v>
      </c>
      <c r="BA98">
        <f t="shared" si="80"/>
        <v>0.95736497882187732</v>
      </c>
      <c r="BB98">
        <f t="shared" si="96"/>
        <v>-0.37844926807352863</v>
      </c>
      <c r="BC98">
        <f t="shared" si="97"/>
        <v>1.0380921062930619</v>
      </c>
      <c r="BD98">
        <f t="shared" si="81"/>
        <v>-120.52170349559765</v>
      </c>
      <c r="BF98">
        <f t="shared" si="82"/>
        <v>2.5401248421817719</v>
      </c>
      <c r="BG98">
        <f t="shared" si="83"/>
        <v>-113.18905706617123</v>
      </c>
      <c r="BH98">
        <f t="shared" si="98"/>
        <v>66.81094293382877</v>
      </c>
      <c r="BI98">
        <f t="shared" si="99"/>
        <v>66.81094293382877</v>
      </c>
      <c r="BJ98">
        <f t="shared" si="84"/>
        <v>0</v>
      </c>
      <c r="BK98">
        <f t="shared" si="100"/>
        <v>0</v>
      </c>
      <c r="BM98">
        <f t="shared" si="101"/>
        <v>2.9185741102553004</v>
      </c>
      <c r="BN98">
        <f t="shared" si="85"/>
        <v>-172.6673535705736</v>
      </c>
      <c r="BQ98" s="56">
        <f t="shared" si="102"/>
        <v>16.523511532211607</v>
      </c>
      <c r="BR98" s="59"/>
      <c r="BS98" s="59"/>
      <c r="BT98" s="59">
        <v>758.57799999999997</v>
      </c>
      <c r="BU98" s="59">
        <v>17.283200000000001</v>
      </c>
      <c r="BV98" s="59">
        <v>-262.56690000000003</v>
      </c>
      <c r="BW98" s="61"/>
      <c r="BY98" s="59"/>
      <c r="BZ98" s="59"/>
      <c r="CA98" s="59"/>
      <c r="CC98" s="59"/>
    </row>
    <row r="99" spans="1:81" x14ac:dyDescent="0.2">
      <c r="A99">
        <f t="shared" si="54"/>
        <v>32500</v>
      </c>
      <c r="B99">
        <f t="shared" si="86"/>
        <v>32.5</v>
      </c>
      <c r="C99">
        <f t="shared" si="55"/>
        <v>1.000030743424017</v>
      </c>
      <c r="D99">
        <f t="shared" si="56"/>
        <v>7.8412545432225249E-3</v>
      </c>
      <c r="F99">
        <f t="shared" si="57"/>
        <v>9.0201635167723906E-2</v>
      </c>
      <c r="G99">
        <f t="shared" si="58"/>
        <v>0.11808656313153157</v>
      </c>
      <c r="H99">
        <f t="shared" si="59"/>
        <v>-3.0235060868684687</v>
      </c>
      <c r="J99">
        <f t="shared" si="60"/>
        <v>15</v>
      </c>
      <c r="M99">
        <f t="shared" si="61"/>
        <v>6.943842064622033E-3</v>
      </c>
      <c r="N99">
        <f t="shared" si="62"/>
        <v>-1.5707963250000001</v>
      </c>
      <c r="O99">
        <f t="shared" si="63"/>
        <v>30.518268148148216</v>
      </c>
      <c r="P99">
        <f t="shared" si="64"/>
        <v>1.5380232011856854</v>
      </c>
      <c r="Q99">
        <f t="shared" si="65"/>
        <v>4.6478065074876262</v>
      </c>
      <c r="R99">
        <f t="shared" si="66"/>
        <v>1.3539455201881134</v>
      </c>
      <c r="S99">
        <f t="shared" si="67"/>
        <v>0.99188754343995955</v>
      </c>
      <c r="T99">
        <f t="shared" si="68"/>
        <v>-0.12746332028787588</v>
      </c>
      <c r="U99">
        <f t="shared" si="69"/>
        <v>0.99032390481091681</v>
      </c>
      <c r="V99">
        <f t="shared" si="70"/>
        <v>-0.13922456714615869</v>
      </c>
      <c r="X99">
        <f t="shared" si="87"/>
        <v>2.3393295657322675</v>
      </c>
      <c r="Y99">
        <f t="shared" si="71"/>
        <v>-112.36735552248847</v>
      </c>
      <c r="Z99">
        <f t="shared" si="88"/>
        <v>67.632644477511533</v>
      </c>
      <c r="AC99">
        <v>1</v>
      </c>
      <c r="AD99">
        <f t="shared" si="72"/>
        <v>30.5018801184825</v>
      </c>
      <c r="AE99">
        <f t="shared" si="73"/>
        <v>-1.1211464439794473E-3</v>
      </c>
      <c r="AF99">
        <f t="shared" si="74"/>
        <v>8.0006940017549998E-3</v>
      </c>
      <c r="AG99">
        <f t="shared" si="89"/>
        <v>3721.8052947081396</v>
      </c>
      <c r="AH99">
        <f t="shared" si="90"/>
        <v>-646.5300097980562</v>
      </c>
      <c r="AJ99">
        <f t="shared" si="75"/>
        <v>18000</v>
      </c>
      <c r="AK99">
        <f t="shared" si="76"/>
        <v>2306.8463501537999</v>
      </c>
      <c r="AL99">
        <v>1</v>
      </c>
      <c r="AM99">
        <f t="shared" si="77"/>
        <v>4.5389542111641008</v>
      </c>
      <c r="AN99">
        <f t="shared" si="91"/>
        <v>1317.9581119171753</v>
      </c>
      <c r="AO99">
        <f t="shared" si="92"/>
        <v>-3675.3051720705507</v>
      </c>
      <c r="AQ99">
        <f t="shared" si="78"/>
        <v>2.3663038334122102</v>
      </c>
      <c r="AR99">
        <f t="shared" si="79"/>
        <v>-153.80974917179367</v>
      </c>
      <c r="AT99">
        <f t="shared" si="104"/>
        <v>-90635.6965029946</v>
      </c>
      <c r="AU99">
        <f t="shared" si="105"/>
        <v>-573979.82528591377</v>
      </c>
      <c r="AV99">
        <f t="shared" si="93"/>
        <v>-1.7274106177696713</v>
      </c>
      <c r="AW99">
        <f t="shared" si="94"/>
        <v>-556384.12987364281</v>
      </c>
      <c r="AX99">
        <f t="shared" si="95"/>
        <v>-220072.60966493771</v>
      </c>
      <c r="AY99">
        <f t="shared" si="103"/>
        <v>-2.7649363374737059</v>
      </c>
      <c r="BA99">
        <f t="shared" si="80"/>
        <v>0.97119425747797938</v>
      </c>
      <c r="BB99">
        <f t="shared" si="96"/>
        <v>-0.25387788355178326</v>
      </c>
      <c r="BC99">
        <f t="shared" si="97"/>
        <v>1.0375257197040346</v>
      </c>
      <c r="BD99">
        <f t="shared" si="81"/>
        <v>-120.5541550567588</v>
      </c>
      <c r="BF99">
        <f t="shared" si="82"/>
        <v>2.3725025367946797</v>
      </c>
      <c r="BG99">
        <f t="shared" si="83"/>
        <v>-113.33902257245796</v>
      </c>
      <c r="BH99">
        <f t="shared" si="98"/>
        <v>66.660977427542036</v>
      </c>
      <c r="BI99">
        <f t="shared" si="99"/>
        <v>66.660977427542036</v>
      </c>
      <c r="BJ99">
        <f t="shared" si="84"/>
        <v>0</v>
      </c>
      <c r="BK99">
        <f t="shared" si="100"/>
        <v>0</v>
      </c>
      <c r="BM99">
        <f t="shared" si="101"/>
        <v>2.6263804203464631</v>
      </c>
      <c r="BN99">
        <f t="shared" si="85"/>
        <v>-172.78486751569918</v>
      </c>
      <c r="BQ99" s="56">
        <f t="shared" si="102"/>
        <v>16.648082916733355</v>
      </c>
      <c r="BR99" s="59"/>
      <c r="BS99" s="59"/>
      <c r="BT99" s="59">
        <v>776.24699999999996</v>
      </c>
      <c r="BU99" s="59">
        <v>17.007100000000001</v>
      </c>
      <c r="BV99" s="59">
        <v>-262.71769999999998</v>
      </c>
      <c r="BW99" s="61"/>
      <c r="BY99" s="59"/>
      <c r="BZ99" s="59"/>
      <c r="CA99" s="59"/>
      <c r="CC99" s="59"/>
    </row>
    <row r="100" spans="1:81" x14ac:dyDescent="0.2">
      <c r="A100">
        <f t="shared" si="54"/>
        <v>33000</v>
      </c>
      <c r="B100">
        <f t="shared" si="86"/>
        <v>33</v>
      </c>
      <c r="C100">
        <f t="shared" si="55"/>
        <v>1.0000316966369684</v>
      </c>
      <c r="D100">
        <f t="shared" si="56"/>
        <v>7.9618841690363585E-3</v>
      </c>
      <c r="F100">
        <f t="shared" si="57"/>
        <v>8.7269758134845846E-2</v>
      </c>
      <c r="G100">
        <f t="shared" si="58"/>
        <v>0.11599652492041222</v>
      </c>
      <c r="H100">
        <f t="shared" si="59"/>
        <v>-3.0255961250795882</v>
      </c>
      <c r="J100">
        <f t="shared" si="60"/>
        <v>15</v>
      </c>
      <c r="M100">
        <f t="shared" si="61"/>
        <v>6.8386323363701842E-3</v>
      </c>
      <c r="N100">
        <f t="shared" si="62"/>
        <v>-1.5707963250000001</v>
      </c>
      <c r="O100">
        <f t="shared" si="63"/>
        <v>30.98727966912265</v>
      </c>
      <c r="P100">
        <f t="shared" si="64"/>
        <v>1.5385194162385287</v>
      </c>
      <c r="Q100">
        <f t="shared" si="65"/>
        <v>4.7160250743879004</v>
      </c>
      <c r="R100">
        <f t="shared" si="66"/>
        <v>1.3571313240502578</v>
      </c>
      <c r="S100">
        <f t="shared" si="67"/>
        <v>0.99163915517995405</v>
      </c>
      <c r="T100">
        <f t="shared" si="68"/>
        <v>-0.12940263897480364</v>
      </c>
      <c r="U100">
        <f t="shared" si="69"/>
        <v>0.99002836138999273</v>
      </c>
      <c r="V100">
        <f t="shared" si="70"/>
        <v>-0.14133828272537249</v>
      </c>
      <c r="X100">
        <f t="shared" si="87"/>
        <v>2.1739782473024709</v>
      </c>
      <c r="Y100">
        <f t="shared" si="71"/>
        <v>-112.50145193647222</v>
      </c>
      <c r="Z100">
        <f t="shared" si="88"/>
        <v>67.498548063527778</v>
      </c>
      <c r="AC100">
        <v>1</v>
      </c>
      <c r="AD100">
        <f t="shared" si="72"/>
        <v>30.971139812613</v>
      </c>
      <c r="AE100">
        <f t="shared" si="73"/>
        <v>-1.1559086177454372E-3</v>
      </c>
      <c r="AF100">
        <f t="shared" si="74"/>
        <v>8.123781601782001E-3</v>
      </c>
      <c r="AG100">
        <f t="shared" si="89"/>
        <v>3719.5842215156513</v>
      </c>
      <c r="AH100">
        <f t="shared" si="90"/>
        <v>-652.34391024463503</v>
      </c>
      <c r="AJ100">
        <f t="shared" si="75"/>
        <v>18000</v>
      </c>
      <c r="AK100">
        <f t="shared" si="76"/>
        <v>2342.3362940023203</v>
      </c>
      <c r="AL100">
        <v>1</v>
      </c>
      <c r="AM100">
        <f t="shared" si="77"/>
        <v>4.6087842759512405</v>
      </c>
      <c r="AN100">
        <f t="shared" si="91"/>
        <v>1294.7017606360773</v>
      </c>
      <c r="AO100">
        <f t="shared" si="92"/>
        <v>-3624.6648224636197</v>
      </c>
      <c r="AQ100">
        <f t="shared" si="78"/>
        <v>2.2951572182694515</v>
      </c>
      <c r="AR100">
        <f t="shared" si="79"/>
        <v>-151.4803764057838</v>
      </c>
      <c r="AT100">
        <f t="shared" si="104"/>
        <v>-90280.270494905359</v>
      </c>
      <c r="AU100">
        <f t="shared" si="105"/>
        <v>-564941.24978259718</v>
      </c>
      <c r="AV100">
        <f t="shared" si="93"/>
        <v>-1.7292611642018669</v>
      </c>
      <c r="AW100">
        <f t="shared" si="94"/>
        <v>-540347.79879104428</v>
      </c>
      <c r="AX100">
        <f t="shared" si="95"/>
        <v>-212996.24708092184</v>
      </c>
      <c r="AY100">
        <f t="shared" si="103"/>
        <v>-2.7661104385627104</v>
      </c>
      <c r="BA100">
        <f t="shared" si="80"/>
        <v>0.98501563437723538</v>
      </c>
      <c r="BB100">
        <f t="shared" si="96"/>
        <v>-0.13113752466958303</v>
      </c>
      <c r="BC100">
        <f t="shared" si="97"/>
        <v>1.0368492743608435</v>
      </c>
      <c r="BD100">
        <f t="shared" si="81"/>
        <v>-120.59291252003922</v>
      </c>
      <c r="BF100">
        <f t="shared" si="82"/>
        <v>2.2082384122927898</v>
      </c>
      <c r="BG100">
        <f t="shared" si="83"/>
        <v>-113.49061883594216</v>
      </c>
      <c r="BH100">
        <f t="shared" si="98"/>
        <v>66.509381164057842</v>
      </c>
      <c r="BI100">
        <f t="shared" si="99"/>
        <v>66.509381164057842</v>
      </c>
      <c r="BJ100">
        <f t="shared" si="84"/>
        <v>0</v>
      </c>
      <c r="BK100">
        <f t="shared" si="100"/>
        <v>0</v>
      </c>
      <c r="BM100">
        <f t="shared" si="101"/>
        <v>2.3393759369623739</v>
      </c>
      <c r="BN100">
        <f t="shared" si="85"/>
        <v>-172.89770631590295</v>
      </c>
      <c r="BQ100" s="56">
        <f t="shared" si="102"/>
        <v>16.770823275615555</v>
      </c>
      <c r="BR100" s="59"/>
      <c r="BS100" s="59"/>
      <c r="BT100" s="59">
        <v>794.32799999999997</v>
      </c>
      <c r="BU100" s="59">
        <v>16.8354</v>
      </c>
      <c r="BV100" s="59">
        <v>-262.79380000000003</v>
      </c>
      <c r="BW100" s="61"/>
      <c r="BY100" s="59"/>
      <c r="BZ100" s="59"/>
      <c r="CA100" s="59"/>
      <c r="CC100" s="59"/>
    </row>
    <row r="101" spans="1:81" x14ac:dyDescent="0.2">
      <c r="A101">
        <f t="shared" si="54"/>
        <v>33500</v>
      </c>
      <c r="B101">
        <f t="shared" si="86"/>
        <v>33.5</v>
      </c>
      <c r="C101">
        <f t="shared" si="55"/>
        <v>1.0000326644018602</v>
      </c>
      <c r="D101">
        <f t="shared" si="56"/>
        <v>8.0825135631309233E-3</v>
      </c>
      <c r="F101">
        <f t="shared" si="57"/>
        <v>8.4481777623206758E-2</v>
      </c>
      <c r="G101">
        <f t="shared" si="58"/>
        <v>0.11398339169832322</v>
      </c>
      <c r="H101">
        <f t="shared" si="59"/>
        <v>-3.0276092583016769</v>
      </c>
      <c r="J101">
        <f t="shared" si="60"/>
        <v>15</v>
      </c>
      <c r="M101">
        <f t="shared" si="61"/>
        <v>6.7365631970213759E-3</v>
      </c>
      <c r="N101">
        <f t="shared" si="62"/>
        <v>-1.5707963250000001</v>
      </c>
      <c r="O101">
        <f t="shared" si="63"/>
        <v>31.456298592549583</v>
      </c>
      <c r="P101">
        <f t="shared" si="64"/>
        <v>1.5390008341002253</v>
      </c>
      <c r="Q101">
        <f t="shared" si="65"/>
        <v>4.7842901405916871</v>
      </c>
      <c r="R101">
        <f t="shared" si="66"/>
        <v>1.3602262447340507</v>
      </c>
      <c r="S101">
        <f t="shared" si="67"/>
        <v>0.9913871655351193</v>
      </c>
      <c r="T101">
        <f t="shared" si="68"/>
        <v>-0.13134097933163402</v>
      </c>
      <c r="U101">
        <f t="shared" si="69"/>
        <v>0.98972857638060641</v>
      </c>
      <c r="V101">
        <f t="shared" si="70"/>
        <v>-0.14345072765278832</v>
      </c>
      <c r="X101">
        <f t="shared" si="87"/>
        <v>2.0118281325002423</v>
      </c>
      <c r="Y101">
        <f t="shared" si="71"/>
        <v>-112.63706821441814</v>
      </c>
      <c r="Z101">
        <f t="shared" si="88"/>
        <v>67.362931785581864</v>
      </c>
      <c r="AC101">
        <v>1</v>
      </c>
      <c r="AD101">
        <f t="shared" si="72"/>
        <v>31.440399506743503</v>
      </c>
      <c r="AE101">
        <f t="shared" si="73"/>
        <v>-1.191201511721595E-3</v>
      </c>
      <c r="AF101">
        <f t="shared" si="74"/>
        <v>8.2468692018090005E-3</v>
      </c>
      <c r="AG101">
        <f t="shared" si="89"/>
        <v>3717.3319491377952</v>
      </c>
      <c r="AH101">
        <f t="shared" si="90"/>
        <v>-658.20025812865322</v>
      </c>
      <c r="AJ101">
        <f t="shared" si="75"/>
        <v>18000</v>
      </c>
      <c r="AK101">
        <f t="shared" si="76"/>
        <v>2377.8262378508398</v>
      </c>
      <c r="AL101">
        <v>1</v>
      </c>
      <c r="AM101">
        <f t="shared" si="77"/>
        <v>4.6786143407383802</v>
      </c>
      <c r="AN101">
        <f t="shared" si="91"/>
        <v>1272.4182822073058</v>
      </c>
      <c r="AO101">
        <f t="shared" si="92"/>
        <v>-3575.3281847019566</v>
      </c>
      <c r="AQ101">
        <f t="shared" si="78"/>
        <v>2.2271714922048997</v>
      </c>
      <c r="AR101">
        <f t="shared" si="79"/>
        <v>-149.22048997772828</v>
      </c>
      <c r="AT101">
        <f t="shared" si="104"/>
        <v>-89937.829277242694</v>
      </c>
      <c r="AU101">
        <f t="shared" si="105"/>
        <v>-556168.01971127163</v>
      </c>
      <c r="AV101">
        <f t="shared" si="93"/>
        <v>-1.731118282152271</v>
      </c>
      <c r="AW101">
        <f t="shared" si="94"/>
        <v>-524978.86483594251</v>
      </c>
      <c r="AX101">
        <f t="shared" si="95"/>
        <v>-206286.11081514123</v>
      </c>
      <c r="AY101">
        <f t="shared" si="103"/>
        <v>-2.7671857496920778</v>
      </c>
      <c r="BA101">
        <f t="shared" si="80"/>
        <v>0.9988283676935692</v>
      </c>
      <c r="BB101">
        <f t="shared" si="96"/>
        <v>-1.0182635227758662E-2</v>
      </c>
      <c r="BC101">
        <f t="shared" si="97"/>
        <v>1.0360674675398067</v>
      </c>
      <c r="BD101">
        <f t="shared" si="81"/>
        <v>-120.63770675133036</v>
      </c>
      <c r="BF101">
        <f t="shared" si="82"/>
        <v>2.0471871304942195</v>
      </c>
      <c r="BG101">
        <f t="shared" si="83"/>
        <v>-113.64384554941361</v>
      </c>
      <c r="BH101">
        <f t="shared" si="98"/>
        <v>66.356154450586388</v>
      </c>
      <c r="BI101">
        <f t="shared" si="99"/>
        <v>66.356154450586388</v>
      </c>
      <c r="BJ101">
        <f t="shared" si="84"/>
        <v>0</v>
      </c>
      <c r="BK101">
        <f t="shared" si="100"/>
        <v>0</v>
      </c>
      <c r="BM101">
        <f t="shared" si="101"/>
        <v>2.0573697657219774</v>
      </c>
      <c r="BN101">
        <f t="shared" si="85"/>
        <v>-173.00613879808327</v>
      </c>
      <c r="BQ101" s="56">
        <f t="shared" si="102"/>
        <v>16.891778165057378</v>
      </c>
      <c r="BR101" s="59"/>
      <c r="BS101" s="59"/>
      <c r="BT101" s="59">
        <v>812.83100000000002</v>
      </c>
      <c r="BU101" s="59">
        <v>16.6614</v>
      </c>
      <c r="BV101" s="59">
        <v>-262.23689999999999</v>
      </c>
      <c r="BW101" s="61"/>
      <c r="BY101" s="59"/>
      <c r="BZ101" s="59"/>
      <c r="CA101" s="59"/>
      <c r="CC101" s="59"/>
    </row>
    <row r="102" spans="1:81" x14ac:dyDescent="0.2">
      <c r="A102">
        <f t="shared" ref="A102:A165" si="106">A101+500</f>
        <v>34000</v>
      </c>
      <c r="B102">
        <f t="shared" si="86"/>
        <v>34</v>
      </c>
      <c r="C102">
        <f t="shared" si="55"/>
        <v>1.0000336467186497</v>
      </c>
      <c r="D102">
        <f t="shared" si="56"/>
        <v>8.2031427219962268E-3</v>
      </c>
      <c r="F102">
        <f t="shared" si="57"/>
        <v>8.1828240791087331E-2</v>
      </c>
      <c r="G102">
        <f t="shared" si="58"/>
        <v>0.11204283301507342</v>
      </c>
      <c r="H102">
        <f t="shared" si="59"/>
        <v>-3.0295498169849266</v>
      </c>
      <c r="J102">
        <f t="shared" si="60"/>
        <v>15</v>
      </c>
      <c r="M102">
        <f t="shared" si="61"/>
        <v>6.6374960911828257E-3</v>
      </c>
      <c r="N102">
        <f t="shared" si="62"/>
        <v>-1.5707963250000001</v>
      </c>
      <c r="O102">
        <f t="shared" si="63"/>
        <v>31.925324592177958</v>
      </c>
      <c r="P102">
        <f t="shared" si="64"/>
        <v>1.5394681067145308</v>
      </c>
      <c r="Q102">
        <f t="shared" si="65"/>
        <v>4.8525997436803516</v>
      </c>
      <c r="R102">
        <f t="shared" si="66"/>
        <v>1.3632340597251544</v>
      </c>
      <c r="S102">
        <f t="shared" si="67"/>
        <v>0.99113158292861614</v>
      </c>
      <c r="T102">
        <f t="shared" si="68"/>
        <v>-0.13327832754429095</v>
      </c>
      <c r="U102">
        <f t="shared" si="69"/>
        <v>0.98942456165756099</v>
      </c>
      <c r="V102">
        <f t="shared" si="70"/>
        <v>-0.14556188423774122</v>
      </c>
      <c r="X102">
        <f t="shared" si="87"/>
        <v>1.8527431842663244</v>
      </c>
      <c r="Y102">
        <f t="shared" si="71"/>
        <v>-112.77419688034661</v>
      </c>
      <c r="Z102">
        <f t="shared" si="88"/>
        <v>67.225803119653392</v>
      </c>
      <c r="AC102">
        <v>1</v>
      </c>
      <c r="AD102">
        <f t="shared" si="72"/>
        <v>31.909659200874</v>
      </c>
      <c r="AE102">
        <f t="shared" si="73"/>
        <v>-1.2270251259079207E-3</v>
      </c>
      <c r="AF102">
        <f t="shared" si="74"/>
        <v>8.369956801836E-3</v>
      </c>
      <c r="AG102">
        <f t="shared" si="89"/>
        <v>3715.048595701252</v>
      </c>
      <c r="AH102">
        <f t="shared" si="90"/>
        <v>-664.09637498667757</v>
      </c>
      <c r="AJ102">
        <f t="shared" si="75"/>
        <v>18000</v>
      </c>
      <c r="AK102">
        <f t="shared" si="76"/>
        <v>2413.3161816993597</v>
      </c>
      <c r="AL102">
        <v>1</v>
      </c>
      <c r="AM102">
        <f t="shared" si="77"/>
        <v>4.7484444055255208</v>
      </c>
      <c r="AN102">
        <f t="shared" si="91"/>
        <v>1251.054980133491</v>
      </c>
      <c r="AO102">
        <f t="shared" si="92"/>
        <v>-3527.2488397203565</v>
      </c>
      <c r="AQ102">
        <f t="shared" si="78"/>
        <v>2.1621621621621623</v>
      </c>
      <c r="AR102">
        <f t="shared" si="79"/>
        <v>-147.02702702702703</v>
      </c>
      <c r="AT102">
        <f t="shared" si="104"/>
        <v>-89607.578169497996</v>
      </c>
      <c r="AU102">
        <f t="shared" si="105"/>
        <v>-547648.43434091203</v>
      </c>
      <c r="AV102">
        <f t="shared" si="93"/>
        <v>-1.7329816087351522</v>
      </c>
      <c r="AW102">
        <f t="shared" si="94"/>
        <v>-510241.43590948475</v>
      </c>
      <c r="AX102">
        <f t="shared" si="95"/>
        <v>-199917.78636618398</v>
      </c>
      <c r="AY102">
        <f t="shared" si="103"/>
        <v>-2.7681663470223636</v>
      </c>
      <c r="BA102">
        <f t="shared" si="80"/>
        <v>1.0126317408466965</v>
      </c>
      <c r="BB102">
        <f t="shared" si="96"/>
        <v>0.10903072367743749</v>
      </c>
      <c r="BC102">
        <f t="shared" si="97"/>
        <v>1.0351847382872115</v>
      </c>
      <c r="BD102">
        <f t="shared" si="81"/>
        <v>-120.68828341201458</v>
      </c>
      <c r="BF102">
        <f t="shared" si="82"/>
        <v>1.8892124408919309</v>
      </c>
      <c r="BG102">
        <f t="shared" si="83"/>
        <v>-113.79869649097547</v>
      </c>
      <c r="BH102">
        <f t="shared" si="98"/>
        <v>66.201303509024527</v>
      </c>
      <c r="BI102">
        <f t="shared" si="99"/>
        <v>66.201303509024527</v>
      </c>
      <c r="BJ102">
        <f t="shared" si="84"/>
        <v>0</v>
      </c>
      <c r="BK102">
        <f t="shared" si="100"/>
        <v>0</v>
      </c>
      <c r="BM102">
        <f t="shared" si="101"/>
        <v>1.780181717214494</v>
      </c>
      <c r="BN102">
        <f t="shared" si="85"/>
        <v>-173.11041307896087</v>
      </c>
      <c r="BQ102" s="56">
        <f t="shared" si="102"/>
        <v>17.010991523962574</v>
      </c>
      <c r="BR102" s="59"/>
      <c r="BS102" s="59"/>
      <c r="BT102" s="59">
        <v>831.76400000000001</v>
      </c>
      <c r="BU102" s="59">
        <v>16.509799999999998</v>
      </c>
      <c r="BV102" s="59">
        <v>-262.34320000000002</v>
      </c>
      <c r="BW102" s="61"/>
      <c r="BY102" s="59"/>
      <c r="BZ102" s="59"/>
      <c r="CA102" s="59"/>
      <c r="CC102" s="59"/>
    </row>
    <row r="103" spans="1:81" x14ac:dyDescent="0.2">
      <c r="A103">
        <f t="shared" si="106"/>
        <v>34500</v>
      </c>
      <c r="B103">
        <f t="shared" si="86"/>
        <v>34.5</v>
      </c>
      <c r="C103">
        <f t="shared" si="55"/>
        <v>1.000034643587294</v>
      </c>
      <c r="D103">
        <f t="shared" si="56"/>
        <v>8.3237716421223299E-3</v>
      </c>
      <c r="F103">
        <f t="shared" si="57"/>
        <v>7.9300471761982266E-2</v>
      </c>
      <c r="G103">
        <f t="shared" si="58"/>
        <v>0.11017084525792911</v>
      </c>
      <c r="H103">
        <f t="shared" si="59"/>
        <v>-3.0314218047420711</v>
      </c>
      <c r="J103">
        <f t="shared" si="60"/>
        <v>15</v>
      </c>
      <c r="M103">
        <f t="shared" si="61"/>
        <v>6.5413004956584378E-3</v>
      </c>
      <c r="N103">
        <f t="shared" si="62"/>
        <v>-1.5707963250000001</v>
      </c>
      <c r="O103">
        <f t="shared" si="63"/>
        <v>32.394357360646616</v>
      </c>
      <c r="P103">
        <f t="shared" si="64"/>
        <v>1.539921848293212</v>
      </c>
      <c r="Q103">
        <f t="shared" si="65"/>
        <v>4.9209520289540265</v>
      </c>
      <c r="R103">
        <f t="shared" si="66"/>
        <v>1.3661583431429878</v>
      </c>
      <c r="S103">
        <f t="shared" si="67"/>
        <v>0.99087241589196395</v>
      </c>
      <c r="T103">
        <f t="shared" si="68"/>
        <v>-0.13521466984262651</v>
      </c>
      <c r="U103">
        <f t="shared" si="69"/>
        <v>0.98911632924345638</v>
      </c>
      <c r="V103">
        <f t="shared" si="70"/>
        <v>-0.14767173485707424</v>
      </c>
      <c r="X103">
        <f t="shared" si="87"/>
        <v>1.6965957215488594</v>
      </c>
      <c r="Y103">
        <f t="shared" si="71"/>
        <v>-112.91282555216723</v>
      </c>
      <c r="Z103">
        <f t="shared" si="88"/>
        <v>67.087174447832766</v>
      </c>
      <c r="AC103">
        <v>1</v>
      </c>
      <c r="AD103">
        <f t="shared" si="72"/>
        <v>32.378918895004496</v>
      </c>
      <c r="AE103">
        <f t="shared" si="73"/>
        <v>-1.2633794603044137E-3</v>
      </c>
      <c r="AF103">
        <f t="shared" si="74"/>
        <v>8.4930444018629994E-3</v>
      </c>
      <c r="AG103">
        <f t="shared" si="89"/>
        <v>3712.7342807407531</v>
      </c>
      <c r="AH103">
        <f t="shared" si="90"/>
        <v>-670.02972816292856</v>
      </c>
      <c r="AJ103">
        <f t="shared" si="75"/>
        <v>18000</v>
      </c>
      <c r="AK103">
        <f t="shared" si="76"/>
        <v>2448.8061255478801</v>
      </c>
      <c r="AL103">
        <v>1</v>
      </c>
      <c r="AM103">
        <f t="shared" si="77"/>
        <v>4.8182744703126605</v>
      </c>
      <c r="AN103">
        <f t="shared" si="91"/>
        <v>1230.5626220619686</v>
      </c>
      <c r="AO103">
        <f t="shared" si="92"/>
        <v>-3480.3823404543109</v>
      </c>
      <c r="AQ103">
        <f t="shared" si="78"/>
        <v>2.0999580008399832</v>
      </c>
      <c r="AR103">
        <f t="shared" si="79"/>
        <v>-144.89710205795885</v>
      </c>
      <c r="AT103">
        <f t="shared" si="104"/>
        <v>-89288.779845655852</v>
      </c>
      <c r="AU103">
        <f t="shared" si="105"/>
        <v>-539371.47227903176</v>
      </c>
      <c r="AV103">
        <f t="shared" si="93"/>
        <v>-1.7348508010881554</v>
      </c>
      <c r="AW103">
        <f t="shared" si="94"/>
        <v>-496101.95739568298</v>
      </c>
      <c r="AX103">
        <f t="shared" si="95"/>
        <v>-193868.80914583252</v>
      </c>
      <c r="AY103">
        <f t="shared" si="103"/>
        <v>-2.7690560858512012</v>
      </c>
      <c r="BA103">
        <f t="shared" si="80"/>
        <v>1.0264250607839318</v>
      </c>
      <c r="BB103">
        <f t="shared" si="96"/>
        <v>0.22654494113529652</v>
      </c>
      <c r="BC103">
        <f t="shared" si="97"/>
        <v>1.0342052847630459</v>
      </c>
      <c r="BD103">
        <f t="shared" si="81"/>
        <v>-120.74440196524262</v>
      </c>
      <c r="BF103">
        <f t="shared" si="82"/>
        <v>1.7341864466565757</v>
      </c>
      <c r="BG103">
        <f t="shared" si="83"/>
        <v>-113.95516051409226</v>
      </c>
      <c r="BH103">
        <f t="shared" si="98"/>
        <v>66.044839485907744</v>
      </c>
      <c r="BI103">
        <f t="shared" si="99"/>
        <v>66.044839485907744</v>
      </c>
      <c r="BJ103">
        <f t="shared" si="84"/>
        <v>0</v>
      </c>
      <c r="BK103">
        <f t="shared" si="100"/>
        <v>0</v>
      </c>
      <c r="BM103">
        <f t="shared" si="101"/>
        <v>1.5076415055212786</v>
      </c>
      <c r="BN103">
        <f t="shared" si="85"/>
        <v>-173.21075854884967</v>
      </c>
      <c r="BQ103" s="56">
        <f t="shared" si="102"/>
        <v>17.128505741420433</v>
      </c>
      <c r="BR103" s="59"/>
      <c r="BS103" s="59"/>
      <c r="BT103" s="59">
        <v>851.13800000000003</v>
      </c>
      <c r="BU103" s="59">
        <v>16.276800000000001</v>
      </c>
      <c r="BV103" s="59">
        <v>-262.197</v>
      </c>
      <c r="BW103" s="61"/>
      <c r="BY103" s="59"/>
      <c r="BZ103" s="59"/>
      <c r="CA103" s="59"/>
      <c r="CC103" s="59"/>
    </row>
    <row r="104" spans="1:81" x14ac:dyDescent="0.2">
      <c r="A104">
        <f t="shared" si="106"/>
        <v>35000</v>
      </c>
      <c r="B104">
        <f t="shared" si="86"/>
        <v>35</v>
      </c>
      <c r="C104">
        <f t="shared" si="55"/>
        <v>1.0000356550077496</v>
      </c>
      <c r="D104">
        <f t="shared" si="56"/>
        <v>8.4444003199993199E-3</v>
      </c>
      <c r="F104">
        <f t="shared" si="57"/>
        <v>7.6890495127502123E-2</v>
      </c>
      <c r="G104">
        <f t="shared" si="58"/>
        <v>0.10836372096251821</v>
      </c>
      <c r="H104">
        <f t="shared" si="59"/>
        <v>-3.0332289290374819</v>
      </c>
      <c r="J104">
        <f t="shared" si="60"/>
        <v>15</v>
      </c>
      <c r="M104">
        <f t="shared" si="61"/>
        <v>6.44785334572046E-3</v>
      </c>
      <c r="N104">
        <f t="shared" si="62"/>
        <v>-1.5707963250000001</v>
      </c>
      <c r="O104">
        <f t="shared" si="63"/>
        <v>32.863396608136952</v>
      </c>
      <c r="P104">
        <f t="shared" si="64"/>
        <v>1.5403626380060078</v>
      </c>
      <c r="Q104">
        <f t="shared" si="65"/>
        <v>4.9893452422199882</v>
      </c>
      <c r="R104">
        <f t="shared" si="66"/>
        <v>1.3690024790328676</v>
      </c>
      <c r="S104">
        <f t="shared" si="67"/>
        <v>0.99060967306426928</v>
      </c>
      <c r="T104">
        <f t="shared" si="68"/>
        <v>-0.13714999250096097</v>
      </c>
      <c r="U104">
        <f t="shared" si="69"/>
        <v>0.98880389130740587</v>
      </c>
      <c r="V104">
        <f t="shared" si="70"/>
        <v>-0.14978026195593419</v>
      </c>
      <c r="X104">
        <f t="shared" si="87"/>
        <v>1.5432657568301467</v>
      </c>
      <c r="Y104">
        <f t="shared" si="71"/>
        <v>-113.05293778440381</v>
      </c>
      <c r="Z104">
        <f t="shared" si="88"/>
        <v>66.947062215596191</v>
      </c>
      <c r="AC104">
        <v>1</v>
      </c>
      <c r="AD104">
        <f t="shared" si="72"/>
        <v>32.848178589135003</v>
      </c>
      <c r="AE104">
        <f t="shared" si="73"/>
        <v>-1.3002645149110749E-3</v>
      </c>
      <c r="AF104">
        <f t="shared" si="74"/>
        <v>8.6161320018900006E-3</v>
      </c>
      <c r="AG104">
        <f t="shared" si="89"/>
        <v>3710.389125183895</v>
      </c>
      <c r="AH104">
        <f t="shared" si="90"/>
        <v>-675.99792049505834</v>
      </c>
      <c r="AJ104">
        <f t="shared" si="75"/>
        <v>18000</v>
      </c>
      <c r="AK104">
        <f t="shared" si="76"/>
        <v>2484.2960693964001</v>
      </c>
      <c r="AL104">
        <v>1</v>
      </c>
      <c r="AM104">
        <f t="shared" si="77"/>
        <v>4.8881045350998003</v>
      </c>
      <c r="AN104">
        <f t="shared" si="91"/>
        <v>1210.8951746270068</v>
      </c>
      <c r="AO104">
        <f t="shared" si="92"/>
        <v>-3434.6861252283366</v>
      </c>
      <c r="AQ104">
        <f t="shared" si="78"/>
        <v>2.0403999183840034</v>
      </c>
      <c r="AR104">
        <f t="shared" si="79"/>
        <v>-142.82799428688023</v>
      </c>
      <c r="AT104">
        <f t="shared" si="104"/>
        <v>-88980.749458212988</v>
      </c>
      <c r="AU104">
        <f t="shared" si="105"/>
        <v>-531326.74287567381</v>
      </c>
      <c r="AV104">
        <f t="shared" si="93"/>
        <v>-1.736725534952323</v>
      </c>
      <c r="AW104">
        <f t="shared" si="94"/>
        <v>-482529.03542266594</v>
      </c>
      <c r="AX104">
        <f t="shared" si="95"/>
        <v>-188118.48489603744</v>
      </c>
      <c r="AY104">
        <f t="shared" si="103"/>
        <v>-2.7698586151770836</v>
      </c>
      <c r="BA104">
        <f t="shared" si="80"/>
        <v>1.0402076564002478</v>
      </c>
      <c r="BB104">
        <f t="shared" si="96"/>
        <v>0.34240092109969644</v>
      </c>
      <c r="BC104">
        <f t="shared" si="97"/>
        <v>1.0331330802247607</v>
      </c>
      <c r="BD104">
        <f t="shared" si="81"/>
        <v>-120.80583476013132</v>
      </c>
      <c r="BF104">
        <f t="shared" si="82"/>
        <v>1.5819889422005033</v>
      </c>
      <c r="BG104">
        <f t="shared" si="83"/>
        <v>-114.11322239014339</v>
      </c>
      <c r="BH104">
        <f t="shared" si="98"/>
        <v>65.886777609856608</v>
      </c>
      <c r="BI104">
        <f t="shared" si="99"/>
        <v>65.886777609856608</v>
      </c>
      <c r="BJ104">
        <f t="shared" si="84"/>
        <v>0</v>
      </c>
      <c r="BK104">
        <f t="shared" si="100"/>
        <v>0</v>
      </c>
      <c r="BM104">
        <f t="shared" si="101"/>
        <v>1.2395880211008061</v>
      </c>
      <c r="BN104">
        <f t="shared" si="85"/>
        <v>-173.30738763001207</v>
      </c>
      <c r="BQ104" s="56">
        <f t="shared" si="102"/>
        <v>17.244361721384834</v>
      </c>
      <c r="BR104" s="59"/>
      <c r="BS104" s="59"/>
      <c r="BT104" s="59">
        <v>870.96400000000006</v>
      </c>
      <c r="BU104" s="59">
        <v>16.106100000000001</v>
      </c>
      <c r="BV104" s="59">
        <v>-261.76800000000003</v>
      </c>
      <c r="BW104" s="61"/>
      <c r="BY104" s="59"/>
      <c r="BZ104" s="59"/>
      <c r="CA104" s="59"/>
      <c r="CC104" s="59"/>
    </row>
    <row r="105" spans="1:81" x14ac:dyDescent="0.2">
      <c r="A105">
        <f t="shared" si="106"/>
        <v>35500</v>
      </c>
      <c r="B105">
        <f t="shared" si="86"/>
        <v>35.5</v>
      </c>
      <c r="C105">
        <f t="shared" si="55"/>
        <v>1.0000366809799726</v>
      </c>
      <c r="D105">
        <f t="shared" si="56"/>
        <v>8.5650287521173395E-3</v>
      </c>
      <c r="F105">
        <f t="shared" si="57"/>
        <v>7.4590968199757537E-2</v>
      </c>
      <c r="G105">
        <f t="shared" si="58"/>
        <v>0.10661802154419966</v>
      </c>
      <c r="H105">
        <f t="shared" si="59"/>
        <v>-3.0349746284558003</v>
      </c>
      <c r="J105">
        <f t="shared" si="60"/>
        <v>15</v>
      </c>
      <c r="M105">
        <f t="shared" si="61"/>
        <v>6.3570385098652418E-3</v>
      </c>
      <c r="N105">
        <f t="shared" si="62"/>
        <v>-1.5707963250000001</v>
      </c>
      <c r="O105">
        <f t="shared" si="63"/>
        <v>33.332442061139261</v>
      </c>
      <c r="P105">
        <f t="shared" si="64"/>
        <v>1.5407910224437682</v>
      </c>
      <c r="Q105">
        <f t="shared" si="65"/>
        <v>5.0577777231464101</v>
      </c>
      <c r="R105">
        <f t="shared" si="66"/>
        <v>1.3717696736461802</v>
      </c>
      <c r="S105">
        <f t="shared" si="67"/>
        <v>0.99034336319144578</v>
      </c>
      <c r="T105">
        <f t="shared" si="68"/>
        <v>-0.13908428183861793</v>
      </c>
      <c r="U105">
        <f t="shared" si="69"/>
        <v>0.98848726016374244</v>
      </c>
      <c r="V105">
        <f t="shared" si="70"/>
        <v>-0.15188744804855836</v>
      </c>
      <c r="X105">
        <f t="shared" si="87"/>
        <v>1.392640397118373</v>
      </c>
      <c r="Y105">
        <f t="shared" si="71"/>
        <v>-113.19451378591809</v>
      </c>
      <c r="Z105">
        <f t="shared" si="88"/>
        <v>66.80548621408191</v>
      </c>
      <c r="AC105">
        <v>1</v>
      </c>
      <c r="AD105">
        <f t="shared" si="72"/>
        <v>33.317438283265503</v>
      </c>
      <c r="AE105">
        <f t="shared" si="73"/>
        <v>-1.3376802897279039E-3</v>
      </c>
      <c r="AF105">
        <f t="shared" si="74"/>
        <v>8.7392196019170001E-3</v>
      </c>
      <c r="AG105">
        <f t="shared" si="89"/>
        <v>3708.0132513358253</v>
      </c>
      <c r="AH105">
        <f t="shared" si="90"/>
        <v>-681.99868087242271</v>
      </c>
      <c r="AJ105">
        <f t="shared" si="75"/>
        <v>18000</v>
      </c>
      <c r="AK105">
        <f t="shared" si="76"/>
        <v>2519.78601324492</v>
      </c>
      <c r="AL105">
        <v>1</v>
      </c>
      <c r="AM105">
        <f t="shared" si="77"/>
        <v>4.95793459988694</v>
      </c>
      <c r="AN105">
        <f t="shared" si="91"/>
        <v>1192.0095612423529</v>
      </c>
      <c r="AO105">
        <f t="shared" si="92"/>
        <v>-3390.1194338345917</v>
      </c>
      <c r="AQ105">
        <f t="shared" si="78"/>
        <v>1.9833399444664817</v>
      </c>
      <c r="AR105">
        <f t="shared" si="79"/>
        <v>-140.81713605712019</v>
      </c>
      <c r="AT105">
        <f t="shared" si="104"/>
        <v>-88682.850239203079</v>
      </c>
      <c r="AU105">
        <f t="shared" si="105"/>
        <v>-523504.44174080924</v>
      </c>
      <c r="AV105">
        <f t="shared" si="93"/>
        <v>-1.7386055033717231</v>
      </c>
      <c r="AW105">
        <f t="shared" si="94"/>
        <v>-469493.27517544397</v>
      </c>
      <c r="AX105">
        <f t="shared" si="95"/>
        <v>-182647.72871774336</v>
      </c>
      <c r="AY105">
        <f t="shared" si="103"/>
        <v>-2.7705773911439451</v>
      </c>
      <c r="BA105">
        <f t="shared" si="80"/>
        <v>1.0539788770840459</v>
      </c>
      <c r="BB105">
        <f t="shared" si="96"/>
        <v>0.4566381443281991</v>
      </c>
      <c r="BC105">
        <f t="shared" si="97"/>
        <v>1.0319718877722219</v>
      </c>
      <c r="BD105">
        <f t="shared" si="81"/>
        <v>-120.87236618694027</v>
      </c>
      <c r="BF105">
        <f t="shared" si="82"/>
        <v>1.432506814207126</v>
      </c>
      <c r="BG105">
        <f t="shared" si="83"/>
        <v>-114.27286352597716</v>
      </c>
      <c r="BH105">
        <f t="shared" si="98"/>
        <v>65.727136474022842</v>
      </c>
      <c r="BI105">
        <f t="shared" si="99"/>
        <v>65.727136474022842</v>
      </c>
      <c r="BJ105">
        <f t="shared" si="84"/>
        <v>0</v>
      </c>
      <c r="BK105">
        <f t="shared" si="100"/>
        <v>0</v>
      </c>
      <c r="BM105">
        <f t="shared" si="101"/>
        <v>0.97586866987892706</v>
      </c>
      <c r="BN105">
        <f t="shared" si="85"/>
        <v>-173.40049733903692</v>
      </c>
      <c r="BQ105" s="56">
        <f t="shared" si="102"/>
        <v>17.358598944613334</v>
      </c>
      <c r="BR105" s="59"/>
      <c r="BS105" s="59"/>
      <c r="BT105" s="59">
        <v>891.25099999999998</v>
      </c>
      <c r="BU105" s="59">
        <v>15.882400000000001</v>
      </c>
      <c r="BV105" s="59">
        <v>-261.38310000000001</v>
      </c>
      <c r="BW105" s="61"/>
      <c r="BY105" s="59"/>
      <c r="BZ105" s="59"/>
      <c r="CA105" s="59"/>
      <c r="CC105" s="59"/>
    </row>
    <row r="106" spans="1:81" x14ac:dyDescent="0.2">
      <c r="A106">
        <f t="shared" si="106"/>
        <v>36000</v>
      </c>
      <c r="B106">
        <f t="shared" si="86"/>
        <v>36</v>
      </c>
      <c r="C106">
        <f t="shared" si="55"/>
        <v>1.0000377215039176</v>
      </c>
      <c r="D106">
        <f t="shared" si="56"/>
        <v>8.6856569349665694E-3</v>
      </c>
      <c r="F106">
        <f t="shared" si="57"/>
        <v>7.2395120876828298E-2</v>
      </c>
      <c r="G106">
        <f t="shared" si="58"/>
        <v>0.10493055301151598</v>
      </c>
      <c r="H106">
        <f t="shared" si="59"/>
        <v>-3.0366620969884841</v>
      </c>
      <c r="J106">
        <f t="shared" si="60"/>
        <v>15</v>
      </c>
      <c r="M106">
        <f t="shared" si="61"/>
        <v>6.2687463083393354E-3</v>
      </c>
      <c r="N106">
        <f t="shared" si="62"/>
        <v>-1.5707963250000001</v>
      </c>
      <c r="O106">
        <f t="shared" si="63"/>
        <v>33.801493461321719</v>
      </c>
      <c r="P106">
        <f t="shared" si="64"/>
        <v>1.5412075178767706</v>
      </c>
      <c r="Q106">
        <f t="shared" si="65"/>
        <v>5.1262478991310267</v>
      </c>
      <c r="R106">
        <f t="shared" si="66"/>
        <v>1.3744629667957358</v>
      </c>
      <c r="S106">
        <f t="shared" si="67"/>
        <v>0.99007349512542631</v>
      </c>
      <c r="T106">
        <f t="shared" si="68"/>
        <v>-0.14101752422045491</v>
      </c>
      <c r="U106">
        <f t="shared" si="69"/>
        <v>0.98816644827071165</v>
      </c>
      <c r="V106">
        <f t="shared" si="70"/>
        <v>-0.15399327571905277</v>
      </c>
      <c r="X106">
        <f t="shared" si="87"/>
        <v>1.2446133013440288</v>
      </c>
      <c r="Y106">
        <f t="shared" si="71"/>
        <v>-113.33753103149556</v>
      </c>
      <c r="Z106">
        <f t="shared" si="88"/>
        <v>66.662468968504442</v>
      </c>
      <c r="AC106">
        <v>1</v>
      </c>
      <c r="AD106">
        <f t="shared" si="72"/>
        <v>33.786697977395995</v>
      </c>
      <c r="AE106">
        <f t="shared" si="73"/>
        <v>-1.3756267847549006E-3</v>
      </c>
      <c r="AF106">
        <f t="shared" si="74"/>
        <v>8.8623072019440013E-3</v>
      </c>
      <c r="AG106">
        <f t="shared" si="89"/>
        <v>3705.6067828637947</v>
      </c>
      <c r="AH106">
        <f t="shared" si="90"/>
        <v>-688.02985558200271</v>
      </c>
      <c r="AJ106">
        <f t="shared" si="75"/>
        <v>18000</v>
      </c>
      <c r="AK106">
        <f t="shared" si="76"/>
        <v>2555.27595709344</v>
      </c>
      <c r="AL106">
        <v>1</v>
      </c>
      <c r="AM106">
        <f t="shared" si="77"/>
        <v>5.0277646646740806</v>
      </c>
      <c r="AN106">
        <f t="shared" si="91"/>
        <v>1173.8654406476887</v>
      </c>
      <c r="AO106">
        <f t="shared" si="92"/>
        <v>-3346.6432264770783</v>
      </c>
      <c r="AQ106">
        <f t="shared" si="78"/>
        <v>1.9286403085824493</v>
      </c>
      <c r="AR106">
        <f t="shared" si="79"/>
        <v>-138.86210221793635</v>
      </c>
      <c r="AT106">
        <f t="shared" si="104"/>
        <v>-88394.489525632394</v>
      </c>
      <c r="AU106">
        <f t="shared" si="105"/>
        <v>-515895.30997449416</v>
      </c>
      <c r="AV106">
        <f t="shared" si="93"/>
        <v>-1.7404904155011081</v>
      </c>
      <c r="AW106">
        <f t="shared" si="94"/>
        <v>-456967.13285075047</v>
      </c>
      <c r="AX106">
        <f t="shared" si="95"/>
        <v>-177438.92057826213</v>
      </c>
      <c r="AY106">
        <f t="shared" si="103"/>
        <v>-2.7712156894641145</v>
      </c>
      <c r="BA106">
        <f t="shared" si="80"/>
        <v>1.0677380913773544</v>
      </c>
      <c r="BB106">
        <f t="shared" si="96"/>
        <v>0.56929472765378519</v>
      </c>
      <c r="BC106">
        <f t="shared" si="97"/>
        <v>1.0307252739630064</v>
      </c>
      <c r="BD106">
        <f t="shared" si="81"/>
        <v>-120.94379189697267</v>
      </c>
      <c r="BF106">
        <f t="shared" si="82"/>
        <v>1.2856334990654195</v>
      </c>
      <c r="BG106">
        <f t="shared" si="83"/>
        <v>-114.43406257532845</v>
      </c>
      <c r="BH106">
        <f t="shared" si="98"/>
        <v>65.565937424671546</v>
      </c>
      <c r="BI106">
        <f t="shared" si="99"/>
        <v>65.565937424671546</v>
      </c>
      <c r="BJ106">
        <f t="shared" si="84"/>
        <v>0</v>
      </c>
      <c r="BK106">
        <f t="shared" si="100"/>
        <v>0</v>
      </c>
      <c r="BM106">
        <f t="shared" si="101"/>
        <v>0.71633877141163549</v>
      </c>
      <c r="BN106">
        <f t="shared" si="85"/>
        <v>-173.49027067835581</v>
      </c>
      <c r="BQ106" s="56">
        <f t="shared" si="102"/>
        <v>17.471255527938922</v>
      </c>
      <c r="BR106" s="59"/>
      <c r="BS106" s="59"/>
      <c r="BT106" s="59">
        <v>912.01099999999997</v>
      </c>
      <c r="BU106" s="59">
        <v>15.6715</v>
      </c>
      <c r="BV106" s="59">
        <v>-261.74869999999999</v>
      </c>
      <c r="BW106" s="61"/>
      <c r="BY106" s="59"/>
      <c r="BZ106" s="59"/>
      <c r="CA106" s="59"/>
      <c r="CC106" s="59"/>
    </row>
    <row r="107" spans="1:81" x14ac:dyDescent="0.2">
      <c r="A107">
        <f t="shared" si="106"/>
        <v>36500</v>
      </c>
      <c r="B107">
        <f t="shared" si="86"/>
        <v>36.5</v>
      </c>
      <c r="C107">
        <f t="shared" si="55"/>
        <v>1.00003877657954</v>
      </c>
      <c r="D107">
        <f t="shared" si="56"/>
        <v>8.8062848650372304E-3</v>
      </c>
      <c r="F107">
        <f t="shared" si="57"/>
        <v>7.0296702149611895E-2</v>
      </c>
      <c r="G107">
        <f t="shared" si="58"/>
        <v>0.10329834428651523</v>
      </c>
      <c r="H107">
        <f t="shared" si="59"/>
        <v>-3.0382943057134848</v>
      </c>
      <c r="J107">
        <f t="shared" si="60"/>
        <v>15</v>
      </c>
      <c r="M107">
        <f t="shared" si="61"/>
        <v>6.1828730712387972E-3</v>
      </c>
      <c r="N107">
        <f t="shared" si="62"/>
        <v>-1.5707963250000001</v>
      </c>
      <c r="O107">
        <f t="shared" si="63"/>
        <v>34.270550564492183</v>
      </c>
      <c r="P107">
        <f t="shared" si="64"/>
        <v>1.5416126123278062</v>
      </c>
      <c r="Q107">
        <f t="shared" si="65"/>
        <v>5.1947542796392989</v>
      </c>
      <c r="R107">
        <f t="shared" si="66"/>
        <v>1.3770852423651623</v>
      </c>
      <c r="S107">
        <f t="shared" si="67"/>
        <v>0.98980007782336654</v>
      </c>
      <c r="T107">
        <f t="shared" si="68"/>
        <v>-0.14294970605738849</v>
      </c>
      <c r="U107">
        <f t="shared" si="69"/>
        <v>0.98784146822915253</v>
      </c>
      <c r="V107">
        <f t="shared" si="70"/>
        <v>-0.15609772762216176</v>
      </c>
      <c r="X107">
        <f t="shared" si="87"/>
        <v>1.0990841879895989</v>
      </c>
      <c r="Y107">
        <f t="shared" si="71"/>
        <v>-113.48196478315079</v>
      </c>
      <c r="Z107">
        <f t="shared" si="88"/>
        <v>66.518035216849213</v>
      </c>
      <c r="AC107">
        <v>1</v>
      </c>
      <c r="AD107">
        <f t="shared" si="72"/>
        <v>34.255957671526502</v>
      </c>
      <c r="AE107">
        <f t="shared" si="73"/>
        <v>-1.4141039999920652E-3</v>
      </c>
      <c r="AF107">
        <f t="shared" si="74"/>
        <v>8.985394801970999E-3</v>
      </c>
      <c r="AG107">
        <f t="shared" si="89"/>
        <v>3703.1698447815902</v>
      </c>
      <c r="AH107">
        <f t="shared" si="90"/>
        <v>-694.0894003664248</v>
      </c>
      <c r="AJ107">
        <f t="shared" si="75"/>
        <v>18000</v>
      </c>
      <c r="AK107">
        <f t="shared" si="76"/>
        <v>2590.7659009419599</v>
      </c>
      <c r="AL107">
        <v>1</v>
      </c>
      <c r="AM107">
        <f t="shared" si="77"/>
        <v>5.0975947294612203</v>
      </c>
      <c r="AN107">
        <f t="shared" si="91"/>
        <v>1156.4250042407332</v>
      </c>
      <c r="AO107">
        <f t="shared" si="92"/>
        <v>-3304.2201056927715</v>
      </c>
      <c r="AQ107">
        <f t="shared" si="78"/>
        <v>1.876172607879925</v>
      </c>
      <c r="AR107">
        <f t="shared" si="79"/>
        <v>-136.96060037523452</v>
      </c>
      <c r="AT107">
        <f t="shared" si="104"/>
        <v>-88115.115163165887</v>
      </c>
      <c r="AU107">
        <f t="shared" si="105"/>
        <v>-508490.59675313788</v>
      </c>
      <c r="AV107">
        <f t="shared" si="93"/>
        <v>-1.7423799955112829</v>
      </c>
      <c r="AW107">
        <f t="shared" si="94"/>
        <v>-444924.77998658776</v>
      </c>
      <c r="AX107">
        <f t="shared" si="95"/>
        <v>-172475.77543079088</v>
      </c>
      <c r="AY107">
        <f t="shared" si="103"/>
        <v>-2.7717766169077667</v>
      </c>
      <c r="BA107">
        <f t="shared" si="80"/>
        <v>1.0814846857403055</v>
      </c>
      <c r="BB107">
        <f t="shared" si="96"/>
        <v>0.6804074806696726</v>
      </c>
      <c r="BC107">
        <f t="shared" si="97"/>
        <v>1.0293966213964838</v>
      </c>
      <c r="BD107">
        <f t="shared" si="81"/>
        <v>-121.01991808156062</v>
      </c>
      <c r="BF107">
        <f t="shared" si="82"/>
        <v>1.1412684905380317</v>
      </c>
      <c r="BG107">
        <f t="shared" si="83"/>
        <v>-114.5967959599579</v>
      </c>
      <c r="BH107">
        <f t="shared" si="98"/>
        <v>65.403204040042098</v>
      </c>
      <c r="BI107">
        <f t="shared" si="99"/>
        <v>65.403204040042098</v>
      </c>
      <c r="BJ107">
        <f t="shared" si="84"/>
        <v>0</v>
      </c>
      <c r="BK107">
        <f t="shared" si="100"/>
        <v>0</v>
      </c>
      <c r="BM107">
        <f t="shared" si="101"/>
        <v>0.46086100986836021</v>
      </c>
      <c r="BN107">
        <f t="shared" si="85"/>
        <v>-173.57687787839731</v>
      </c>
      <c r="BQ107" s="56">
        <f t="shared" si="102"/>
        <v>17.58236828095481</v>
      </c>
      <c r="BR107" s="59"/>
      <c r="BS107" s="59"/>
      <c r="BT107" s="59">
        <v>933.25400000000002</v>
      </c>
      <c r="BU107" s="59">
        <v>15.471399999999999</v>
      </c>
      <c r="BV107" s="59">
        <v>-261.20730000000003</v>
      </c>
      <c r="BW107" s="61"/>
      <c r="BY107" s="59"/>
      <c r="BZ107" s="59"/>
      <c r="CA107" s="59"/>
      <c r="CC107" s="59"/>
    </row>
    <row r="108" spans="1:81" x14ac:dyDescent="0.2">
      <c r="A108">
        <f t="shared" si="106"/>
        <v>37000</v>
      </c>
      <c r="B108">
        <f t="shared" si="86"/>
        <v>37</v>
      </c>
      <c r="C108">
        <f t="shared" si="55"/>
        <v>1.000039846206793</v>
      </c>
      <c r="D108">
        <f t="shared" si="56"/>
        <v>8.9269125388195935E-3</v>
      </c>
      <c r="F108">
        <f t="shared" si="57"/>
        <v>6.8289932416772559E-2</v>
      </c>
      <c r="G108">
        <f t="shared" si="58"/>
        <v>0.10171862780982945</v>
      </c>
      <c r="H108">
        <f t="shared" si="59"/>
        <v>-3.0398740221901708</v>
      </c>
      <c r="J108">
        <f t="shared" si="60"/>
        <v>15</v>
      </c>
      <c r="M108">
        <f t="shared" si="61"/>
        <v>6.0993207324382724E-3</v>
      </c>
      <c r="N108">
        <f t="shared" si="62"/>
        <v>-1.5707963250000001</v>
      </c>
      <c r="O108">
        <f t="shared" si="63"/>
        <v>34.739613139644007</v>
      </c>
      <c r="P108">
        <f t="shared" si="64"/>
        <v>1.5420067674775169</v>
      </c>
      <c r="Q108">
        <f t="shared" si="65"/>
        <v>5.2632954509710661</v>
      </c>
      <c r="R108">
        <f t="shared" si="66"/>
        <v>1.3796392380437437</v>
      </c>
      <c r="S108">
        <f t="shared" si="67"/>
        <v>0.98952312034684242</v>
      </c>
      <c r="T108">
        <f t="shared" si="68"/>
        <v>-0.14488081380691528</v>
      </c>
      <c r="U108">
        <f t="shared" si="69"/>
        <v>0.98751233278116934</v>
      </c>
      <c r="V108">
        <f t="shared" si="70"/>
        <v>-0.15820078648402819</v>
      </c>
      <c r="X108">
        <f t="shared" si="87"/>
        <v>0.9559583875452673</v>
      </c>
      <c r="Y108">
        <f t="shared" si="71"/>
        <v>-113.62778853451485</v>
      </c>
      <c r="Z108">
        <f t="shared" si="88"/>
        <v>66.372211465485151</v>
      </c>
      <c r="AC108">
        <v>1</v>
      </c>
      <c r="AD108">
        <f t="shared" si="72"/>
        <v>34.725217365657002</v>
      </c>
      <c r="AE108">
        <f t="shared" si="73"/>
        <v>-1.4531119354393972E-3</v>
      </c>
      <c r="AF108">
        <f t="shared" si="74"/>
        <v>9.1084824019980002E-3</v>
      </c>
      <c r="AG108">
        <f t="shared" si="89"/>
        <v>3700.7025634338233</v>
      </c>
      <c r="AH108">
        <f t="shared" si="90"/>
        <v>-700.17537312669242</v>
      </c>
      <c r="AJ108">
        <f t="shared" si="75"/>
        <v>18000</v>
      </c>
      <c r="AK108">
        <f t="shared" si="76"/>
        <v>2626.2558447904798</v>
      </c>
      <c r="AL108">
        <v>1</v>
      </c>
      <c r="AM108">
        <f t="shared" si="77"/>
        <v>5.16742479424836</v>
      </c>
      <c r="AN108">
        <f t="shared" si="91"/>
        <v>1139.6527904295881</v>
      </c>
      <c r="AO108">
        <f t="shared" si="92"/>
        <v>-3262.814241309703</v>
      </c>
      <c r="AQ108">
        <f t="shared" si="78"/>
        <v>1.8258170531312763</v>
      </c>
      <c r="AR108">
        <f t="shared" si="79"/>
        <v>-135.11046193171444</v>
      </c>
      <c r="AT108">
        <f t="shared" si="104"/>
        <v>-87844.212247473828</v>
      </c>
      <c r="AU108">
        <f t="shared" si="105"/>
        <v>-501282.02495386091</v>
      </c>
      <c r="AV108">
        <f t="shared" si="93"/>
        <v>-1.7442739815829762</v>
      </c>
      <c r="AW108">
        <f t="shared" si="94"/>
        <v>-433341.97902608418</v>
      </c>
      <c r="AX108">
        <f t="shared" si="95"/>
        <v>-167743.22631050099</v>
      </c>
      <c r="AY108">
        <f t="shared" si="103"/>
        <v>-2.7722631219385474</v>
      </c>
      <c r="BA108">
        <f t="shared" si="80"/>
        <v>1.0952180634107531</v>
      </c>
      <c r="BB108">
        <f t="shared" si="96"/>
        <v>0.79001195991315076</v>
      </c>
      <c r="BC108">
        <f t="shared" si="97"/>
        <v>1.0279891403555712</v>
      </c>
      <c r="BD108">
        <f t="shared" si="81"/>
        <v>-121.10056080504174</v>
      </c>
      <c r="BF108">
        <f t="shared" si="82"/>
        <v>0.99931689225576226</v>
      </c>
      <c r="BG108">
        <f t="shared" si="83"/>
        <v>-114.76103831387572</v>
      </c>
      <c r="BH108">
        <f t="shared" si="98"/>
        <v>65.238961686124284</v>
      </c>
      <c r="BI108">
        <f t="shared" si="99"/>
        <v>65.238961686124284</v>
      </c>
      <c r="BJ108">
        <f t="shared" si="84"/>
        <v>0</v>
      </c>
      <c r="BK108">
        <f t="shared" si="100"/>
        <v>0</v>
      </c>
      <c r="BM108">
        <f t="shared" si="101"/>
        <v>0.20930493234261366</v>
      </c>
      <c r="BN108">
        <f t="shared" si="85"/>
        <v>-173.66047750883399</v>
      </c>
      <c r="BQ108" s="56">
        <f t="shared" si="102"/>
        <v>17.691972760198286</v>
      </c>
      <c r="BR108" s="59"/>
      <c r="BS108" s="59"/>
      <c r="BT108" s="59">
        <v>954.99300000000005</v>
      </c>
      <c r="BU108" s="59">
        <v>15.352499999999999</v>
      </c>
      <c r="BV108" s="59">
        <v>-261.26609999999999</v>
      </c>
      <c r="BW108" s="61"/>
      <c r="BY108" s="59"/>
      <c r="BZ108" s="59"/>
      <c r="CA108" s="59"/>
      <c r="CC108" s="59"/>
    </row>
    <row r="109" spans="1:81" x14ac:dyDescent="0.2">
      <c r="A109">
        <f t="shared" si="106"/>
        <v>37500</v>
      </c>
      <c r="B109">
        <f t="shared" si="86"/>
        <v>37.5</v>
      </c>
      <c r="C109">
        <f t="shared" si="55"/>
        <v>1.0000409303856304</v>
      </c>
      <c r="D109">
        <f t="shared" si="56"/>
        <v>9.0475399528039697E-3</v>
      </c>
      <c r="F109">
        <f t="shared" si="57"/>
        <v>6.6369460891232496E-2</v>
      </c>
      <c r="G109">
        <f t="shared" si="58"/>
        <v>0.10018882215318888</v>
      </c>
      <c r="H109">
        <f t="shared" si="59"/>
        <v>-3.0414038278468114</v>
      </c>
      <c r="J109">
        <f t="shared" si="60"/>
        <v>15</v>
      </c>
      <c r="M109">
        <f t="shared" si="61"/>
        <v>6.0179964560057621E-3</v>
      </c>
      <c r="N109">
        <f t="shared" si="62"/>
        <v>-1.5707963250000001</v>
      </c>
      <c r="O109">
        <f t="shared" si="63"/>
        <v>35.208680968078156</v>
      </c>
      <c r="P109">
        <f t="shared" si="64"/>
        <v>1.5423904204176049</v>
      </c>
      <c r="Q109">
        <f t="shared" si="65"/>
        <v>5.3318700714187477</v>
      </c>
      <c r="R109">
        <f t="shared" si="66"/>
        <v>1.3821275543514313</v>
      </c>
      <c r="S109">
        <f t="shared" si="67"/>
        <v>0.98924263186103945</v>
      </c>
      <c r="T109">
        <f t="shared" si="68"/>
        <v>-0.14681083397362715</v>
      </c>
      <c r="U109">
        <f t="shared" si="69"/>
        <v>0.98717905480878854</v>
      </c>
      <c r="V109">
        <f t="shared" si="70"/>
        <v>-0.16030243510294526</v>
      </c>
      <c r="X109">
        <f t="shared" si="87"/>
        <v>0.81514643504281969</v>
      </c>
      <c r="Y109">
        <f t="shared" si="71"/>
        <v>-113.77497438959114</v>
      </c>
      <c r="Z109">
        <f t="shared" si="88"/>
        <v>66.225025610408863</v>
      </c>
      <c r="AC109">
        <v>1</v>
      </c>
      <c r="AD109">
        <f t="shared" si="72"/>
        <v>35.194477059787495</v>
      </c>
      <c r="AE109">
        <f t="shared" si="73"/>
        <v>-1.4926505910968972E-3</v>
      </c>
      <c r="AF109">
        <f t="shared" si="74"/>
        <v>9.2315700020249997E-3</v>
      </c>
      <c r="AG109">
        <f t="shared" si="89"/>
        <v>3698.2050664801363</v>
      </c>
      <c r="AH109">
        <f t="shared" si="90"/>
        <v>-706.28592720944403</v>
      </c>
      <c r="AJ109">
        <f t="shared" si="75"/>
        <v>18000</v>
      </c>
      <c r="AK109">
        <f t="shared" si="76"/>
        <v>2661.7457886390002</v>
      </c>
      <c r="AL109">
        <v>1</v>
      </c>
      <c r="AM109">
        <f t="shared" si="77"/>
        <v>5.2372548590355006</v>
      </c>
      <c r="AN109">
        <f t="shared" si="91"/>
        <v>1123.5155144204336</v>
      </c>
      <c r="AO109">
        <f t="shared" si="92"/>
        <v>-3222.391298461187</v>
      </c>
      <c r="AQ109">
        <f t="shared" si="78"/>
        <v>1.7774617845716316</v>
      </c>
      <c r="AR109">
        <f t="shared" si="79"/>
        <v>-133.30963384287239</v>
      </c>
      <c r="AT109">
        <f t="shared" si="104"/>
        <v>-87581.300167486974</v>
      </c>
      <c r="AU109">
        <f t="shared" si="105"/>
        <v>-494261.75953291805</v>
      </c>
      <c r="AV109">
        <f t="shared" si="93"/>
        <v>-1.7461721249809878</v>
      </c>
      <c r="AW109">
        <f t="shared" si="94"/>
        <v>-422195.96908881387</v>
      </c>
      <c r="AX109">
        <f t="shared" si="95"/>
        <v>-163227.31897160469</v>
      </c>
      <c r="AY109">
        <f t="shared" si="103"/>
        <v>-2.7726780045674917</v>
      </c>
      <c r="BA109">
        <f t="shared" si="80"/>
        <v>1.1089376433508009</v>
      </c>
      <c r="BB109">
        <f t="shared" si="96"/>
        <v>0.89814252063797828</v>
      </c>
      <c r="BC109">
        <f t="shared" si="97"/>
        <v>1.0265058795865039</v>
      </c>
      <c r="BD109">
        <f t="shared" si="81"/>
        <v>-121.18554538712374</v>
      </c>
      <c r="BF109">
        <f t="shared" si="82"/>
        <v>0.85968901029065115</v>
      </c>
      <c r="BG109">
        <f t="shared" si="83"/>
        <v>-114.92676286193584</v>
      </c>
      <c r="BH109">
        <f t="shared" si="98"/>
        <v>65.073237138064158</v>
      </c>
      <c r="BI109">
        <f t="shared" si="99"/>
        <v>65.073237138064158</v>
      </c>
      <c r="BJ109">
        <f t="shared" si="84"/>
        <v>0</v>
      </c>
      <c r="BK109">
        <f t="shared" si="100"/>
        <v>0</v>
      </c>
      <c r="BM109">
        <f t="shared" si="101"/>
        <v>-3.8453510347328239E-2</v>
      </c>
      <c r="BN109">
        <f t="shared" si="85"/>
        <v>-173.74121747481212</v>
      </c>
      <c r="BQ109" s="56">
        <f t="shared" si="102"/>
        <v>17.800103320923114</v>
      </c>
      <c r="BR109" s="59"/>
      <c r="BS109" s="59"/>
      <c r="BT109" s="59">
        <v>977.23699999999997</v>
      </c>
      <c r="BU109" s="59">
        <v>15.0807</v>
      </c>
      <c r="BV109" s="59">
        <v>-260.93240000000003</v>
      </c>
      <c r="BW109" s="61"/>
      <c r="BY109" s="59"/>
      <c r="BZ109" s="59"/>
      <c r="CA109" s="59"/>
      <c r="CC109" s="59"/>
    </row>
    <row r="110" spans="1:81" x14ac:dyDescent="0.2">
      <c r="A110">
        <f t="shared" si="106"/>
        <v>38000</v>
      </c>
      <c r="B110">
        <f t="shared" si="86"/>
        <v>38</v>
      </c>
      <c r="C110">
        <f t="shared" si="55"/>
        <v>1.0000420291160046</v>
      </c>
      <c r="D110">
        <f t="shared" si="56"/>
        <v>9.1681671034807167E-3</v>
      </c>
      <c r="F110">
        <f t="shared" si="57"/>
        <v>6.4530327480363997E-2</v>
      </c>
      <c r="G110">
        <f t="shared" si="58"/>
        <v>9.8706516399947972E-2</v>
      </c>
      <c r="H110">
        <f t="shared" si="59"/>
        <v>-3.0428861336000521</v>
      </c>
      <c r="J110">
        <f t="shared" si="60"/>
        <v>15</v>
      </c>
      <c r="M110">
        <f t="shared" si="61"/>
        <v>5.9388122921109499E-3</v>
      </c>
      <c r="N110">
        <f t="shared" si="62"/>
        <v>-1.5707963250000001</v>
      </c>
      <c r="O110">
        <f t="shared" si="63"/>
        <v>35.677753842594434</v>
      </c>
      <c r="P110">
        <f t="shared" si="64"/>
        <v>1.5427639852658961</v>
      </c>
      <c r="Q110">
        <f t="shared" si="65"/>
        <v>5.4004768667836691</v>
      </c>
      <c r="R110">
        <f t="shared" si="66"/>
        <v>1.3845526630127578</v>
      </c>
      <c r="S110">
        <f t="shared" si="67"/>
        <v>0.98895862163393322</v>
      </c>
      <c r="T110">
        <f t="shared" si="68"/>
        <v>-0.14873975310972218</v>
      </c>
      <c r="U110">
        <f t="shared" si="69"/>
        <v>0.98684164733260871</v>
      </c>
      <c r="V110">
        <f t="shared" si="70"/>
        <v>-0.16240265635009885</v>
      </c>
      <c r="X110">
        <f t="shared" si="87"/>
        <v>0.67656369848956011</v>
      </c>
      <c r="Y110">
        <f t="shared" si="71"/>
        <v>-113.92349338543076</v>
      </c>
      <c r="Z110">
        <f t="shared" si="88"/>
        <v>66.07650661456924</v>
      </c>
      <c r="AC110">
        <v>1</v>
      </c>
      <c r="AD110">
        <f t="shared" si="72"/>
        <v>35.663736753918002</v>
      </c>
      <c r="AE110">
        <f t="shared" si="73"/>
        <v>-1.5327199669645652E-3</v>
      </c>
      <c r="AF110">
        <f t="shared" si="74"/>
        <v>9.3546576020520009E-3</v>
      </c>
      <c r="AG110">
        <f t="shared" si="89"/>
        <v>3695.6774828792554</v>
      </c>
      <c r="AH110">
        <f t="shared" si="90"/>
        <v>-712.41930522486416</v>
      </c>
      <c r="AJ110">
        <f t="shared" si="75"/>
        <v>18000</v>
      </c>
      <c r="AK110">
        <f t="shared" si="76"/>
        <v>2697.2357324875202</v>
      </c>
      <c r="AL110">
        <v>1</v>
      </c>
      <c r="AM110">
        <f t="shared" si="77"/>
        <v>5.3070849238226403</v>
      </c>
      <c r="AN110">
        <f t="shared" si="91"/>
        <v>1107.9819120164248</v>
      </c>
      <c r="AO110">
        <f t="shared" si="92"/>
        <v>-3182.9183686430297</v>
      </c>
      <c r="AQ110">
        <f t="shared" si="78"/>
        <v>1.7310022503029254</v>
      </c>
      <c r="AR110">
        <f t="shared" si="79"/>
        <v>-131.55617102302233</v>
      </c>
      <c r="AT110">
        <f t="shared" si="104"/>
        <v>-87325.929919007132</v>
      </c>
      <c r="AU110">
        <f t="shared" si="105"/>
        <v>-487422.37840409949</v>
      </c>
      <c r="AV110">
        <f t="shared" si="93"/>
        <v>-1.7480741892012401</v>
      </c>
      <c r="AW110">
        <f t="shared" si="94"/>
        <v>-411465.36102429224</v>
      </c>
      <c r="AX110">
        <f t="shared" si="95"/>
        <v>-158915.11680335007</v>
      </c>
      <c r="AY110">
        <f t="shared" si="103"/>
        <v>-2.7730239254905715</v>
      </c>
      <c r="BA110">
        <f t="shared" si="80"/>
        <v>1.1226428592727968</v>
      </c>
      <c r="BB110">
        <f t="shared" si="96"/>
        <v>1.0048323662667595</v>
      </c>
      <c r="BC110">
        <f t="shared" si="97"/>
        <v>1.0249497362893314</v>
      </c>
      <c r="BD110">
        <f t="shared" si="81"/>
        <v>-121.27470583047116</v>
      </c>
      <c r="BF110">
        <f t="shared" si="82"/>
        <v>0.72229998162940634</v>
      </c>
      <c r="BG110">
        <f t="shared" si="83"/>
        <v>-115.0939417423526</v>
      </c>
      <c r="BH110">
        <f t="shared" si="98"/>
        <v>64.906058257647402</v>
      </c>
      <c r="BI110">
        <f t="shared" si="99"/>
        <v>64.906058257647402</v>
      </c>
      <c r="BJ110">
        <f t="shared" si="84"/>
        <v>0</v>
      </c>
      <c r="BK110">
        <f t="shared" si="100"/>
        <v>0</v>
      </c>
      <c r="BM110">
        <f t="shared" si="101"/>
        <v>-0.28253238463735236</v>
      </c>
      <c r="BN110">
        <f t="shared" si="85"/>
        <v>-173.81923591188144</v>
      </c>
      <c r="BQ110" s="56">
        <f t="shared" si="102"/>
        <v>17.906793166551896</v>
      </c>
      <c r="BR110" s="59"/>
      <c r="BS110" s="59"/>
      <c r="BT110" s="59">
        <v>1000</v>
      </c>
      <c r="BU110" s="59">
        <v>14.883800000000001</v>
      </c>
      <c r="BV110" s="59">
        <v>-260.5154</v>
      </c>
      <c r="BW110" s="61"/>
      <c r="BY110" s="59"/>
      <c r="BZ110" s="59"/>
      <c r="CA110" s="59"/>
      <c r="CC110" s="59"/>
    </row>
    <row r="111" spans="1:81" x14ac:dyDescent="0.2">
      <c r="A111">
        <f t="shared" si="106"/>
        <v>38500</v>
      </c>
      <c r="B111">
        <f t="shared" si="86"/>
        <v>38.5</v>
      </c>
      <c r="C111">
        <f t="shared" si="55"/>
        <v>1.000043142397868</v>
      </c>
      <c r="D111">
        <f t="shared" si="56"/>
        <v>9.2887939873402426E-3</v>
      </c>
      <c r="F111">
        <f t="shared" si="57"/>
        <v>6.2767928605780857E-2</v>
      </c>
      <c r="G111">
        <f t="shared" si="58"/>
        <v>9.7269456086365058E-2</v>
      </c>
      <c r="H111">
        <f t="shared" si="59"/>
        <v>-3.0443231939136353</v>
      </c>
      <c r="J111">
        <f t="shared" si="60"/>
        <v>15</v>
      </c>
      <c r="M111">
        <f t="shared" si="61"/>
        <v>5.8616848597458724E-3</v>
      </c>
      <c r="N111">
        <f t="shared" si="62"/>
        <v>-1.5707963250000001</v>
      </c>
      <c r="O111">
        <f t="shared" si="63"/>
        <v>36.146831566745732</v>
      </c>
      <c r="P111">
        <f t="shared" si="64"/>
        <v>1.5431278546557874</v>
      </c>
      <c r="Q111">
        <f t="shared" si="65"/>
        <v>5.4691146262202732</v>
      </c>
      <c r="R111">
        <f t="shared" si="66"/>
        <v>1.3869169147329807</v>
      </c>
      <c r="S111">
        <f t="shared" si="67"/>
        <v>0.9886710990354648</v>
      </c>
      <c r="T111">
        <f t="shared" si="68"/>
        <v>-0.15066755781550983</v>
      </c>
      <c r="U111">
        <f t="shared" si="69"/>
        <v>0.98650012351043548</v>
      </c>
      <c r="V111">
        <f t="shared" si="70"/>
        <v>-0.16450143317030116</v>
      </c>
      <c r="X111">
        <f t="shared" si="87"/>
        <v>0.54013003951799488</v>
      </c>
      <c r="Y111">
        <f t="shared" si="71"/>
        <v>-114.07331576682955</v>
      </c>
      <c r="Z111">
        <f t="shared" si="88"/>
        <v>65.926684233170448</v>
      </c>
      <c r="AC111">
        <v>1</v>
      </c>
      <c r="AD111">
        <f t="shared" si="72"/>
        <v>36.132996448048495</v>
      </c>
      <c r="AE111">
        <f t="shared" si="73"/>
        <v>-1.5733200630424007E-3</v>
      </c>
      <c r="AF111">
        <f t="shared" si="74"/>
        <v>9.4777452020790003E-3</v>
      </c>
      <c r="AG111">
        <f t="shared" si="89"/>
        <v>3693.1199428729506</v>
      </c>
      <c r="AH111">
        <f t="shared" si="90"/>
        <v>-718.57383334699728</v>
      </c>
      <c r="AJ111">
        <f t="shared" si="75"/>
        <v>18000</v>
      </c>
      <c r="AK111">
        <f t="shared" si="76"/>
        <v>2732.7256763360401</v>
      </c>
      <c r="AL111">
        <v>1</v>
      </c>
      <c r="AM111">
        <f t="shared" si="77"/>
        <v>5.3769149886097809</v>
      </c>
      <c r="AN111">
        <f t="shared" si="91"/>
        <v>1093.0225961468859</v>
      </c>
      <c r="AO111">
        <f t="shared" si="92"/>
        <v>-3144.3639037753264</v>
      </c>
      <c r="AQ111">
        <f t="shared" si="78"/>
        <v>1.6863406408094435</v>
      </c>
      <c r="AR111">
        <f t="shared" si="79"/>
        <v>-129.84822934232716</v>
      </c>
      <c r="AT111">
        <f t="shared" si="104"/>
        <v>-87077.681660785573</v>
      </c>
      <c r="AU111">
        <f t="shared" si="105"/>
        <v>-480756.84558948432</v>
      </c>
      <c r="AV111">
        <f t="shared" si="93"/>
        <v>-1.7499799491841346</v>
      </c>
      <c r="AW111">
        <f t="shared" si="94"/>
        <v>-401130.04091326939</v>
      </c>
      <c r="AX111">
        <f t="shared" si="95"/>
        <v>-154794.61491375332</v>
      </c>
      <c r="AY111">
        <f t="shared" si="103"/>
        <v>-2.7733034145691362</v>
      </c>
      <c r="BA111">
        <f t="shared" si="80"/>
        <v>1.1363331587380698</v>
      </c>
      <c r="BB111">
        <f t="shared" si="96"/>
        <v>1.1101135956155164</v>
      </c>
      <c r="BC111">
        <f t="shared" si="97"/>
        <v>1.0233234653850016</v>
      </c>
      <c r="BD111">
        <f t="shared" si="81"/>
        <v>-121.36788428974066</v>
      </c>
      <c r="BF111">
        <f t="shared" si="82"/>
        <v>0.58706943486295848</v>
      </c>
      <c r="BG111">
        <f t="shared" si="83"/>
        <v>-115.2625462812414</v>
      </c>
      <c r="BH111">
        <f t="shared" si="98"/>
        <v>64.737453718758601</v>
      </c>
      <c r="BI111">
        <f t="shared" si="99"/>
        <v>64.737453718758601</v>
      </c>
      <c r="BJ111">
        <f t="shared" si="84"/>
        <v>0</v>
      </c>
      <c r="BK111">
        <f t="shared" si="100"/>
        <v>0</v>
      </c>
      <c r="BM111">
        <f t="shared" si="101"/>
        <v>-0.52304416075255955</v>
      </c>
      <c r="BN111">
        <f t="shared" si="85"/>
        <v>-173.89466199150073</v>
      </c>
      <c r="BQ111" s="56">
        <f t="shared" si="102"/>
        <v>18.012074395900651</v>
      </c>
      <c r="BR111" s="59"/>
      <c r="BS111" s="59"/>
      <c r="BT111" s="59">
        <v>1023.293</v>
      </c>
      <c r="BU111" s="59">
        <v>14.7437</v>
      </c>
      <c r="BV111" s="59">
        <v>-261.12389999999999</v>
      </c>
      <c r="BW111" s="61"/>
      <c r="BY111" s="59"/>
      <c r="BZ111" s="59"/>
      <c r="CA111" s="59"/>
      <c r="CC111" s="59"/>
    </row>
    <row r="112" spans="1:81" x14ac:dyDescent="0.2">
      <c r="A112">
        <f t="shared" si="106"/>
        <v>39000</v>
      </c>
      <c r="B112">
        <f t="shared" si="86"/>
        <v>39</v>
      </c>
      <c r="C112">
        <f t="shared" si="55"/>
        <v>1.0000442702311716</v>
      </c>
      <c r="D112">
        <f t="shared" si="56"/>
        <v>9.4094206008729954E-3</v>
      </c>
      <c r="F112">
        <f t="shared" si="57"/>
        <v>6.107798649986302E-2</v>
      </c>
      <c r="G112">
        <f t="shared" si="58"/>
        <v>9.5875530523756872E-2</v>
      </c>
      <c r="H112">
        <f t="shared" si="59"/>
        <v>-3.0457171194762434</v>
      </c>
      <c r="J112">
        <f t="shared" si="60"/>
        <v>15</v>
      </c>
      <c r="M112">
        <f t="shared" si="61"/>
        <v>5.7865350538516946E-3</v>
      </c>
      <c r="N112">
        <f t="shared" si="62"/>
        <v>-1.5707963250000001</v>
      </c>
      <c r="O112">
        <f t="shared" si="63"/>
        <v>36.615913954149505</v>
      </c>
      <c r="P112">
        <f t="shared" si="64"/>
        <v>1.5434824011113302</v>
      </c>
      <c r="Q112">
        <f t="shared" si="65"/>
        <v>5.5377821983808486</v>
      </c>
      <c r="R112">
        <f t="shared" si="66"/>
        <v>1.3892225464249437</v>
      </c>
      <c r="S112">
        <f t="shared" si="67"/>
        <v>0.98838007353670854</v>
      </c>
      <c r="T112">
        <f t="shared" si="68"/>
        <v>-0.15259423473991165</v>
      </c>
      <c r="U112">
        <f t="shared" si="69"/>
        <v>0.98615449663591059</v>
      </c>
      <c r="V112">
        <f t="shared" si="70"/>
        <v>-0.16659874858271487</v>
      </c>
      <c r="X112">
        <f t="shared" si="87"/>
        <v>0.40576950299581882</v>
      </c>
      <c r="Y112">
        <f t="shared" si="71"/>
        <v>-114.22441121993019</v>
      </c>
      <c r="Z112">
        <f t="shared" si="88"/>
        <v>65.77558878006981</v>
      </c>
      <c r="AC112">
        <v>1</v>
      </c>
      <c r="AD112">
        <f t="shared" si="72"/>
        <v>36.602256142179002</v>
      </c>
      <c r="AE112">
        <f t="shared" si="73"/>
        <v>-1.6144508793304042E-3</v>
      </c>
      <c r="AF112">
        <f t="shared" si="74"/>
        <v>9.6008328021059998E-3</v>
      </c>
      <c r="AG112">
        <f t="shared" si="89"/>
        <v>3690.5325779698892</v>
      </c>
      <c r="AH112">
        <f t="shared" si="90"/>
        <v>-724.74791605314408</v>
      </c>
      <c r="AJ112">
        <f t="shared" si="75"/>
        <v>18000</v>
      </c>
      <c r="AK112">
        <f t="shared" si="76"/>
        <v>2768.2156201845601</v>
      </c>
      <c r="AL112">
        <v>1</v>
      </c>
      <c r="AM112">
        <f t="shared" si="77"/>
        <v>5.4467450533969206</v>
      </c>
      <c r="AN112">
        <f t="shared" si="91"/>
        <v>1078.6099249737244</v>
      </c>
      <c r="AO112">
        <f t="shared" si="92"/>
        <v>-3106.697653210897</v>
      </c>
      <c r="AQ112">
        <f t="shared" si="78"/>
        <v>1.6433853738701725</v>
      </c>
      <c r="AR112">
        <f t="shared" si="79"/>
        <v>-128.18405916187345</v>
      </c>
      <c r="AT112">
        <f t="shared" si="104"/>
        <v>-86836.162488373608</v>
      </c>
      <c r="AU112">
        <f t="shared" si="105"/>
        <v>-474258.48643829825</v>
      </c>
      <c r="AV112">
        <f t="shared" si="93"/>
        <v>-1.7518891905882772</v>
      </c>
      <c r="AW112">
        <f t="shared" si="94"/>
        <v>-391171.08126383094</v>
      </c>
      <c r="AX112">
        <f t="shared" si="95"/>
        <v>-150854.66240123092</v>
      </c>
      <c r="AY112">
        <f t="shared" si="103"/>
        <v>-2.773518878707034</v>
      </c>
      <c r="BA112">
        <f t="shared" si="80"/>
        <v>1.1500080023223347</v>
      </c>
      <c r="BB112">
        <f t="shared" si="96"/>
        <v>1.2140172479825064</v>
      </c>
      <c r="BC112">
        <f t="shared" si="97"/>
        <v>1.0216296881187568</v>
      </c>
      <c r="BD112">
        <f t="shared" si="81"/>
        <v>-121.46493057864259</v>
      </c>
      <c r="BF112">
        <f t="shared" si="82"/>
        <v>0.4539211798366477</v>
      </c>
      <c r="BG112">
        <f t="shared" si="83"/>
        <v>-115.43254722606711</v>
      </c>
      <c r="BH112">
        <f t="shared" si="98"/>
        <v>64.567452773932885</v>
      </c>
      <c r="BI112">
        <f t="shared" si="99"/>
        <v>64.567452773932885</v>
      </c>
      <c r="BJ112">
        <f t="shared" si="84"/>
        <v>0</v>
      </c>
      <c r="BK112">
        <f t="shared" si="100"/>
        <v>0</v>
      </c>
      <c r="BM112">
        <f t="shared" si="101"/>
        <v>-0.76009606814586061</v>
      </c>
      <c r="BN112">
        <f t="shared" si="85"/>
        <v>-173.96761664742453</v>
      </c>
      <c r="BQ112" s="56">
        <f t="shared" si="102"/>
        <v>18.115978048267646</v>
      </c>
      <c r="BR112" s="59"/>
      <c r="BS112" s="59"/>
      <c r="BT112" s="59">
        <v>1047.1289999999999</v>
      </c>
      <c r="BU112" s="59">
        <v>14.586600000000001</v>
      </c>
      <c r="BV112" s="59">
        <v>-260.40769999999998</v>
      </c>
      <c r="BW112" s="61"/>
      <c r="BY112" s="59"/>
      <c r="BZ112" s="59"/>
      <c r="CA112" s="59"/>
      <c r="CC112" s="59"/>
    </row>
    <row r="113" spans="1:81" x14ac:dyDescent="0.2">
      <c r="A113">
        <f t="shared" si="106"/>
        <v>39500</v>
      </c>
      <c r="B113">
        <f t="shared" si="86"/>
        <v>39.5</v>
      </c>
      <c r="C113">
        <f t="shared" si="55"/>
        <v>1.0000454126158662</v>
      </c>
      <c r="D113">
        <f t="shared" si="56"/>
        <v>9.5300469405694716E-3</v>
      </c>
      <c r="F113">
        <f t="shared" si="57"/>
        <v>5.9456521576914445E-2</v>
      </c>
      <c r="G113">
        <f t="shared" si="58"/>
        <v>9.4522761345019982E-2</v>
      </c>
      <c r="H113">
        <f t="shared" si="59"/>
        <v>-3.0470698886549803</v>
      </c>
      <c r="J113">
        <f t="shared" si="60"/>
        <v>15</v>
      </c>
      <c r="M113">
        <f t="shared" si="61"/>
        <v>5.7132877746890152E-3</v>
      </c>
      <c r="N113">
        <f t="shared" si="62"/>
        <v>-1.5707963250000001</v>
      </c>
      <c r="O113">
        <f t="shared" si="63"/>
        <v>37.085000827851495</v>
      </c>
      <c r="P113">
        <f t="shared" si="64"/>
        <v>1.5438279783180604</v>
      </c>
      <c r="Q113">
        <f t="shared" si="65"/>
        <v>5.6064784878359681</v>
      </c>
      <c r="R113">
        <f t="shared" si="66"/>
        <v>1.3914716879307574</v>
      </c>
      <c r="S113">
        <f t="shared" si="67"/>
        <v>0.98808555470903159</v>
      </c>
      <c r="T113">
        <f t="shared" si="68"/>
        <v>-0.15451977058095651</v>
      </c>
      <c r="U113">
        <f t="shared" si="69"/>
        <v>0.98580478013712691</v>
      </c>
      <c r="V113">
        <f t="shared" si="70"/>
        <v>-0.16869458568156828</v>
      </c>
      <c r="X113">
        <f t="shared" si="87"/>
        <v>0.27341003271405018</v>
      </c>
      <c r="Y113">
        <f t="shared" si="71"/>
        <v>-114.37674907059039</v>
      </c>
      <c r="Z113">
        <f t="shared" si="88"/>
        <v>65.623250929409608</v>
      </c>
      <c r="AC113">
        <v>1</v>
      </c>
      <c r="AD113">
        <f t="shared" si="72"/>
        <v>37.071515836309501</v>
      </c>
      <c r="AE113">
        <f t="shared" si="73"/>
        <v>-1.6561124158285751E-3</v>
      </c>
      <c r="AF113">
        <f t="shared" si="74"/>
        <v>9.7239204021329993E-3</v>
      </c>
      <c r="AG113">
        <f t="shared" si="89"/>
        <v>3687.915520929369</v>
      </c>
      <c r="AH113">
        <f t="shared" si="90"/>
        <v>-730.94003126341306</v>
      </c>
      <c r="AJ113">
        <f t="shared" si="75"/>
        <v>18000</v>
      </c>
      <c r="AK113">
        <f t="shared" si="76"/>
        <v>2803.70556403308</v>
      </c>
      <c r="AL113">
        <v>1</v>
      </c>
      <c r="AM113">
        <f t="shared" si="77"/>
        <v>5.5165751181840603</v>
      </c>
      <c r="AN113">
        <f t="shared" si="91"/>
        <v>1064.7178805360231</v>
      </c>
      <c r="AO113">
        <f t="shared" si="92"/>
        <v>-3069.8906036176145</v>
      </c>
      <c r="AQ113">
        <f t="shared" si="78"/>
        <v>1.6020506247997437</v>
      </c>
      <c r="AR113">
        <f t="shared" si="79"/>
        <v>-126.56199935917975</v>
      </c>
      <c r="AT113">
        <f t="shared" si="104"/>
        <v>-86601.004403845334</v>
      </c>
      <c r="AU113">
        <f t="shared" si="105"/>
        <v>-467920.96473034855</v>
      </c>
      <c r="AV113">
        <f t="shared" si="93"/>
        <v>-1.7538017091192488</v>
      </c>
      <c r="AW113">
        <f t="shared" si="94"/>
        <v>-381570.65922225738</v>
      </c>
      <c r="AX113">
        <f t="shared" si="95"/>
        <v>-147084.89194884102</v>
      </c>
      <c r="AY113">
        <f t="shared" si="103"/>
        <v>-2.7736726091733122</v>
      </c>
      <c r="BA113">
        <f t="shared" si="80"/>
        <v>1.1636668628422473</v>
      </c>
      <c r="BB113">
        <f t="shared" si="96"/>
        <v>1.3165733461922178</v>
      </c>
      <c r="BC113">
        <f t="shared" si="97"/>
        <v>1.0198709000540633</v>
      </c>
      <c r="BD113">
        <f t="shared" si="81"/>
        <v>-121.56570171192266</v>
      </c>
      <c r="BF113">
        <f t="shared" si="82"/>
        <v>0.32278292337890846</v>
      </c>
      <c r="BG113">
        <f t="shared" si="83"/>
        <v>-115.60391494386215</v>
      </c>
      <c r="BH113">
        <f t="shared" si="98"/>
        <v>64.396085056137849</v>
      </c>
      <c r="BI113">
        <f t="shared" si="99"/>
        <v>64.396085056137849</v>
      </c>
      <c r="BJ113">
        <f t="shared" si="84"/>
        <v>0</v>
      </c>
      <c r="BK113">
        <f t="shared" si="100"/>
        <v>0</v>
      </c>
      <c r="BM113">
        <f t="shared" si="101"/>
        <v>-0.99379042281330887</v>
      </c>
      <c r="BN113">
        <f t="shared" si="85"/>
        <v>-174.03821323193952</v>
      </c>
      <c r="BQ113" s="56">
        <f t="shared" si="102"/>
        <v>18.218534146477353</v>
      </c>
      <c r="BR113" s="59"/>
      <c r="BS113" s="59"/>
      <c r="BT113" s="59">
        <v>1071.519</v>
      </c>
      <c r="BU113" s="59">
        <v>14.3581</v>
      </c>
      <c r="BV113" s="59">
        <v>-260.5301</v>
      </c>
      <c r="BW113" s="61"/>
      <c r="BY113" s="59"/>
      <c r="BZ113" s="59"/>
      <c r="CA113" s="59"/>
      <c r="CC113" s="59"/>
    </row>
    <row r="114" spans="1:81" x14ac:dyDescent="0.2">
      <c r="A114">
        <f t="shared" si="106"/>
        <v>40000</v>
      </c>
      <c r="B114">
        <f t="shared" si="86"/>
        <v>40</v>
      </c>
      <c r="C114">
        <f t="shared" si="55"/>
        <v>1.0000465695519021</v>
      </c>
      <c r="D114">
        <f t="shared" si="56"/>
        <v>9.6506730029202199E-3</v>
      </c>
      <c r="F114">
        <f t="shared" si="57"/>
        <v>5.7899827528827878E-2</v>
      </c>
      <c r="G114">
        <f t="shared" si="58"/>
        <v>9.320929213901874E-2</v>
      </c>
      <c r="H114">
        <f t="shared" si="59"/>
        <v>-3.0483833578609816</v>
      </c>
      <c r="J114">
        <f t="shared" si="60"/>
        <v>15</v>
      </c>
      <c r="M114">
        <f t="shared" si="61"/>
        <v>5.6418716775054022E-3</v>
      </c>
      <c r="N114">
        <f t="shared" si="62"/>
        <v>-1.5707963250000001</v>
      </c>
      <c r="O114">
        <f t="shared" si="63"/>
        <v>37.554092019737112</v>
      </c>
      <c r="P114">
        <f t="shared" si="64"/>
        <v>1.5441649222986813</v>
      </c>
      <c r="Q114">
        <f t="shared" si="65"/>
        <v>5.6752024517480875</v>
      </c>
      <c r="R114">
        <f t="shared" si="66"/>
        <v>1.3936663682784696</v>
      </c>
      <c r="S114">
        <f t="shared" si="67"/>
        <v>0.98778755222324799</v>
      </c>
      <c r="T114">
        <f t="shared" si="68"/>
        <v>-0.1564441520862706</v>
      </c>
      <c r="U114">
        <f t="shared" si="69"/>
        <v>0.98545098757523586</v>
      </c>
      <c r="V114">
        <f t="shared" si="70"/>
        <v>-0.17078892763686121</v>
      </c>
      <c r="X114">
        <f t="shared" si="87"/>
        <v>0.14298321059674202</v>
      </c>
      <c r="Y114">
        <f t="shared" si="71"/>
        <v>-114.53029845251503</v>
      </c>
      <c r="Z114">
        <f t="shared" si="88"/>
        <v>65.469701547484974</v>
      </c>
      <c r="AC114">
        <v>1</v>
      </c>
      <c r="AD114">
        <f t="shared" si="72"/>
        <v>37.540775530439994</v>
      </c>
      <c r="AE114">
        <f t="shared" si="73"/>
        <v>-1.6983046725369143E-3</v>
      </c>
      <c r="AF114">
        <f t="shared" si="74"/>
        <v>9.8470080021600005E-3</v>
      </c>
      <c r="AG114">
        <f t="shared" si="89"/>
        <v>3685.2689057449675</v>
      </c>
      <c r="AH114">
        <f t="shared" si="90"/>
        <v>-737.14872584539762</v>
      </c>
      <c r="AJ114">
        <f t="shared" si="75"/>
        <v>18000</v>
      </c>
      <c r="AK114">
        <f t="shared" si="76"/>
        <v>2839.1955078816</v>
      </c>
      <c r="AL114">
        <v>1</v>
      </c>
      <c r="AM114">
        <f t="shared" si="77"/>
        <v>5.5864051829712</v>
      </c>
      <c r="AN114">
        <f t="shared" si="91"/>
        <v>1051.321956995753</v>
      </c>
      <c r="AO114">
        <f t="shared" si="92"/>
        <v>-3033.9149216508995</v>
      </c>
      <c r="AQ114">
        <f t="shared" si="78"/>
        <v>1.562255897516013</v>
      </c>
      <c r="AR114">
        <f t="shared" si="79"/>
        <v>-124.98047180128106</v>
      </c>
      <c r="AT114">
        <f t="shared" si="104"/>
        <v>-86371.862461938508</v>
      </c>
      <c r="AU114">
        <f t="shared" si="105"/>
        <v>-461738.26149889518</v>
      </c>
      <c r="AV114">
        <f t="shared" si="93"/>
        <v>-1.7557173099086114</v>
      </c>
      <c r="AW114">
        <f t="shared" si="94"/>
        <v>-372311.9811839732</v>
      </c>
      <c r="AX114">
        <f t="shared" si="95"/>
        <v>-143475.65597590065</v>
      </c>
      <c r="AY114">
        <f t="shared" si="103"/>
        <v>-2.7737667884149579</v>
      </c>
      <c r="BA114">
        <f t="shared" si="80"/>
        <v>1.1773092246381174</v>
      </c>
      <c r="BB114">
        <f t="shared" si="96"/>
        <v>1.4178109376839365</v>
      </c>
      <c r="BC114">
        <f t="shared" si="97"/>
        <v>1.0180494785063465</v>
      </c>
      <c r="BD114">
        <f t="shared" si="81"/>
        <v>-121.67006147944025</v>
      </c>
      <c r="BF114">
        <f t="shared" si="82"/>
        <v>0.19358600855185976</v>
      </c>
      <c r="BG114">
        <f t="shared" si="83"/>
        <v>-115.77661958921016</v>
      </c>
      <c r="BH114">
        <f t="shared" si="98"/>
        <v>64.223380410789844</v>
      </c>
      <c r="BI114">
        <f t="shared" si="99"/>
        <v>64.223380410789844</v>
      </c>
      <c r="BJ114">
        <f t="shared" si="84"/>
        <v>0</v>
      </c>
      <c r="BK114">
        <f t="shared" si="100"/>
        <v>0</v>
      </c>
      <c r="BM114">
        <f t="shared" si="101"/>
        <v>-1.2242249291320753</v>
      </c>
      <c r="BN114">
        <f t="shared" si="85"/>
        <v>-174.10655810976991</v>
      </c>
      <c r="BQ114" s="56">
        <f t="shared" si="102"/>
        <v>18.319771737969074</v>
      </c>
      <c r="BR114" s="59"/>
      <c r="BS114" s="59"/>
      <c r="BT114" s="59">
        <v>1096.4780000000001</v>
      </c>
      <c r="BU114" s="59">
        <v>14.1501</v>
      </c>
      <c r="BV114" s="59">
        <v>-260.5471</v>
      </c>
      <c r="BW114" s="61"/>
      <c r="BY114" s="59"/>
      <c r="BZ114" s="59"/>
      <c r="CA114" s="59"/>
      <c r="CC114" s="59"/>
    </row>
    <row r="115" spans="1:81" x14ac:dyDescent="0.2">
      <c r="A115">
        <f t="shared" si="106"/>
        <v>40500</v>
      </c>
      <c r="B115">
        <f t="shared" si="86"/>
        <v>40.5</v>
      </c>
      <c r="C115">
        <f t="shared" si="55"/>
        <v>1.0000477410392288</v>
      </c>
      <c r="D115">
        <f t="shared" si="56"/>
        <v>9.7712987844158338E-3</v>
      </c>
      <c r="F115">
        <f t="shared" si="57"/>
        <v>5.6404448839697842E-2</v>
      </c>
      <c r="G115">
        <f t="shared" si="58"/>
        <v>9.1933379053508624E-2</v>
      </c>
      <c r="H115">
        <f t="shared" si="59"/>
        <v>-3.0496592709464916</v>
      </c>
      <c r="J115">
        <f t="shared" si="60"/>
        <v>15</v>
      </c>
      <c r="M115">
        <f t="shared" si="61"/>
        <v>5.572218940746076E-3</v>
      </c>
      <c r="N115">
        <f t="shared" si="62"/>
        <v>-1.5707963250000001</v>
      </c>
      <c r="O115">
        <f t="shared" si="63"/>
        <v>38.02318736998636</v>
      </c>
      <c r="P115">
        <f t="shared" si="64"/>
        <v>1.5444935525018029</v>
      </c>
      <c r="Q115">
        <f t="shared" si="65"/>
        <v>5.74395309677785</v>
      </c>
      <c r="R115">
        <f t="shared" si="66"/>
        <v>1.3958085215103382</v>
      </c>
      <c r="S115">
        <f t="shared" si="67"/>
        <v>0.98748607584876591</v>
      </c>
      <c r="T115">
        <f t="shared" si="68"/>
        <v>-0.15836736605356252</v>
      </c>
      <c r="U115">
        <f t="shared" si="69"/>
        <v>0.98509313264304466</v>
      </c>
      <c r="V115">
        <f t="shared" si="70"/>
        <v>-0.17288175769506148</v>
      </c>
      <c r="X115">
        <f t="shared" si="87"/>
        <v>1.4424017160391572E-2</v>
      </c>
      <c r="Y115">
        <f t="shared" si="71"/>
        <v>-114.6850284494206</v>
      </c>
      <c r="Z115">
        <f t="shared" si="88"/>
        <v>65.314971550579401</v>
      </c>
      <c r="AC115">
        <v>1</v>
      </c>
      <c r="AD115">
        <f t="shared" si="72"/>
        <v>38.010035224570501</v>
      </c>
      <c r="AE115">
        <f t="shared" si="73"/>
        <v>-1.7410276494554209E-3</v>
      </c>
      <c r="AF115">
        <f t="shared" si="74"/>
        <v>9.9700956021869999E-3</v>
      </c>
      <c r="AG115">
        <f t="shared" si="89"/>
        <v>3682.5928676280864</v>
      </c>
      <c r="AH115">
        <f t="shared" si="90"/>
        <v>-743.37261145239859</v>
      </c>
      <c r="AJ115">
        <f t="shared" si="75"/>
        <v>18000</v>
      </c>
      <c r="AK115">
        <f t="shared" si="76"/>
        <v>2874.6854517301203</v>
      </c>
      <c r="AL115">
        <v>1</v>
      </c>
      <c r="AM115">
        <f t="shared" si="77"/>
        <v>5.6562352477583406</v>
      </c>
      <c r="AN115">
        <f t="shared" si="91"/>
        <v>1038.3990576386786</v>
      </c>
      <c r="AO115">
        <f t="shared" si="92"/>
        <v>-2998.7438993248179</v>
      </c>
      <c r="AQ115">
        <f t="shared" si="78"/>
        <v>1.5239256324291375</v>
      </c>
      <c r="AR115">
        <f t="shared" si="79"/>
        <v>-123.43797622676013</v>
      </c>
      <c r="AT115">
        <f t="shared" si="104"/>
        <v>-86148.413075306613</v>
      </c>
      <c r="AU115">
        <f t="shared" si="105"/>
        <v>-455704.65542415023</v>
      </c>
      <c r="AV115">
        <f t="shared" si="93"/>
        <v>-1.7576358069388271</v>
      </c>
      <c r="AW115">
        <f t="shared" si="94"/>
        <v>-363379.21324858238</v>
      </c>
      <c r="AX115">
        <f t="shared" si="95"/>
        <v>-140017.96866927162</v>
      </c>
      <c r="AY115">
        <f t="shared" si="103"/>
        <v>-2.7738034964001739</v>
      </c>
      <c r="BA115">
        <f t="shared" si="80"/>
        <v>1.1909345829082434</v>
      </c>
      <c r="BB115">
        <f t="shared" si="96"/>
        <v>1.5177581337322101</v>
      </c>
      <c r="BC115">
        <f t="shared" si="97"/>
        <v>1.0161676894613467</v>
      </c>
      <c r="BD115">
        <f t="shared" si="81"/>
        <v>-121.7778800497759</v>
      </c>
      <c r="BF115">
        <f t="shared" si="82"/>
        <v>6.6265175151919292E-2</v>
      </c>
      <c r="BG115">
        <f t="shared" si="83"/>
        <v>-115.95063124626652</v>
      </c>
      <c r="BH115">
        <f t="shared" si="98"/>
        <v>64.049368753733475</v>
      </c>
      <c r="BI115">
        <f t="shared" si="99"/>
        <v>64.049368753733475</v>
      </c>
      <c r="BJ115">
        <f t="shared" si="84"/>
        <v>40500</v>
      </c>
      <c r="BK115">
        <f t="shared" si="100"/>
        <v>64.049368753733475</v>
      </c>
      <c r="BM115">
        <f t="shared" si="101"/>
        <v>-1.4514929585802898</v>
      </c>
      <c r="BN115">
        <f t="shared" si="85"/>
        <v>-174.17275119649059</v>
      </c>
      <c r="BQ115" s="56">
        <f t="shared" si="102"/>
        <v>18.419718934017347</v>
      </c>
      <c r="BR115" s="59"/>
      <c r="BS115" s="59"/>
      <c r="BT115" s="59">
        <v>1122.018</v>
      </c>
      <c r="BU115" s="59">
        <v>13.9679</v>
      </c>
      <c r="BV115" s="59">
        <v>-259.93099999999998</v>
      </c>
      <c r="BW115" s="61"/>
      <c r="BY115" s="59"/>
      <c r="BZ115" s="59"/>
      <c r="CA115" s="59"/>
      <c r="CC115" s="59"/>
    </row>
    <row r="116" spans="1:81" x14ac:dyDescent="0.2">
      <c r="A116">
        <f t="shared" si="106"/>
        <v>41000</v>
      </c>
      <c r="B116">
        <f t="shared" si="86"/>
        <v>41</v>
      </c>
      <c r="C116">
        <f t="shared" si="55"/>
        <v>1.000048927077795</v>
      </c>
      <c r="D116">
        <f t="shared" si="56"/>
        <v>9.8919242815469557E-3</v>
      </c>
      <c r="F116">
        <f t="shared" si="57"/>
        <v>5.4967160452135379E-2</v>
      </c>
      <c r="G116">
        <f t="shared" si="58"/>
        <v>9.0693382262039574E-2</v>
      </c>
      <c r="H116">
        <f t="shared" si="59"/>
        <v>-3.0508992677379605</v>
      </c>
      <c r="J116">
        <f t="shared" si="60"/>
        <v>15</v>
      </c>
      <c r="M116">
        <f t="shared" si="61"/>
        <v>5.5042650512247826E-3</v>
      </c>
      <c r="N116">
        <f t="shared" si="62"/>
        <v>-1.5707963250000001</v>
      </c>
      <c r="O116">
        <f t="shared" si="63"/>
        <v>38.492286726568594</v>
      </c>
      <c r="P116">
        <f t="shared" si="64"/>
        <v>1.5448141728111515</v>
      </c>
      <c r="Q116">
        <f t="shared" si="65"/>
        <v>5.8127294762044937</v>
      </c>
      <c r="R116">
        <f t="shared" si="66"/>
        <v>1.3978999921161053</v>
      </c>
      <c r="S116">
        <f t="shared" si="67"/>
        <v>0.98718113545272779</v>
      </c>
      <c r="T116">
        <f t="shared" si="68"/>
        <v>-0.16028939933110284</v>
      </c>
      <c r="U116">
        <f t="shared" si="69"/>
        <v>0.98473122916360345</v>
      </c>
      <c r="V116">
        <f t="shared" si="70"/>
        <v>-0.17497305917979203</v>
      </c>
      <c r="X116">
        <f t="shared" si="87"/>
        <v>-0.11232938879948931</v>
      </c>
      <c r="Y116">
        <f t="shared" si="71"/>
        <v>-114.84090821488562</v>
      </c>
      <c r="Z116">
        <f t="shared" si="88"/>
        <v>65.159091785114384</v>
      </c>
      <c r="AC116">
        <v>1</v>
      </c>
      <c r="AD116">
        <f t="shared" si="72"/>
        <v>38.479294918701001</v>
      </c>
      <c r="AE116">
        <f t="shared" si="73"/>
        <v>-1.7842813465840956E-3</v>
      </c>
      <c r="AF116">
        <f t="shared" si="74"/>
        <v>1.0093183202213999E-2</v>
      </c>
      <c r="AG116">
        <f t="shared" si="89"/>
        <v>3679.8875429913892</v>
      </c>
      <c r="AH116">
        <f t="shared" si="90"/>
        <v>-749.6103606667001</v>
      </c>
      <c r="AJ116">
        <f t="shared" si="75"/>
        <v>18000</v>
      </c>
      <c r="AK116">
        <f t="shared" si="76"/>
        <v>2910.1753955786398</v>
      </c>
      <c r="AL116">
        <v>1</v>
      </c>
      <c r="AM116">
        <f t="shared" si="77"/>
        <v>5.7260653125454803</v>
      </c>
      <c r="AN116">
        <f t="shared" si="91"/>
        <v>1025.9273998661472</v>
      </c>
      <c r="AO116">
        <f t="shared" si="92"/>
        <v>-2964.3519019848823</v>
      </c>
      <c r="AQ116">
        <f t="shared" si="78"/>
        <v>1.486988847583643</v>
      </c>
      <c r="AR116">
        <f t="shared" si="79"/>
        <v>-121.93308550185874</v>
      </c>
      <c r="AT116">
        <f t="shared" si="104"/>
        <v>-85930.352463461735</v>
      </c>
      <c r="AU116">
        <f t="shared" si="105"/>
        <v>-449814.70466313849</v>
      </c>
      <c r="AV116">
        <f t="shared" si="93"/>
        <v>-1.759557022510182</v>
      </c>
      <c r="AW116">
        <f t="shared" si="94"/>
        <v>-354757.41701564781</v>
      </c>
      <c r="AX116">
        <f t="shared" si="95"/>
        <v>-136703.45329329296</v>
      </c>
      <c r="AY116">
        <f t="shared" si="103"/>
        <v>-2.7737847165290819</v>
      </c>
      <c r="BA116">
        <f t="shared" si="80"/>
        <v>1.2045424430907332</v>
      </c>
      <c r="BB116">
        <f t="shared" si="96"/>
        <v>1.6164421468839849</v>
      </c>
      <c r="BC116">
        <f t="shared" si="97"/>
        <v>1.0142276940188999</v>
      </c>
      <c r="BD116">
        <f t="shared" si="81"/>
        <v>-121.88903360102972</v>
      </c>
      <c r="BF116">
        <f t="shared" si="82"/>
        <v>-5.9241660562197096E-2</v>
      </c>
      <c r="BG116">
        <f t="shared" si="83"/>
        <v>-116.12592004846728</v>
      </c>
      <c r="BH116">
        <f t="shared" si="98"/>
        <v>63.874079951532721</v>
      </c>
      <c r="BI116">
        <f t="shared" si="99"/>
        <v>63.874079951532721</v>
      </c>
      <c r="BJ116">
        <f t="shared" si="84"/>
        <v>0</v>
      </c>
      <c r="BK116">
        <f t="shared" si="100"/>
        <v>0</v>
      </c>
      <c r="BM116">
        <f t="shared" si="101"/>
        <v>-1.6756838074461824</v>
      </c>
      <c r="BN116">
        <f t="shared" si="85"/>
        <v>-174.23688644743754</v>
      </c>
      <c r="BQ116" s="56">
        <f t="shared" si="102"/>
        <v>18.518402947169122</v>
      </c>
      <c r="BR116" s="59"/>
      <c r="BS116" s="59"/>
      <c r="BT116" s="59">
        <v>1148.154</v>
      </c>
      <c r="BU116" s="59">
        <v>13.7508</v>
      </c>
      <c r="BV116" s="59">
        <v>-259.94799999999998</v>
      </c>
      <c r="BW116" s="61"/>
      <c r="BY116" s="59"/>
      <c r="BZ116" s="59"/>
      <c r="CA116" s="59"/>
      <c r="CC116" s="59"/>
    </row>
    <row r="117" spans="1:81" x14ac:dyDescent="0.2">
      <c r="A117">
        <f t="shared" si="106"/>
        <v>41500</v>
      </c>
      <c r="B117">
        <f t="shared" si="86"/>
        <v>41.5</v>
      </c>
      <c r="C117">
        <f t="shared" si="55"/>
        <v>1.0000501276675493</v>
      </c>
      <c r="D117">
        <f t="shared" si="56"/>
        <v>1.001254949080428E-2</v>
      </c>
      <c r="F117">
        <f t="shared" si="57"/>
        <v>5.3584949351052312E-2</v>
      </c>
      <c r="G117">
        <f t="shared" si="58"/>
        <v>8.9487758203027817E-2</v>
      </c>
      <c r="H117">
        <f t="shared" si="59"/>
        <v>-3.0521048917969722</v>
      </c>
      <c r="J117">
        <f t="shared" si="60"/>
        <v>15</v>
      </c>
      <c r="M117">
        <f t="shared" si="61"/>
        <v>5.4379486048244845E-3</v>
      </c>
      <c r="N117">
        <f t="shared" si="62"/>
        <v>-1.5707963250000001</v>
      </c>
      <c r="O117">
        <f t="shared" si="63"/>
        <v>38.961389944773764</v>
      </c>
      <c r="P117">
        <f t="shared" si="64"/>
        <v>1.5451270724819364</v>
      </c>
      <c r="Q117">
        <f t="shared" si="65"/>
        <v>5.8815306872433855</v>
      </c>
      <c r="R117">
        <f t="shared" si="66"/>
        <v>1.3999425401017733</v>
      </c>
      <c r="S117">
        <f t="shared" si="67"/>
        <v>0.98687274099914413</v>
      </c>
      <c r="T117">
        <f t="shared" si="68"/>
        <v>-0.16221023881819857</v>
      </c>
      <c r="U117">
        <f t="shared" si="69"/>
        <v>0.98436529108878523</v>
      </c>
      <c r="V117">
        <f t="shared" si="70"/>
        <v>-0.17706281549250869</v>
      </c>
      <c r="X117">
        <f t="shared" si="87"/>
        <v>-0.23733587309848117</v>
      </c>
      <c r="Y117">
        <f t="shared" si="71"/>
        <v>-114.99790707301591</v>
      </c>
      <c r="Z117">
        <f t="shared" si="88"/>
        <v>65.002092926984091</v>
      </c>
      <c r="AC117">
        <v>1</v>
      </c>
      <c r="AD117">
        <f t="shared" si="72"/>
        <v>38.948554612831494</v>
      </c>
      <c r="AE117">
        <f t="shared" si="73"/>
        <v>-1.828065763922938E-3</v>
      </c>
      <c r="AF117">
        <f t="shared" si="74"/>
        <v>1.0216270802240999E-2</v>
      </c>
      <c r="AG117">
        <f t="shared" si="89"/>
        <v>3677.15306943217</v>
      </c>
      <c r="AH117">
        <f t="shared" si="90"/>
        <v>-755.86070342215407</v>
      </c>
      <c r="AJ117">
        <f t="shared" si="75"/>
        <v>18000</v>
      </c>
      <c r="AK117">
        <f t="shared" si="76"/>
        <v>2945.6653394271598</v>
      </c>
      <c r="AL117">
        <v>1</v>
      </c>
      <c r="AM117">
        <f t="shared" si="77"/>
        <v>5.7958953773326201</v>
      </c>
      <c r="AN117">
        <f t="shared" si="91"/>
        <v>1013.8864274865473</v>
      </c>
      <c r="AO117">
        <f t="shared" si="92"/>
        <v>-2930.7143187824045</v>
      </c>
      <c r="AQ117">
        <f t="shared" si="78"/>
        <v>1.4513788098693758</v>
      </c>
      <c r="AR117">
        <f t="shared" si="79"/>
        <v>-120.4644412191582</v>
      </c>
      <c r="AT117">
        <f t="shared" si="104"/>
        <v>-85717.395231649658</v>
      </c>
      <c r="AU117">
        <f t="shared" si="105"/>
        <v>-444063.22999461868</v>
      </c>
      <c r="AV117">
        <f t="shared" si="93"/>
        <v>-1.7614807867461795</v>
      </c>
      <c r="AW117">
        <f t="shared" si="94"/>
        <v>-346432.49026518222</v>
      </c>
      <c r="AX117">
        <f t="shared" si="95"/>
        <v>-133524.29424462171</v>
      </c>
      <c r="AY117">
        <f t="shared" si="103"/>
        <v>-2.7737123411455231</v>
      </c>
      <c r="BA117">
        <f t="shared" si="80"/>
        <v>1.2181323202890839</v>
      </c>
      <c r="BB117">
        <f t="shared" si="96"/>
        <v>1.7138893266948272</v>
      </c>
      <c r="BC117">
        <f t="shared" si="97"/>
        <v>1.0122315543993436</v>
      </c>
      <c r="BD117">
        <f t="shared" si="81"/>
        <v>-122.00340397667983</v>
      </c>
      <c r="BF117">
        <f t="shared" si="82"/>
        <v>-0.18299360871770726</v>
      </c>
      <c r="BG117">
        <f t="shared" si="83"/>
        <v>-116.3024562790559</v>
      </c>
      <c r="BH117">
        <f t="shared" si="98"/>
        <v>63.697543720944097</v>
      </c>
      <c r="BI117">
        <f t="shared" si="99"/>
        <v>63.697543720944097</v>
      </c>
      <c r="BJ117">
        <f t="shared" si="84"/>
        <v>0</v>
      </c>
      <c r="BK117">
        <f t="shared" si="100"/>
        <v>0</v>
      </c>
      <c r="BM117">
        <f t="shared" si="101"/>
        <v>-1.8968829354125343</v>
      </c>
      <c r="BN117">
        <f t="shared" si="85"/>
        <v>-174.29905230237608</v>
      </c>
      <c r="BQ117" s="56">
        <f t="shared" si="102"/>
        <v>18.615850126979964</v>
      </c>
      <c r="BR117" s="59"/>
      <c r="BS117" s="59"/>
      <c r="BT117" s="59">
        <v>1174.8979999999999</v>
      </c>
      <c r="BU117" s="59">
        <v>13.6038</v>
      </c>
      <c r="BV117" s="59">
        <v>-260.19870000000003</v>
      </c>
      <c r="BW117" s="61"/>
      <c r="BY117" s="59"/>
      <c r="BZ117" s="59"/>
      <c r="CA117" s="59"/>
      <c r="CC117" s="59"/>
    </row>
    <row r="118" spans="1:81" x14ac:dyDescent="0.2">
      <c r="A118">
        <f t="shared" si="106"/>
        <v>42000</v>
      </c>
      <c r="B118">
        <f t="shared" si="86"/>
        <v>42</v>
      </c>
      <c r="C118">
        <f t="shared" si="55"/>
        <v>1.0000513428084388</v>
      </c>
      <c r="D118">
        <f t="shared" si="56"/>
        <v>1.0133174408678548E-2</v>
      </c>
      <c r="F118">
        <f t="shared" si="57"/>
        <v>5.2254997859198606E-2</v>
      </c>
      <c r="G118">
        <f t="shared" si="58"/>
        <v>8.8315052510206424E-2</v>
      </c>
      <c r="H118">
        <f t="shared" si="59"/>
        <v>-3.0532775974897937</v>
      </c>
      <c r="J118">
        <f t="shared" si="60"/>
        <v>15</v>
      </c>
      <c r="M118">
        <f t="shared" si="61"/>
        <v>5.3732111214337165E-3</v>
      </c>
      <c r="N118">
        <f t="shared" si="62"/>
        <v>-1.5707963250000001</v>
      </c>
      <c r="O118">
        <f t="shared" si="63"/>
        <v>39.430496886777092</v>
      </c>
      <c r="P118">
        <f t="shared" si="64"/>
        <v>1.545432527010441</v>
      </c>
      <c r="Q118">
        <f t="shared" si="65"/>
        <v>5.9503558685452642</v>
      </c>
      <c r="R118">
        <f t="shared" si="66"/>
        <v>1.4019378457217522</v>
      </c>
      <c r="S118">
        <f t="shared" si="67"/>
        <v>0.98656090254802198</v>
      </c>
      <c r="T118">
        <f t="shared" si="68"/>
        <v>-0.1641298714656621</v>
      </c>
      <c r="U118">
        <f t="shared" si="69"/>
        <v>0.98399533249785431</v>
      </c>
      <c r="V118">
        <f t="shared" si="70"/>
        <v>-0.17915101011316831</v>
      </c>
      <c r="X118">
        <f t="shared" si="87"/>
        <v>-0.36065151324130218</v>
      </c>
      <c r="Y118">
        <f t="shared" si="71"/>
        <v>-115.15599460260879</v>
      </c>
      <c r="Z118">
        <f t="shared" si="88"/>
        <v>64.844005397391214</v>
      </c>
      <c r="AC118">
        <v>1</v>
      </c>
      <c r="AD118">
        <f t="shared" si="72"/>
        <v>39.417814306962001</v>
      </c>
      <c r="AE118">
        <f t="shared" si="73"/>
        <v>-1.8723809014719482E-3</v>
      </c>
      <c r="AF118">
        <f t="shared" si="74"/>
        <v>1.0339358402268E-2</v>
      </c>
      <c r="AG118">
        <f t="shared" si="89"/>
        <v>3674.3895857156226</v>
      </c>
      <c r="AH118">
        <f t="shared" si="90"/>
        <v>-762.12242368277543</v>
      </c>
      <c r="AJ118">
        <f t="shared" si="75"/>
        <v>18000</v>
      </c>
      <c r="AK118">
        <f t="shared" si="76"/>
        <v>2981.1552832756802</v>
      </c>
      <c r="AL118">
        <v>1</v>
      </c>
      <c r="AM118">
        <f t="shared" si="77"/>
        <v>5.8657254421197607</v>
      </c>
      <c r="AN118">
        <f t="shared" si="91"/>
        <v>1002.2567296807753</v>
      </c>
      <c r="AO118">
        <f t="shared" si="92"/>
        <v>-2897.8075155485908</v>
      </c>
      <c r="AQ118">
        <f t="shared" si="78"/>
        <v>1.4170327334561428</v>
      </c>
      <c r="AR118">
        <f t="shared" si="79"/>
        <v>-119.03074961031599</v>
      </c>
      <c r="AT118">
        <f t="shared" si="104"/>
        <v>-85509.273067362199</v>
      </c>
      <c r="AU118">
        <f t="shared" si="105"/>
        <v>-438445.29916932841</v>
      </c>
      <c r="AV118">
        <f t="shared" si="93"/>
        <v>-1.7634069371342105</v>
      </c>
      <c r="AW118">
        <f t="shared" si="94"/>
        <v>-338391.11210935481</v>
      </c>
      <c r="AX118">
        <f t="shared" si="95"/>
        <v>-130473.19337736536</v>
      </c>
      <c r="AY118">
        <f t="shared" si="103"/>
        <v>-2.7735881766806787</v>
      </c>
      <c r="BA118">
        <f t="shared" si="80"/>
        <v>1.23170373873808</v>
      </c>
      <c r="BB118">
        <f t="shared" si="96"/>
        <v>1.8101251938434249</v>
      </c>
      <c r="BC118">
        <f t="shared" si="97"/>
        <v>1.0101812395464682</v>
      </c>
      <c r="BD118">
        <f t="shared" si="81"/>
        <v>-122.12087836455683</v>
      </c>
      <c r="BF118">
        <f t="shared" si="82"/>
        <v>-0.30504699286371567</v>
      </c>
      <c r="BG118">
        <f t="shared" si="83"/>
        <v>-116.4802104551131</v>
      </c>
      <c r="BH118">
        <f t="shared" si="98"/>
        <v>63.519789544886905</v>
      </c>
      <c r="BI118">
        <f t="shared" si="99"/>
        <v>63.519789544886905</v>
      </c>
      <c r="BJ118">
        <f t="shared" si="84"/>
        <v>0</v>
      </c>
      <c r="BK118">
        <f t="shared" si="100"/>
        <v>0</v>
      </c>
      <c r="BM118">
        <f t="shared" si="101"/>
        <v>-2.1151721867071411</v>
      </c>
      <c r="BN118">
        <f t="shared" si="85"/>
        <v>-174.35933209055628</v>
      </c>
      <c r="BQ118" s="56">
        <f t="shared" si="102"/>
        <v>18.712085994128561</v>
      </c>
      <c r="BR118" s="59"/>
      <c r="BS118" s="59"/>
      <c r="BT118" s="59">
        <v>1202.2639999999999</v>
      </c>
      <c r="BU118" s="59">
        <v>13.412800000000001</v>
      </c>
      <c r="BV118" s="59">
        <v>-259.34100000000001</v>
      </c>
      <c r="BW118" s="61"/>
      <c r="BY118" s="59"/>
      <c r="BZ118" s="59"/>
      <c r="CA118" s="59"/>
      <c r="CC118" s="59"/>
    </row>
    <row r="119" spans="1:81" x14ac:dyDescent="0.2">
      <c r="A119">
        <f t="shared" si="106"/>
        <v>42500</v>
      </c>
      <c r="B119">
        <f t="shared" si="86"/>
        <v>42.5</v>
      </c>
      <c r="C119">
        <f t="shared" si="55"/>
        <v>1.0000525725004108</v>
      </c>
      <c r="D119">
        <f t="shared" si="56"/>
        <v>1.0253799031660555E-2</v>
      </c>
      <c r="F119">
        <f t="shared" si="57"/>
        <v>5.0974668463421642E-2</v>
      </c>
      <c r="G119">
        <f t="shared" si="58"/>
        <v>8.7173893563215157E-2</v>
      </c>
      <c r="H119">
        <f t="shared" si="59"/>
        <v>-3.0544187564367848</v>
      </c>
      <c r="J119">
        <f t="shared" si="60"/>
        <v>15</v>
      </c>
      <c r="M119">
        <f t="shared" si="61"/>
        <v>5.3099968729462613E-3</v>
      </c>
      <c r="N119">
        <f t="shared" si="62"/>
        <v>-1.5707963250000001</v>
      </c>
      <c r="O119">
        <f t="shared" si="63"/>
        <v>39.899607421234478</v>
      </c>
      <c r="P119">
        <f t="shared" si="64"/>
        <v>1.5457307989423232</v>
      </c>
      <c r="Q119">
        <f t="shared" si="65"/>
        <v>6.0192041978631057</v>
      </c>
      <c r="R119">
        <f t="shared" si="66"/>
        <v>1.403887513899875</v>
      </c>
      <c r="S119">
        <f t="shared" si="67"/>
        <v>0.98624563025448608</v>
      </c>
      <c r="T119">
        <f t="shared" si="68"/>
        <v>-0.16604828427627505</v>
      </c>
      <c r="U119">
        <f t="shared" si="69"/>
        <v>0.98362136759602914</v>
      </c>
      <c r="V119">
        <f t="shared" si="70"/>
        <v>-0.1812376266008876</v>
      </c>
      <c r="X119">
        <f t="shared" si="87"/>
        <v>-0.48232977112954106</v>
      </c>
      <c r="Y119">
        <f t="shared" si="71"/>
        <v>-115.3151407071238</v>
      </c>
      <c r="Z119">
        <f t="shared" si="88"/>
        <v>64.684859292876197</v>
      </c>
      <c r="AC119">
        <v>1</v>
      </c>
      <c r="AD119">
        <f t="shared" si="72"/>
        <v>39.8870740010925</v>
      </c>
      <c r="AE119">
        <f t="shared" si="73"/>
        <v>-1.9172267592311263E-3</v>
      </c>
      <c r="AF119">
        <f t="shared" si="74"/>
        <v>1.0462446002295E-2</v>
      </c>
      <c r="AG119">
        <f t="shared" si="89"/>
        <v>3671.5972317580249</v>
      </c>
      <c r="AH119">
        <f t="shared" si="90"/>
        <v>-768.39435635624272</v>
      </c>
      <c r="AJ119">
        <f t="shared" si="75"/>
        <v>18000</v>
      </c>
      <c r="AK119">
        <f t="shared" si="76"/>
        <v>3016.6452271242001</v>
      </c>
      <c r="AL119">
        <v>1</v>
      </c>
      <c r="AM119">
        <f t="shared" si="77"/>
        <v>5.9355555069069004</v>
      </c>
      <c r="AN119">
        <f t="shared" si="91"/>
        <v>991.01996607488445</v>
      </c>
      <c r="AO119">
        <f t="shared" si="92"/>
        <v>-2865.6087899662703</v>
      </c>
      <c r="AQ119">
        <f t="shared" si="78"/>
        <v>1.3838915029061722</v>
      </c>
      <c r="AR119">
        <f t="shared" si="79"/>
        <v>-117.63077774702464</v>
      </c>
      <c r="AT119">
        <f t="shared" si="104"/>
        <v>-85305.733543485476</v>
      </c>
      <c r="AU119">
        <f t="shared" si="105"/>
        <v>-432956.21236616158</v>
      </c>
      <c r="AV119">
        <f t="shared" si="93"/>
        <v>-1.7653353180985987</v>
      </c>
      <c r="AW119">
        <f t="shared" si="94"/>
        <v>-330620.69224018248</v>
      </c>
      <c r="AX119">
        <f t="shared" si="95"/>
        <v>-127543.33017591291</v>
      </c>
      <c r="AY119">
        <f t="shared" si="103"/>
        <v>-2.7734139484566032</v>
      </c>
      <c r="BA119">
        <f t="shared" si="80"/>
        <v>1.2452562313069053</v>
      </c>
      <c r="BB119">
        <f t="shared" si="96"/>
        <v>1.905174472700875</v>
      </c>
      <c r="BC119">
        <f t="shared" si="97"/>
        <v>1.0080786303580045</v>
      </c>
      <c r="BD119">
        <f t="shared" si="81"/>
        <v>-122.24134899715887</v>
      </c>
      <c r="BF119">
        <f t="shared" si="82"/>
        <v>-0.4254555226366189</v>
      </c>
      <c r="BG119">
        <f t="shared" si="83"/>
        <v>-116.65915339739593</v>
      </c>
      <c r="BH119">
        <f t="shared" si="98"/>
        <v>63.340846602604074</v>
      </c>
      <c r="BI119">
        <f t="shared" si="99"/>
        <v>63.340846602604074</v>
      </c>
      <c r="BJ119">
        <f t="shared" si="84"/>
        <v>0</v>
      </c>
      <c r="BK119">
        <f t="shared" si="100"/>
        <v>0</v>
      </c>
      <c r="BM119">
        <f t="shared" si="101"/>
        <v>-2.3306299953374956</v>
      </c>
      <c r="BN119">
        <f t="shared" si="85"/>
        <v>-174.41780440023703</v>
      </c>
      <c r="BQ119" s="56">
        <f t="shared" si="102"/>
        <v>18.80713527298601</v>
      </c>
      <c r="BR119" s="59"/>
      <c r="BS119" s="59"/>
      <c r="BT119" s="59">
        <v>1230.269</v>
      </c>
      <c r="BU119" s="59">
        <v>13.1837</v>
      </c>
      <c r="BV119" s="59">
        <v>-259.55099999999999</v>
      </c>
      <c r="BW119" s="61"/>
      <c r="BY119" s="59"/>
      <c r="BZ119" s="59"/>
      <c r="CA119" s="59"/>
      <c r="CC119" s="59"/>
    </row>
    <row r="120" spans="1:81" x14ac:dyDescent="0.2">
      <c r="A120">
        <f t="shared" si="106"/>
        <v>43000</v>
      </c>
      <c r="B120">
        <f t="shared" si="86"/>
        <v>43</v>
      </c>
      <c r="C120">
        <f t="shared" si="55"/>
        <v>1.0000538167434114</v>
      </c>
      <c r="D120">
        <f t="shared" si="56"/>
        <v>1.0374423356241145E-2</v>
      </c>
      <c r="F120">
        <f t="shared" si="57"/>
        <v>4.9741490012033346E-2</v>
      </c>
      <c r="G120">
        <f t="shared" si="58"/>
        <v>8.6062986595388677E-2</v>
      </c>
      <c r="H120">
        <f t="shared" si="59"/>
        <v>-3.0555296634046116</v>
      </c>
      <c r="J120">
        <f t="shared" si="60"/>
        <v>15</v>
      </c>
      <c r="M120">
        <f t="shared" si="61"/>
        <v>5.2482527232608394E-3</v>
      </c>
      <c r="N120">
        <f t="shared" si="62"/>
        <v>-1.5707963250000001</v>
      </c>
      <c r="O120">
        <f t="shared" si="63"/>
        <v>40.36872142290602</v>
      </c>
      <c r="P120">
        <f t="shared" si="64"/>
        <v>1.5460221386246051</v>
      </c>
      <c r="Q120">
        <f t="shared" si="65"/>
        <v>6.0880748898737247</v>
      </c>
      <c r="R120">
        <f t="shared" si="66"/>
        <v>1.405793078362616</v>
      </c>
      <c r="S120">
        <f t="shared" si="67"/>
        <v>0.9859269343678948</v>
      </c>
      <c r="T120">
        <f t="shared" si="68"/>
        <v>-0.16796546430524653</v>
      </c>
      <c r="U120">
        <f t="shared" si="69"/>
        <v>0.98324341071303445</v>
      </c>
      <c r="V120">
        <f t="shared" si="70"/>
        <v>-0.18332264859459219</v>
      </c>
      <c r="X120">
        <f t="shared" si="87"/>
        <v>-0.60242165269141035</v>
      </c>
      <c r="Y120">
        <f t="shared" si="71"/>
        <v>-115.47531567244336</v>
      </c>
      <c r="Z120">
        <f t="shared" si="88"/>
        <v>64.524684327556642</v>
      </c>
      <c r="AC120">
        <v>1</v>
      </c>
      <c r="AD120">
        <f t="shared" si="72"/>
        <v>40.356333695223</v>
      </c>
      <c r="AE120">
        <f t="shared" si="73"/>
        <v>-1.9626033372004718E-3</v>
      </c>
      <c r="AF120">
        <f t="shared" si="74"/>
        <v>1.0585533602322001E-2</v>
      </c>
      <c r="AG120">
        <f t="shared" si="89"/>
        <v>3668.776148609847</v>
      </c>
      <c r="AH120">
        <f t="shared" si="90"/>
        <v>-774.67538442316993</v>
      </c>
      <c r="AJ120">
        <f t="shared" si="75"/>
        <v>18000</v>
      </c>
      <c r="AK120">
        <f t="shared" si="76"/>
        <v>3052.1351709727201</v>
      </c>
      <c r="AL120">
        <v>1</v>
      </c>
      <c r="AM120">
        <f t="shared" si="77"/>
        <v>6.005385571694041</v>
      </c>
      <c r="AN120">
        <f t="shared" si="91"/>
        <v>980.15879740592322</v>
      </c>
      <c r="AO120">
        <f t="shared" si="92"/>
        <v>-2834.0963289377942</v>
      </c>
      <c r="AQ120">
        <f t="shared" si="78"/>
        <v>1.35189941868325</v>
      </c>
      <c r="AR120">
        <f t="shared" si="79"/>
        <v>-116.2633500067595</v>
      </c>
      <c r="AT120">
        <f t="shared" si="104"/>
        <v>-85106.53901822734</v>
      </c>
      <c r="AU120">
        <f t="shared" si="105"/>
        <v>-427591.48866414768</v>
      </c>
      <c r="AV120">
        <f t="shared" si="93"/>
        <v>-1.7672657806033962</v>
      </c>
      <c r="AW120">
        <f t="shared" si="94"/>
        <v>-323109.32393242628</v>
      </c>
      <c r="AX120">
        <f t="shared" si="95"/>
        <v>-124728.325398709</v>
      </c>
      <c r="AY120">
        <f t="shared" si="103"/>
        <v>-2.7731913051753532</v>
      </c>
      <c r="BA120">
        <f t="shared" si="80"/>
        <v>1.25878933903663</v>
      </c>
      <c r="BB120">
        <f t="shared" si="96"/>
        <v>1.9990611224282053</v>
      </c>
      <c r="BC120">
        <f t="shared" si="97"/>
        <v>1.0059255245719569</v>
      </c>
      <c r="BD120">
        <f t="shared" si="81"/>
        <v>-122.36471287168555</v>
      </c>
      <c r="BF120">
        <f t="shared" si="82"/>
        <v>-0.54427045334714996</v>
      </c>
      <c r="BG120">
        <f t="shared" si="83"/>
        <v>-116.83925628797049</v>
      </c>
      <c r="BH120">
        <f t="shared" si="98"/>
        <v>63.160743712029515</v>
      </c>
      <c r="BI120">
        <f t="shared" si="99"/>
        <v>63.160743712029515</v>
      </c>
      <c r="BJ120">
        <f t="shared" si="84"/>
        <v>0</v>
      </c>
      <c r="BK120">
        <f t="shared" si="100"/>
        <v>0</v>
      </c>
      <c r="BM120">
        <f t="shared" si="101"/>
        <v>-2.5433315757753543</v>
      </c>
      <c r="BN120">
        <f t="shared" si="85"/>
        <v>-174.47454341628494</v>
      </c>
      <c r="BQ120" s="56">
        <f t="shared" si="102"/>
        <v>18.90102192271334</v>
      </c>
      <c r="BR120" s="59"/>
      <c r="BS120" s="59"/>
      <c r="BT120" s="59">
        <v>1258.925</v>
      </c>
      <c r="BU120" s="59">
        <v>13.0792</v>
      </c>
      <c r="BV120" s="59">
        <v>-259.27199999999999</v>
      </c>
      <c r="BW120" s="61"/>
      <c r="BY120" s="59"/>
      <c r="BZ120" s="59"/>
      <c r="CA120" s="59"/>
      <c r="CC120" s="59"/>
    </row>
    <row r="121" spans="1:81" x14ac:dyDescent="0.2">
      <c r="A121">
        <f t="shared" si="106"/>
        <v>43500</v>
      </c>
      <c r="B121">
        <f t="shared" si="86"/>
        <v>43.5</v>
      </c>
      <c r="C121">
        <f t="shared" si="55"/>
        <v>1.0000550755373863</v>
      </c>
      <c r="D121">
        <f t="shared" si="56"/>
        <v>1.0495047378911219E-2</v>
      </c>
      <c r="F121">
        <f t="shared" si="57"/>
        <v>4.8553145142291428E-2</v>
      </c>
      <c r="G121">
        <f t="shared" si="58"/>
        <v>8.4981108303025035E-2</v>
      </c>
      <c r="H121">
        <f t="shared" si="59"/>
        <v>-3.056611541696975</v>
      </c>
      <c r="J121">
        <f t="shared" si="60"/>
        <v>15</v>
      </c>
      <c r="M121">
        <f t="shared" si="61"/>
        <v>5.1879279793153122E-3</v>
      </c>
      <c r="N121">
        <f t="shared" si="62"/>
        <v>-1.5707963250000001</v>
      </c>
      <c r="O121">
        <f t="shared" si="63"/>
        <v>40.837838772305574</v>
      </c>
      <c r="P121">
        <f t="shared" si="64"/>
        <v>1.5463067849058794</v>
      </c>
      <c r="Q121">
        <f t="shared" si="65"/>
        <v>6.1569671941423758</v>
      </c>
      <c r="R121">
        <f t="shared" si="66"/>
        <v>1.4076560055058982</v>
      </c>
      <c r="S121">
        <f t="shared" si="67"/>
        <v>0.98560482523095005</v>
      </c>
      <c r="T121">
        <f t="shared" si="68"/>
        <v>-0.16988139866066607</v>
      </c>
      <c r="U121">
        <f t="shared" si="69"/>
        <v>0.98286147630164655</v>
      </c>
      <c r="V121">
        <f t="shared" si="70"/>
        <v>-0.18540605981365615</v>
      </c>
      <c r="X121">
        <f t="shared" si="87"/>
        <v>-0.72097585559326649</v>
      </c>
      <c r="Y121">
        <f t="shared" si="71"/>
        <v>-115.63649021413057</v>
      </c>
      <c r="Z121">
        <f t="shared" si="88"/>
        <v>64.363509785869425</v>
      </c>
      <c r="AC121">
        <v>1</v>
      </c>
      <c r="AD121">
        <f t="shared" si="72"/>
        <v>40.8255933893535</v>
      </c>
      <c r="AE121">
        <f t="shared" si="73"/>
        <v>-2.0085106353799845E-3</v>
      </c>
      <c r="AF121">
        <f t="shared" si="74"/>
        <v>1.0708621202349E-2</v>
      </c>
      <c r="AG121">
        <f t="shared" si="89"/>
        <v>3665.926478438786</v>
      </c>
      <c r="AH121">
        <f t="shared" si="90"/>
        <v>-780.9644362647648</v>
      </c>
      <c r="AJ121">
        <f t="shared" si="75"/>
        <v>18000</v>
      </c>
      <c r="AK121">
        <f t="shared" si="76"/>
        <v>3087.62511482124</v>
      </c>
      <c r="AL121">
        <v>1</v>
      </c>
      <c r="AM121">
        <f t="shared" si="77"/>
        <v>6.0752156364811807</v>
      </c>
      <c r="AN121">
        <f t="shared" si="91"/>
        <v>969.6568213144958</v>
      </c>
      <c r="AO121">
        <f t="shared" si="92"/>
        <v>-2803.2491680492235</v>
      </c>
      <c r="AQ121">
        <f t="shared" si="78"/>
        <v>1.321003963011889</v>
      </c>
      <c r="AR121">
        <f t="shared" si="79"/>
        <v>-114.92734478203434</v>
      </c>
      <c r="AT121">
        <f t="shared" si="104"/>
        <v>-84911.465622979857</v>
      </c>
      <c r="AU121">
        <f t="shared" si="105"/>
        <v>-422346.85344840039</v>
      </c>
      <c r="AV121">
        <f t="shared" si="93"/>
        <v>-1.7691981817825393</v>
      </c>
      <c r="AW121">
        <f t="shared" si="94"/>
        <v>-315845.74049196392</v>
      </c>
      <c r="AX121">
        <f t="shared" si="95"/>
        <v>-122022.20785666665</v>
      </c>
      <c r="AY121">
        <f t="shared" si="103"/>
        <v>-2.7729218231172355</v>
      </c>
      <c r="BA121">
        <f t="shared" si="80"/>
        <v>1.2723026107094664</v>
      </c>
      <c r="BB121">
        <f t="shared" si="96"/>
        <v>2.0918083666724341</v>
      </c>
      <c r="BC121">
        <f t="shared" si="97"/>
        <v>1.0037236413346962</v>
      </c>
      <c r="BD121">
        <f t="shared" si="81"/>
        <v>-122.49087148830537</v>
      </c>
      <c r="BF121">
        <f t="shared" si="82"/>
        <v>-0.66154073364898081</v>
      </c>
      <c r="BG121">
        <f t="shared" si="83"/>
        <v>-117.02049071734561</v>
      </c>
      <c r="BH121">
        <f t="shared" si="98"/>
        <v>62.979509282654391</v>
      </c>
      <c r="BI121">
        <f t="shared" si="99"/>
        <v>62.979509282654391</v>
      </c>
      <c r="BJ121">
        <f t="shared" si="84"/>
        <v>0</v>
      </c>
      <c r="BK121">
        <f t="shared" si="100"/>
        <v>0</v>
      </c>
      <c r="BM121">
        <f t="shared" si="101"/>
        <v>-2.7533491003214152</v>
      </c>
      <c r="BN121">
        <f t="shared" si="85"/>
        <v>-174.52961922904024</v>
      </c>
      <c r="BQ121" s="56">
        <f t="shared" si="102"/>
        <v>18.99376916695757</v>
      </c>
      <c r="BR121" s="59"/>
      <c r="BS121" s="59"/>
      <c r="BT121" s="59">
        <v>1288.25</v>
      </c>
      <c r="BU121" s="59">
        <v>12.807</v>
      </c>
      <c r="BV121" s="59">
        <v>-258.86099999999999</v>
      </c>
      <c r="BW121" s="61"/>
      <c r="BY121" s="59"/>
      <c r="BZ121" s="59"/>
      <c r="CA121" s="59"/>
      <c r="CC121" s="59"/>
    </row>
    <row r="122" spans="1:81" x14ac:dyDescent="0.2">
      <c r="A122">
        <f t="shared" si="106"/>
        <v>44000</v>
      </c>
      <c r="B122">
        <f t="shared" si="86"/>
        <v>44</v>
      </c>
      <c r="C122">
        <f t="shared" si="55"/>
        <v>1.0000563488822809</v>
      </c>
      <c r="D122">
        <f t="shared" si="56"/>
        <v>1.0615671096161723E-2</v>
      </c>
      <c r="F122">
        <f t="shared" si="57"/>
        <v>4.7407458813223988E-2</v>
      </c>
      <c r="G122">
        <f t="shared" si="58"/>
        <v>8.3927101906718524E-2</v>
      </c>
      <c r="H122">
        <f t="shared" si="59"/>
        <v>-3.0576655480932815</v>
      </c>
      <c r="J122">
        <f t="shared" si="60"/>
        <v>15</v>
      </c>
      <c r="M122">
        <f t="shared" si="61"/>
        <v>5.1289742522776386E-3</v>
      </c>
      <c r="N122">
        <f t="shared" si="62"/>
        <v>-1.5707963250000001</v>
      </c>
      <c r="O122">
        <f t="shared" si="63"/>
        <v>41.306959355374104</v>
      </c>
      <c r="P122">
        <f t="shared" si="64"/>
        <v>1.5465849657888389</v>
      </c>
      <c r="Q122">
        <f t="shared" si="65"/>
        <v>6.2258803932196018</v>
      </c>
      <c r="R122">
        <f t="shared" si="66"/>
        <v>1.4094776980150951</v>
      </c>
      <c r="S122">
        <f t="shared" si="67"/>
        <v>0.98527931327880214</v>
      </c>
      <c r="T122">
        <f t="shared" si="68"/>
        <v>-0.17179607450395112</v>
      </c>
      <c r="U122">
        <f t="shared" si="69"/>
        <v>0.98247557893623161</v>
      </c>
      <c r="V122">
        <f t="shared" si="70"/>
        <v>-0.18748784405853186</v>
      </c>
      <c r="X122">
        <f t="shared" si="87"/>
        <v>-0.83803890607567488</v>
      </c>
      <c r="Y122">
        <f t="shared" si="71"/>
        <v>-115.79863551565803</v>
      </c>
      <c r="Z122">
        <f t="shared" si="88"/>
        <v>64.201364484341966</v>
      </c>
      <c r="AC122">
        <v>1</v>
      </c>
      <c r="AD122">
        <f t="shared" si="72"/>
        <v>41.294853083484</v>
      </c>
      <c r="AE122">
        <f t="shared" si="73"/>
        <v>-2.054948653769666E-3</v>
      </c>
      <c r="AF122">
        <f t="shared" si="74"/>
        <v>1.0831708802376E-2</v>
      </c>
      <c r="AG122">
        <f t="shared" si="89"/>
        <v>3663.0483645127192</v>
      </c>
      <c r="AH122">
        <f t="shared" si="90"/>
        <v>-787.26048317307607</v>
      </c>
      <c r="AJ122">
        <f t="shared" si="75"/>
        <v>18000</v>
      </c>
      <c r="AK122">
        <f t="shared" si="76"/>
        <v>3123.1150586697599</v>
      </c>
      <c r="AL122">
        <v>1</v>
      </c>
      <c r="AM122">
        <f t="shared" si="77"/>
        <v>6.1450457012683204</v>
      </c>
      <c r="AN122">
        <f t="shared" si="91"/>
        <v>959.49851284031786</v>
      </c>
      <c r="AO122">
        <f t="shared" si="92"/>
        <v>-2773.0471530329824</v>
      </c>
      <c r="AQ122">
        <f t="shared" si="78"/>
        <v>1.2911555842479019</v>
      </c>
      <c r="AR122">
        <f t="shared" si="79"/>
        <v>-113.62169141381537</v>
      </c>
      <c r="AT122">
        <f t="shared" si="104"/>
        <v>-84720.302330171704</v>
      </c>
      <c r="AU122">
        <f t="shared" si="105"/>
        <v>-417218.22667565185</v>
      </c>
      <c r="AV122">
        <f t="shared" si="93"/>
        <v>-1.7711323845951954</v>
      </c>
      <c r="AW122">
        <f t="shared" si="94"/>
        <v>-308819.2748678932</v>
      </c>
      <c r="AX122">
        <f t="shared" si="95"/>
        <v>-119419.38402564744</v>
      </c>
      <c r="AY122">
        <f t="shared" si="103"/>
        <v>-2.772607010069716</v>
      </c>
      <c r="BA122">
        <f t="shared" si="80"/>
        <v>1.2857956024474275</v>
      </c>
      <c r="BB122">
        <f t="shared" si="96"/>
        <v>2.1834387219286091</v>
      </c>
      <c r="BC122">
        <f t="shared" si="97"/>
        <v>1.0014746254745206</v>
      </c>
      <c r="BD122">
        <f t="shared" si="81"/>
        <v>-122.61973060529866</v>
      </c>
      <c r="BF122">
        <f t="shared" si="82"/>
        <v>-0.7773131423316092</v>
      </c>
      <c r="BG122">
        <f t="shared" si="83"/>
        <v>-117.20282872258051</v>
      </c>
      <c r="BH122">
        <f t="shared" si="98"/>
        <v>62.797171277419494</v>
      </c>
      <c r="BI122">
        <f t="shared" si="99"/>
        <v>62.797171277419494</v>
      </c>
      <c r="BJ122">
        <f t="shared" si="84"/>
        <v>0</v>
      </c>
      <c r="BK122">
        <f t="shared" si="100"/>
        <v>0</v>
      </c>
      <c r="BM122">
        <f t="shared" si="101"/>
        <v>-2.9607518642602173</v>
      </c>
      <c r="BN122">
        <f t="shared" si="85"/>
        <v>-174.58309811728188</v>
      </c>
      <c r="BQ122" s="56">
        <f t="shared" si="102"/>
        <v>19.085399522213745</v>
      </c>
      <c r="BR122" s="59"/>
      <c r="BS122" s="59"/>
      <c r="BT122" s="59">
        <v>1318.2570000000001</v>
      </c>
      <c r="BU122" s="59">
        <v>12.682600000000001</v>
      </c>
      <c r="BV122" s="59">
        <v>-258.68299999999999</v>
      </c>
      <c r="BW122" s="61"/>
      <c r="BY122" s="59"/>
      <c r="BZ122" s="59"/>
      <c r="CA122" s="59"/>
      <c r="CC122" s="59"/>
    </row>
    <row r="123" spans="1:81" x14ac:dyDescent="0.2">
      <c r="A123">
        <f t="shared" si="106"/>
        <v>44500</v>
      </c>
      <c r="B123">
        <f t="shared" si="86"/>
        <v>44.5</v>
      </c>
      <c r="C123">
        <f t="shared" si="55"/>
        <v>1.0000576367780392</v>
      </c>
      <c r="D123">
        <f t="shared" si="56"/>
        <v>1.0736294504483664E-2</v>
      </c>
      <c r="F123">
        <f t="shared" si="57"/>
        <v>4.6302387833188893E-2</v>
      </c>
      <c r="G123">
        <f t="shared" si="58"/>
        <v>8.2899872620851023E-2</v>
      </c>
      <c r="H123">
        <f t="shared" si="59"/>
        <v>-3.0586927773791492</v>
      </c>
      <c r="J123">
        <f t="shared" si="60"/>
        <v>15</v>
      </c>
      <c r="M123">
        <f t="shared" si="61"/>
        <v>5.0713453280947438E-3</v>
      </c>
      <c r="N123">
        <f t="shared" si="62"/>
        <v>-1.5707963250000001</v>
      </c>
      <c r="O123">
        <f t="shared" si="63"/>
        <v>41.776083063175065</v>
      </c>
      <c r="P123">
        <f t="shared" si="64"/>
        <v>1.5468568990388794</v>
      </c>
      <c r="Q123">
        <f t="shared" si="65"/>
        <v>6.2948138008604708</v>
      </c>
      <c r="R123">
        <f t="shared" si="66"/>
        <v>1.4112594982562214</v>
      </c>
      <c r="S123">
        <f t="shared" si="67"/>
        <v>0.98495040903814757</v>
      </c>
      <c r="T123">
        <f t="shared" si="68"/>
        <v>-0.17370947905028897</v>
      </c>
      <c r="U123">
        <f t="shared" si="69"/>
        <v>0.98208573331127491</v>
      </c>
      <c r="V123">
        <f t="shared" si="70"/>
        <v>-0.18956798521137014</v>
      </c>
      <c r="X123">
        <f t="shared" si="87"/>
        <v>-0.95365528585281156</v>
      </c>
      <c r="Y123">
        <f t="shared" si="71"/>
        <v>-115.96172325887643</v>
      </c>
      <c r="Z123">
        <f t="shared" si="88"/>
        <v>64.038276741123568</v>
      </c>
      <c r="AC123">
        <v>1</v>
      </c>
      <c r="AD123">
        <f t="shared" si="72"/>
        <v>41.7641127776145</v>
      </c>
      <c r="AE123">
        <f t="shared" si="73"/>
        <v>-2.1019173923695149E-3</v>
      </c>
      <c r="AF123">
        <f t="shared" si="74"/>
        <v>1.0954796402403001E-2</v>
      </c>
      <c r="AG123">
        <f t="shared" si="89"/>
        <v>3660.1419511825975</v>
      </c>
      <c r="AH123">
        <f t="shared" si="90"/>
        <v>-793.56253702944798</v>
      </c>
      <c r="AJ123">
        <f t="shared" si="75"/>
        <v>18000</v>
      </c>
      <c r="AK123">
        <f t="shared" si="76"/>
        <v>3158.6050025182799</v>
      </c>
      <c r="AL123">
        <v>1</v>
      </c>
      <c r="AM123">
        <f t="shared" si="77"/>
        <v>6.2148757660554601</v>
      </c>
      <c r="AN123">
        <f t="shared" si="91"/>
        <v>949.6691692355538</v>
      </c>
      <c r="AO123">
        <f t="shared" si="92"/>
        <v>-2743.4709031337848</v>
      </c>
      <c r="AQ123">
        <f t="shared" si="78"/>
        <v>1.2623074981065388</v>
      </c>
      <c r="AR123">
        <f t="shared" si="79"/>
        <v>-112.34536733148195</v>
      </c>
      <c r="AT123">
        <f t="shared" si="104"/>
        <v>-84532.850093963993</v>
      </c>
      <c r="AU123">
        <f t="shared" si="105"/>
        <v>-412201.71193168469</v>
      </c>
      <c r="AV123">
        <f t="shared" si="93"/>
        <v>-1.7730682575043211</v>
      </c>
      <c r="AW123">
        <f t="shared" si="94"/>
        <v>-302019.82217188849</v>
      </c>
      <c r="AX123">
        <f t="shared" si="95"/>
        <v>-116914.61022405617</v>
      </c>
      <c r="AY123">
        <f t="shared" si="103"/>
        <v>-2.7722483090067547</v>
      </c>
      <c r="BA123">
        <f t="shared" si="80"/>
        <v>1.2992678773382096</v>
      </c>
      <c r="BB123">
        <f t="shared" si="96"/>
        <v>2.2739740246321434</v>
      </c>
      <c r="BC123">
        <f t="shared" si="97"/>
        <v>0.99918005150243361</v>
      </c>
      <c r="BD123">
        <f t="shared" si="81"/>
        <v>-122.75120000983003</v>
      </c>
      <c r="BF123">
        <f t="shared" si="82"/>
        <v>-0.89163241517631531</v>
      </c>
      <c r="BG123">
        <f t="shared" si="83"/>
        <v>-117.38624281763639</v>
      </c>
      <c r="BH123">
        <f t="shared" si="98"/>
        <v>62.613757182363614</v>
      </c>
      <c r="BI123">
        <f t="shared" si="99"/>
        <v>62.613757182363614</v>
      </c>
      <c r="BJ123">
        <f t="shared" si="84"/>
        <v>0</v>
      </c>
      <c r="BK123">
        <f t="shared" si="100"/>
        <v>0</v>
      </c>
      <c r="BM123">
        <f t="shared" si="101"/>
        <v>-3.1656064398084571</v>
      </c>
      <c r="BN123">
        <f t="shared" si="85"/>
        <v>-174.63504280780634</v>
      </c>
      <c r="BQ123" s="56">
        <f t="shared" si="102"/>
        <v>19.175934824917281</v>
      </c>
      <c r="BR123" s="59"/>
      <c r="BS123" s="59"/>
      <c r="BT123" s="59">
        <v>1348.963</v>
      </c>
      <c r="BU123" s="59">
        <v>12.475899999999999</v>
      </c>
      <c r="BV123" s="59">
        <v>-258.79700000000003</v>
      </c>
      <c r="BW123" s="61"/>
      <c r="BY123" s="59"/>
      <c r="BZ123" s="59"/>
      <c r="CA123" s="59"/>
      <c r="CC123" s="59"/>
    </row>
    <row r="124" spans="1:81" x14ac:dyDescent="0.2">
      <c r="A124">
        <f t="shared" si="106"/>
        <v>45000</v>
      </c>
      <c r="B124">
        <f t="shared" si="86"/>
        <v>45</v>
      </c>
      <c r="C124">
        <f t="shared" si="55"/>
        <v>1.0000589392246051</v>
      </c>
      <c r="D124">
        <f t="shared" si="56"/>
        <v>1.0856917600368098E-2</v>
      </c>
      <c r="F124">
        <f t="shared" si="57"/>
        <v>4.5236011283946283E-2</v>
      </c>
      <c r="G124">
        <f t="shared" si="58"/>
        <v>8.1898383492162191E-2</v>
      </c>
      <c r="H124">
        <f t="shared" si="59"/>
        <v>-3.0596942665078379</v>
      </c>
      <c r="J124">
        <f t="shared" si="60"/>
        <v>15</v>
      </c>
      <c r="M124">
        <f t="shared" si="61"/>
        <v>5.0149970466714681E-3</v>
      </c>
      <c r="N124">
        <f t="shared" si="62"/>
        <v>-1.5707963250000001</v>
      </c>
      <c r="O124">
        <f t="shared" si="63"/>
        <v>42.24520979161008</v>
      </c>
      <c r="P124">
        <f t="shared" si="64"/>
        <v>1.5471227927521816</v>
      </c>
      <c r="Q124">
        <f t="shared" si="65"/>
        <v>6.3637667603571852</v>
      </c>
      <c r="R124">
        <f t="shared" si="66"/>
        <v>1.4130026914548399</v>
      </c>
      <c r="S124">
        <f t="shared" si="67"/>
        <v>0.98461812312632258</v>
      </c>
      <c r="T124">
        <f t="shared" si="68"/>
        <v>-0.17562159956907336</v>
      </c>
      <c r="U124">
        <f t="shared" si="69"/>
        <v>0.98169195423990407</v>
      </c>
      <c r="V124">
        <f t="shared" si="70"/>
        <v>-0.19164646723663067</v>
      </c>
      <c r="X124">
        <f t="shared" si="87"/>
        <v>-1.0678675499215722</v>
      </c>
      <c r="Y124">
        <f t="shared" si="71"/>
        <v>-116.12572564781986</v>
      </c>
      <c r="Z124">
        <f t="shared" si="88"/>
        <v>63.874274352180137</v>
      </c>
      <c r="AC124">
        <v>1</v>
      </c>
      <c r="AD124">
        <f t="shared" si="72"/>
        <v>42.233372471745</v>
      </c>
      <c r="AE124">
        <f t="shared" si="73"/>
        <v>-2.1494168511795322E-3</v>
      </c>
      <c r="AF124">
        <f t="shared" si="74"/>
        <v>1.107788400243E-2</v>
      </c>
      <c r="AG124">
        <f t="shared" si="89"/>
        <v>3657.20738386527</v>
      </c>
      <c r="AH124">
        <f t="shared" si="90"/>
        <v>-799.86964813808663</v>
      </c>
      <c r="AJ124">
        <f t="shared" si="75"/>
        <v>18000</v>
      </c>
      <c r="AK124">
        <f t="shared" si="76"/>
        <v>3194.0949463667998</v>
      </c>
      <c r="AL124">
        <v>1</v>
      </c>
      <c r="AM124">
        <f t="shared" si="77"/>
        <v>6.2847058308426007</v>
      </c>
      <c r="AN124">
        <f t="shared" si="91"/>
        <v>940.15485874542571</v>
      </c>
      <c r="AO124">
        <f t="shared" si="92"/>
        <v>-2714.5017762855791</v>
      </c>
      <c r="AQ124">
        <f t="shared" si="78"/>
        <v>1.2344155042587335</v>
      </c>
      <c r="AR124">
        <f t="shared" si="79"/>
        <v>-111.09739538328601</v>
      </c>
      <c r="AT124">
        <f t="shared" si="104"/>
        <v>-84348.921057354062</v>
      </c>
      <c r="AU124">
        <f t="shared" si="105"/>
        <v>-407293.58621900063</v>
      </c>
      <c r="AV124">
        <f t="shared" si="93"/>
        <v>-1.7750056741766347</v>
      </c>
      <c r="AW124">
        <f t="shared" si="94"/>
        <v>-295437.80487114307</v>
      </c>
      <c r="AX124">
        <f t="shared" si="95"/>
        <v>-114502.96711460325</v>
      </c>
      <c r="AY124">
        <f t="shared" si="103"/>
        <v>-2.771847101536697</v>
      </c>
      <c r="BA124">
        <f t="shared" si="80"/>
        <v>1.3127190050863142</v>
      </c>
      <c r="BB124">
        <f t="shared" si="96"/>
        <v>2.3634354570429621</v>
      </c>
      <c r="BC124">
        <f t="shared" si="97"/>
        <v>0.99684142736006232</v>
      </c>
      <c r="BD124">
        <f t="shared" si="81"/>
        <v>-122.88519330320841</v>
      </c>
      <c r="BF124">
        <f t="shared" si="82"/>
        <v>-1.0045413627215682</v>
      </c>
      <c r="BG124">
        <f t="shared" si="83"/>
        <v>-117.57070601706855</v>
      </c>
      <c r="BH124">
        <f t="shared" si="98"/>
        <v>62.429293982931455</v>
      </c>
      <c r="BI124">
        <f t="shared" si="99"/>
        <v>62.429293982931455</v>
      </c>
      <c r="BJ124">
        <f t="shared" si="84"/>
        <v>0</v>
      </c>
      <c r="BK124">
        <f t="shared" si="100"/>
        <v>0</v>
      </c>
      <c r="BM124">
        <f t="shared" si="101"/>
        <v>-3.3679768197645297</v>
      </c>
      <c r="BN124">
        <f t="shared" si="85"/>
        <v>-174.68551271386013</v>
      </c>
      <c r="BQ124" s="56">
        <f t="shared" si="102"/>
        <v>19.265396257328099</v>
      </c>
      <c r="BR124" s="59"/>
      <c r="BS124" s="59"/>
      <c r="BT124" s="59">
        <v>1380.384</v>
      </c>
      <c r="BU124" s="59">
        <v>12.2584</v>
      </c>
      <c r="BV124" s="59">
        <v>-258.41000000000003</v>
      </c>
      <c r="BW124" s="61"/>
      <c r="BY124" s="59"/>
      <c r="BZ124" s="59"/>
      <c r="CA124" s="59"/>
      <c r="CC124" s="59"/>
    </row>
    <row r="125" spans="1:81" x14ac:dyDescent="0.2">
      <c r="A125">
        <f t="shared" si="106"/>
        <v>45500</v>
      </c>
      <c r="B125">
        <f t="shared" si="86"/>
        <v>45.5</v>
      </c>
      <c r="C125">
        <f t="shared" si="55"/>
        <v>1.0000602562219221</v>
      </c>
      <c r="D125">
        <f t="shared" si="56"/>
        <v>1.0977540380306138E-2</v>
      </c>
      <c r="F125">
        <f t="shared" si="57"/>
        <v>4.4206521753878431E-2</v>
      </c>
      <c r="G125">
        <f t="shared" si="58"/>
        <v>8.092165157255482E-2</v>
      </c>
      <c r="H125">
        <f t="shared" si="59"/>
        <v>-3.0606709984274456</v>
      </c>
      <c r="J125">
        <f t="shared" si="60"/>
        <v>15</v>
      </c>
      <c r="M125">
        <f t="shared" si="61"/>
        <v>4.9598871890157385E-3</v>
      </c>
      <c r="N125">
        <f t="shared" si="62"/>
        <v>-1.5707963250000001</v>
      </c>
      <c r="O125">
        <f t="shared" si="63"/>
        <v>42.714339441153307</v>
      </c>
      <c r="P125">
        <f t="shared" si="64"/>
        <v>1.5473828458863872</v>
      </c>
      <c r="Q125">
        <f t="shared" si="65"/>
        <v>6.4327386429767897</v>
      </c>
      <c r="R125">
        <f t="shared" si="66"/>
        <v>1.414708508677875</v>
      </c>
      <c r="S125">
        <f t="shared" si="67"/>
        <v>0.98428246625039206</v>
      </c>
      <c r="T125">
        <f t="shared" si="68"/>
        <v>-0.17753242338433528</v>
      </c>
      <c r="U125">
        <f t="shared" si="69"/>
        <v>0.98129425665240522</v>
      </c>
      <c r="V125">
        <f t="shared" si="70"/>
        <v>-0.19372327418168267</v>
      </c>
      <c r="X125">
        <f t="shared" si="87"/>
        <v>-1.180716436044603</v>
      </c>
      <c r="Y125">
        <f t="shared" si="71"/>
        <v>-116.29061542679666</v>
      </c>
      <c r="Z125">
        <f t="shared" si="88"/>
        <v>63.709384573203337</v>
      </c>
      <c r="AC125">
        <v>1</v>
      </c>
      <c r="AD125">
        <f t="shared" si="72"/>
        <v>42.702632165875499</v>
      </c>
      <c r="AE125">
        <f t="shared" si="73"/>
        <v>-2.1974470301997164E-3</v>
      </c>
      <c r="AF125">
        <f t="shared" si="74"/>
        <v>1.1200971602457E-2</v>
      </c>
      <c r="AG125">
        <f t="shared" si="89"/>
        <v>3654.244809026241</v>
      </c>
      <c r="AH125">
        <f t="shared" si="90"/>
        <v>-806.18090320277724</v>
      </c>
      <c r="AJ125">
        <f t="shared" si="75"/>
        <v>18000</v>
      </c>
      <c r="AK125">
        <f t="shared" si="76"/>
        <v>3229.5848902153198</v>
      </c>
      <c r="AL125">
        <v>1</v>
      </c>
      <c r="AM125">
        <f t="shared" si="77"/>
        <v>6.3545358956297404</v>
      </c>
      <c r="AN125">
        <f t="shared" si="91"/>
        <v>930.94237303690466</v>
      </c>
      <c r="AO125">
        <f t="shared" si="92"/>
        <v>-2686.1218360104231</v>
      </c>
      <c r="AQ125">
        <f t="shared" si="78"/>
        <v>1.2074378169524269</v>
      </c>
      <c r="AR125">
        <f t="shared" si="79"/>
        <v>-109.87684134267086</v>
      </c>
      <c r="AT125">
        <f t="shared" si="104"/>
        <v>-84168.337819882261</v>
      </c>
      <c r="AU125">
        <f t="shared" si="105"/>
        <v>-402490.29041848669</v>
      </c>
      <c r="AV125">
        <f t="shared" si="93"/>
        <v>-1.7769445132023549</v>
      </c>
      <c r="AW125">
        <f t="shared" si="94"/>
        <v>-289064.14044184692</v>
      </c>
      <c r="AX125">
        <f t="shared" si="95"/>
        <v>-112179.83631412881</v>
      </c>
      <c r="AY125">
        <f t="shared" si="103"/>
        <v>-2.7714047111353866</v>
      </c>
      <c r="BA125">
        <f t="shared" si="80"/>
        <v>1.3261485616875732</v>
      </c>
      <c r="BB125">
        <f t="shared" si="96"/>
        <v>2.4518435719799618</v>
      </c>
      <c r="BC125">
        <f t="shared" si="97"/>
        <v>0.99446019793303164</v>
      </c>
      <c r="BD125">
        <f t="shared" si="81"/>
        <v>-123.02162769958554</v>
      </c>
      <c r="BF125">
        <f t="shared" si="82"/>
        <v>-1.1160809797021802</v>
      </c>
      <c r="BG125">
        <f t="shared" si="83"/>
        <v>-117.75619185400733</v>
      </c>
      <c r="BH125">
        <f t="shared" si="98"/>
        <v>62.243808145992674</v>
      </c>
      <c r="BI125">
        <f t="shared" si="99"/>
        <v>62.243808145992674</v>
      </c>
      <c r="BJ125">
        <f t="shared" si="84"/>
        <v>0</v>
      </c>
      <c r="BK125">
        <f t="shared" si="100"/>
        <v>0</v>
      </c>
      <c r="BM125">
        <f t="shared" si="101"/>
        <v>-3.5679245516821401</v>
      </c>
      <c r="BN125">
        <f t="shared" si="85"/>
        <v>-174.7345641544218</v>
      </c>
      <c r="BQ125" s="56">
        <f t="shared" si="102"/>
        <v>19.353804372265099</v>
      </c>
      <c r="BR125" s="59"/>
      <c r="BS125" s="59"/>
      <c r="BT125" s="59">
        <v>1412.538</v>
      </c>
      <c r="BU125" s="59">
        <v>12.0929</v>
      </c>
      <c r="BV125" s="59">
        <v>-258.13599999999997</v>
      </c>
      <c r="BW125" s="61"/>
      <c r="BY125" s="59"/>
      <c r="BZ125" s="59"/>
      <c r="CA125" s="59"/>
      <c r="CC125" s="59"/>
    </row>
    <row r="126" spans="1:81" x14ac:dyDescent="0.2">
      <c r="A126">
        <f t="shared" si="106"/>
        <v>46000</v>
      </c>
      <c r="B126">
        <f t="shared" si="86"/>
        <v>46</v>
      </c>
      <c r="C126">
        <f t="shared" si="55"/>
        <v>1.0000615877699321</v>
      </c>
      <c r="D126">
        <f t="shared" si="56"/>
        <v>1.1098162840788949E-2</v>
      </c>
      <c r="F126">
        <f t="shared" si="57"/>
        <v>4.3212217302521103E-2</v>
      </c>
      <c r="G126">
        <f t="shared" si="58"/>
        <v>7.9968744395017541E-2</v>
      </c>
      <c r="H126">
        <f t="shared" si="59"/>
        <v>-3.0616239056049825</v>
      </c>
      <c r="J126">
        <f t="shared" si="60"/>
        <v>15</v>
      </c>
      <c r="M126">
        <f t="shared" si="61"/>
        <v>4.9059753717438283E-3</v>
      </c>
      <c r="N126">
        <f t="shared" si="62"/>
        <v>-1.5707963250000001</v>
      </c>
      <c r="O126">
        <f t="shared" si="63"/>
        <v>43.183471916603139</v>
      </c>
      <c r="P126">
        <f t="shared" si="64"/>
        <v>1.5476372487567118</v>
      </c>
      <c r="Q126">
        <f t="shared" si="65"/>
        <v>6.5017288464963769</v>
      </c>
      <c r="R126">
        <f t="shared" si="66"/>
        <v>1.4163781296323072</v>
      </c>
      <c r="S126">
        <f t="shared" si="67"/>
        <v>0.98394344920623189</v>
      </c>
      <c r="T126">
        <f t="shared" si="68"/>
        <v>-0.17944193787516863</v>
      </c>
      <c r="U126">
        <f t="shared" si="69"/>
        <v>0.98089265559473171</v>
      </c>
      <c r="V126">
        <f t="shared" si="70"/>
        <v>-0.19579839017739564</v>
      </c>
      <c r="X126">
        <f t="shared" si="87"/>
        <v>-1.292240966598216</v>
      </c>
      <c r="Y126">
        <f t="shared" si="71"/>
        <v>-116.45636589358358</v>
      </c>
      <c r="Z126">
        <f t="shared" si="88"/>
        <v>63.54363410641642</v>
      </c>
      <c r="AC126">
        <v>1</v>
      </c>
      <c r="AD126">
        <f t="shared" si="72"/>
        <v>43.171891860005999</v>
      </c>
      <c r="AE126">
        <f t="shared" si="73"/>
        <v>-2.2460079294300693E-3</v>
      </c>
      <c r="AF126">
        <f t="shared" si="74"/>
        <v>1.1324059202483999E-2</v>
      </c>
      <c r="AG126">
        <f t="shared" si="89"/>
        <v>3651.2543741623781</v>
      </c>
      <c r="AH126">
        <f t="shared" si="90"/>
        <v>-812.49542343585495</v>
      </c>
      <c r="AJ126">
        <f t="shared" si="75"/>
        <v>18000</v>
      </c>
      <c r="AK126">
        <f t="shared" si="76"/>
        <v>3265.0748340638397</v>
      </c>
      <c r="AL126">
        <v>1</v>
      </c>
      <c r="AM126">
        <f t="shared" si="77"/>
        <v>6.4243659604168801</v>
      </c>
      <c r="AN126">
        <f t="shared" si="91"/>
        <v>922.01918298456189</v>
      </c>
      <c r="AO126">
        <f t="shared" si="92"/>
        <v>-2658.3138199535633</v>
      </c>
      <c r="AQ126">
        <f t="shared" si="78"/>
        <v>1.1813349084465445</v>
      </c>
      <c r="AR126">
        <f t="shared" si="79"/>
        <v>-108.68281157708211</v>
      </c>
      <c r="AT126">
        <f t="shared" si="104"/>
        <v>-83990.932760704411</v>
      </c>
      <c r="AU126">
        <f t="shared" si="105"/>
        <v>-397788.42037374439</v>
      </c>
      <c r="AV126">
        <f t="shared" si="93"/>
        <v>-1.7788846578332067</v>
      </c>
      <c r="AW126">
        <f t="shared" si="94"/>
        <v>-282890.21128880035</v>
      </c>
      <c r="AX126">
        <f t="shared" si="95"/>
        <v>-109940.87891744194</v>
      </c>
      <c r="AY126">
        <f t="shared" si="103"/>
        <v>-2.7709224061798094</v>
      </c>
      <c r="BA126">
        <f t="shared" si="80"/>
        <v>1.3395561291254192</v>
      </c>
      <c r="BB126">
        <f t="shared" si="96"/>
        <v>2.5392183164617337</v>
      </c>
      <c r="BC126">
        <f t="shared" si="97"/>
        <v>0.99203774834660274</v>
      </c>
      <c r="BD126">
        <f t="shared" si="81"/>
        <v>-123.16042383712971</v>
      </c>
      <c r="BF126">
        <f t="shared" si="82"/>
        <v>-1.2262905468530081</v>
      </c>
      <c r="BG126">
        <f t="shared" si="83"/>
        <v>-117.94267439324646</v>
      </c>
      <c r="BH126">
        <f t="shared" si="98"/>
        <v>62.057325606753537</v>
      </c>
      <c r="BI126">
        <f t="shared" si="99"/>
        <v>62.057325606753537</v>
      </c>
      <c r="BJ126">
        <f t="shared" si="84"/>
        <v>0</v>
      </c>
      <c r="BK126">
        <f t="shared" si="100"/>
        <v>0</v>
      </c>
      <c r="BM126">
        <f t="shared" si="101"/>
        <v>-3.7655088633147433</v>
      </c>
      <c r="BN126">
        <f t="shared" si="85"/>
        <v>-174.78225055611676</v>
      </c>
      <c r="BQ126" s="56">
        <f t="shared" si="102"/>
        <v>19.44117911674687</v>
      </c>
      <c r="BR126" s="59"/>
      <c r="BS126" s="59"/>
      <c r="BT126" s="59">
        <v>1445.44</v>
      </c>
      <c r="BU126" s="59">
        <v>11.918900000000001</v>
      </c>
      <c r="BV126" s="59">
        <v>-257.92899999999997</v>
      </c>
      <c r="BW126" s="61"/>
      <c r="BY126" s="59"/>
      <c r="BZ126" s="59"/>
      <c r="CA126" s="59"/>
      <c r="CC126" s="59"/>
    </row>
    <row r="127" spans="1:81" x14ac:dyDescent="0.2">
      <c r="A127">
        <f t="shared" si="106"/>
        <v>46500</v>
      </c>
      <c r="B127">
        <f t="shared" si="86"/>
        <v>46.5</v>
      </c>
      <c r="C127">
        <f t="shared" si="55"/>
        <v>1.0000629338685774</v>
      </c>
      <c r="D127">
        <f t="shared" si="56"/>
        <v>1.1218784978307758E-2</v>
      </c>
      <c r="F127">
        <f t="shared" si="57"/>
        <v>4.2251494086953015E-2</v>
      </c>
      <c r="G127">
        <f t="shared" si="58"/>
        <v>7.9038776724828536E-2</v>
      </c>
      <c r="H127">
        <f t="shared" si="59"/>
        <v>-3.0625538732751716</v>
      </c>
      <c r="J127">
        <f t="shared" si="60"/>
        <v>15</v>
      </c>
      <c r="M127">
        <f t="shared" si="61"/>
        <v>4.8532229483917435E-3</v>
      </c>
      <c r="N127">
        <f t="shared" si="62"/>
        <v>-1.5707963250000001</v>
      </c>
      <c r="O127">
        <f t="shared" si="63"/>
        <v>43.652607126849944</v>
      </c>
      <c r="P127">
        <f t="shared" si="64"/>
        <v>1.5478861835000888</v>
      </c>
      <c r="Q127">
        <f t="shared" si="65"/>
        <v>6.5707367938288099</v>
      </c>
      <c r="R127">
        <f t="shared" si="66"/>
        <v>1.4180126852936128</v>
      </c>
      <c r="S127">
        <f t="shared" si="67"/>
        <v>0.98360108287760761</v>
      </c>
      <c r="T127">
        <f t="shared" si="68"/>
        <v>-0.18135013047614973</v>
      </c>
      <c r="U127">
        <f t="shared" si="69"/>
        <v>0.98048716622700827</v>
      </c>
      <c r="V127">
        <f t="shared" si="70"/>
        <v>-0.19787179943872044</v>
      </c>
      <c r="X127">
        <f t="shared" si="87"/>
        <v>-1.4024785434105058</v>
      </c>
      <c r="Y127">
        <f t="shared" si="71"/>
        <v>-116.62295090843357</v>
      </c>
      <c r="Z127">
        <f t="shared" si="88"/>
        <v>63.377049091566434</v>
      </c>
      <c r="AC127">
        <v>1</v>
      </c>
      <c r="AD127">
        <f t="shared" si="72"/>
        <v>43.641151554136499</v>
      </c>
      <c r="AE127">
        <f t="shared" si="73"/>
        <v>-2.2950995488705893E-3</v>
      </c>
      <c r="AF127">
        <f t="shared" si="74"/>
        <v>1.1447146802511E-2</v>
      </c>
      <c r="AG127">
        <f t="shared" si="89"/>
        <v>3648.2362277845564</v>
      </c>
      <c r="AH127">
        <f t="shared" si="90"/>
        <v>-818.81236278944539</v>
      </c>
      <c r="AJ127">
        <f t="shared" si="75"/>
        <v>18000</v>
      </c>
      <c r="AK127">
        <f t="shared" si="76"/>
        <v>3300.5647779123601</v>
      </c>
      <c r="AL127">
        <v>1</v>
      </c>
      <c r="AM127">
        <f t="shared" si="77"/>
        <v>6.4941960252040198</v>
      </c>
      <c r="AN127">
        <f t="shared" si="91"/>
        <v>913.37339754822619</v>
      </c>
      <c r="AO127">
        <f t="shared" si="92"/>
        <v>-2631.061109972421</v>
      </c>
      <c r="AQ127">
        <f t="shared" si="78"/>
        <v>1.1560693641618498</v>
      </c>
      <c r="AR127">
        <f t="shared" si="79"/>
        <v>-107.51445086705202</v>
      </c>
      <c r="AT127">
        <f t="shared" si="104"/>
        <v>-83816.547412293483</v>
      </c>
      <c r="AU127">
        <f t="shared" si="105"/>
        <v>-393184.71855115978</v>
      </c>
      <c r="AV127">
        <f t="shared" si="93"/>
        <v>-1.7808259957373234</v>
      </c>
      <c r="AW127">
        <f t="shared" si="94"/>
        <v>-276907.83675364451</v>
      </c>
      <c r="AX127">
        <f t="shared" si="95"/>
        <v>-107782.01576074377</v>
      </c>
      <c r="AY127">
        <f t="shared" si="103"/>
        <v>-2.7704014027963586</v>
      </c>
      <c r="BA127">
        <f t="shared" si="80"/>
        <v>1.3529412950873423</v>
      </c>
      <c r="BB127">
        <f t="shared" si="96"/>
        <v>2.6255790543065456</v>
      </c>
      <c r="BC127">
        <f t="shared" si="97"/>
        <v>0.98957540705903524</v>
      </c>
      <c r="BD127">
        <f t="shared" si="81"/>
        <v>-123.30150560078935</v>
      </c>
      <c r="BF127">
        <f t="shared" si="82"/>
        <v>-1.3352077257028037</v>
      </c>
      <c r="BG127">
        <f t="shared" si="83"/>
        <v>-118.13012824014886</v>
      </c>
      <c r="BH127">
        <f t="shared" si="98"/>
        <v>61.869871759851137</v>
      </c>
      <c r="BI127">
        <f t="shared" si="99"/>
        <v>61.869871759851137</v>
      </c>
      <c r="BJ127">
        <f t="shared" si="84"/>
        <v>0</v>
      </c>
      <c r="BK127">
        <f t="shared" si="100"/>
        <v>0</v>
      </c>
      <c r="BM127">
        <f t="shared" si="101"/>
        <v>-3.960786780009351</v>
      </c>
      <c r="BN127">
        <f t="shared" si="85"/>
        <v>-174.82862263935954</v>
      </c>
      <c r="BQ127" s="56">
        <f t="shared" si="102"/>
        <v>19.527539854591684</v>
      </c>
      <c r="BR127" s="59"/>
      <c r="BS127" s="59"/>
      <c r="BT127" s="59">
        <v>1479.1079999999999</v>
      </c>
      <c r="BU127" s="59">
        <v>11.714700000000001</v>
      </c>
      <c r="BV127" s="59">
        <v>-257.745</v>
      </c>
      <c r="BW127" s="61"/>
      <c r="BY127" s="59"/>
      <c r="BZ127" s="59"/>
      <c r="CA127" s="59"/>
      <c r="CC127" s="59"/>
    </row>
    <row r="128" spans="1:81" x14ac:dyDescent="0.2">
      <c r="A128">
        <f t="shared" si="106"/>
        <v>47000</v>
      </c>
      <c r="B128">
        <f t="shared" si="86"/>
        <v>47</v>
      </c>
      <c r="C128">
        <f t="shared" si="55"/>
        <v>1.0000642945177991</v>
      </c>
      <c r="D128">
        <f t="shared" si="56"/>
        <v>1.1339406789353842E-2</v>
      </c>
      <c r="F128">
        <f t="shared" si="57"/>
        <v>4.1322839587974565E-2</v>
      </c>
      <c r="G128">
        <f t="shared" si="58"/>
        <v>7.8130907561100721E-2</v>
      </c>
      <c r="H128">
        <f t="shared" si="59"/>
        <v>-3.0634617424388995</v>
      </c>
      <c r="J128">
        <f t="shared" si="60"/>
        <v>15</v>
      </c>
      <c r="M128">
        <f t="shared" si="61"/>
        <v>4.801592917025874E-3</v>
      </c>
      <c r="N128">
        <f t="shared" si="62"/>
        <v>-1.5707963250000001</v>
      </c>
      <c r="O128">
        <f t="shared" si="63"/>
        <v>44.121744984658527</v>
      </c>
      <c r="P128">
        <f t="shared" si="64"/>
        <v>1.5481298245097261</v>
      </c>
      <c r="Q128">
        <f t="shared" si="65"/>
        <v>6.6397619317325409</v>
      </c>
      <c r="R128">
        <f t="shared" si="66"/>
        <v>1.4196132603758018</v>
      </c>
      <c r="S128">
        <f t="shared" si="67"/>
        <v>0.98325537823524689</v>
      </c>
      <c r="T128">
        <f t="shared" si="68"/>
        <v>-0.18325698867775164</v>
      </c>
      <c r="U128">
        <f t="shared" si="69"/>
        <v>0.98007780382202758</v>
      </c>
      <c r="V128">
        <f t="shared" si="70"/>
        <v>-0.1999434862652604</v>
      </c>
      <c r="X128">
        <f t="shared" si="87"/>
        <v>-1.51146503615692</v>
      </c>
      <c r="Y128">
        <f t="shared" si="71"/>
        <v>-116.79034489950993</v>
      </c>
      <c r="Z128">
        <f t="shared" si="88"/>
        <v>63.209655100490068</v>
      </c>
      <c r="AC128">
        <v>1</v>
      </c>
      <c r="AD128">
        <f t="shared" si="72"/>
        <v>44.110411248266999</v>
      </c>
      <c r="AE128">
        <f t="shared" si="73"/>
        <v>-2.3447218885212775E-3</v>
      </c>
      <c r="AF128">
        <f t="shared" si="74"/>
        <v>1.1570234402538E-2</v>
      </c>
      <c r="AG128">
        <f t="shared" si="89"/>
        <v>3645.1905194002652</v>
      </c>
      <c r="AH128">
        <f t="shared" si="90"/>
        <v>-825.13090629986414</v>
      </c>
      <c r="AJ128">
        <f t="shared" si="75"/>
        <v>18000</v>
      </c>
      <c r="AK128">
        <f t="shared" si="76"/>
        <v>3336.0547217608796</v>
      </c>
      <c r="AL128">
        <v>1</v>
      </c>
      <c r="AM128">
        <f t="shared" si="77"/>
        <v>6.5640260899911613</v>
      </c>
      <c r="AN128">
        <f t="shared" si="91"/>
        <v>904.99372550019143</v>
      </c>
      <c r="AO128">
        <f t="shared" si="92"/>
        <v>-2604.3477037006764</v>
      </c>
      <c r="AQ128">
        <f t="shared" si="78"/>
        <v>1.1316057485572026</v>
      </c>
      <c r="AR128">
        <f t="shared" si="79"/>
        <v>-106.37094036437705</v>
      </c>
      <c r="AT128">
        <f t="shared" si="104"/>
        <v>-83645.031880487673</v>
      </c>
      <c r="AU128">
        <f t="shared" si="105"/>
        <v>-388676.06623279932</v>
      </c>
      <c r="AV128">
        <f t="shared" si="93"/>
        <v>-1.7827684187697861</v>
      </c>
      <c r="AW128">
        <f t="shared" si="94"/>
        <v>-271109.24704947951</v>
      </c>
      <c r="AX128">
        <f t="shared" si="95"/>
        <v>-105699.40926766192</v>
      </c>
      <c r="AY128">
        <f t="shared" si="103"/>
        <v>-2.7698428675366951</v>
      </c>
      <c r="BA128">
        <f t="shared" si="80"/>
        <v>1.3663036527001398</v>
      </c>
      <c r="BB128">
        <f t="shared" si="96"/>
        <v>2.7109445877422629</v>
      </c>
      <c r="BC128">
        <f t="shared" si="97"/>
        <v>0.98707444876690897</v>
      </c>
      <c r="BD128">
        <f t="shared" si="81"/>
        <v>-123.44479995583018</v>
      </c>
      <c r="BF128">
        <f t="shared" si="82"/>
        <v>-1.4428686469251182</v>
      </c>
      <c r="BG128">
        <f t="shared" si="83"/>
        <v>-118.31852854598273</v>
      </c>
      <c r="BH128">
        <f t="shared" si="98"/>
        <v>61.68147145401727</v>
      </c>
      <c r="BI128">
        <f t="shared" si="99"/>
        <v>61.68147145401727</v>
      </c>
      <c r="BJ128">
        <f t="shared" si="84"/>
        <v>0</v>
      </c>
      <c r="BK128">
        <f t="shared" si="100"/>
        <v>0</v>
      </c>
      <c r="BM128">
        <f t="shared" si="101"/>
        <v>-4.1538132346673811</v>
      </c>
      <c r="BN128">
        <f t="shared" si="85"/>
        <v>-174.87372859015255</v>
      </c>
      <c r="BQ128" s="56">
        <f t="shared" si="102"/>
        <v>19.6129053880274</v>
      </c>
      <c r="BR128" s="59"/>
      <c r="BS128" s="59"/>
      <c r="BT128" s="59">
        <v>1513.5609999999999</v>
      </c>
      <c r="BU128" s="59">
        <v>11.5252</v>
      </c>
      <c r="BV128" s="59">
        <v>-257.61</v>
      </c>
      <c r="BW128" s="61"/>
      <c r="BY128" s="59"/>
      <c r="BZ128" s="59"/>
      <c r="CA128" s="59"/>
      <c r="CC128" s="59"/>
    </row>
    <row r="129" spans="1:81" x14ac:dyDescent="0.2">
      <c r="A129">
        <f t="shared" si="106"/>
        <v>47500</v>
      </c>
      <c r="B129">
        <f t="shared" si="86"/>
        <v>47.5</v>
      </c>
      <c r="C129">
        <f t="shared" si="55"/>
        <v>1.0000656697175379</v>
      </c>
      <c r="D129">
        <f t="shared" si="56"/>
        <v>1.1460028270418539E-2</v>
      </c>
      <c r="F129">
        <f t="shared" si="57"/>
        <v>4.0424826380524699E-2</v>
      </c>
      <c r="G129">
        <f t="shared" si="58"/>
        <v>7.7244337366289439E-2</v>
      </c>
      <c r="H129">
        <f t="shared" si="59"/>
        <v>-3.0643483126337108</v>
      </c>
      <c r="J129">
        <f t="shared" si="60"/>
        <v>15</v>
      </c>
      <c r="M129">
        <f t="shared" si="61"/>
        <v>4.7510498336887598E-3</v>
      </c>
      <c r="N129">
        <f t="shared" si="62"/>
        <v>-1.5707963250000001</v>
      </c>
      <c r="O129">
        <f t="shared" si="63"/>
        <v>44.590885406464402</v>
      </c>
      <c r="P129">
        <f t="shared" si="64"/>
        <v>1.5483683388422484</v>
      </c>
      <c r="Q129">
        <f t="shared" si="65"/>
        <v>6.7088037295996328</v>
      </c>
      <c r="R129">
        <f t="shared" si="66"/>
        <v>1.4211808956539809</v>
      </c>
      <c r="S129">
        <f t="shared" si="67"/>
        <v>0.98290634633590923</v>
      </c>
      <c r="T129">
        <f t="shared" si="68"/>
        <v>-0.18516250002675297</v>
      </c>
      <c r="U129">
        <f t="shared" si="69"/>
        <v>0.97966458376374133</v>
      </c>
      <c r="V129">
        <f t="shared" si="70"/>
        <v>-0.20201343504183242</v>
      </c>
      <c r="X129">
        <f t="shared" si="87"/>
        <v>-1.6192348648276771</v>
      </c>
      <c r="Y129">
        <f t="shared" si="71"/>
        <v>-116.95852286527874</v>
      </c>
      <c r="Z129">
        <f t="shared" si="88"/>
        <v>63.041477134721262</v>
      </c>
      <c r="AC129">
        <v>1</v>
      </c>
      <c r="AD129">
        <f t="shared" si="72"/>
        <v>44.579670942397499</v>
      </c>
      <c r="AE129">
        <f t="shared" si="73"/>
        <v>-2.3948749483821332E-3</v>
      </c>
      <c r="AF129">
        <f t="shared" si="74"/>
        <v>1.1693322002565001E-2</v>
      </c>
      <c r="AG129">
        <f t="shared" si="89"/>
        <v>3642.1173994961455</v>
      </c>
      <c r="AH129">
        <f t="shared" si="90"/>
        <v>-831.45026853680508</v>
      </c>
      <c r="AJ129">
        <f t="shared" si="75"/>
        <v>18000</v>
      </c>
      <c r="AK129">
        <f t="shared" si="76"/>
        <v>3371.5446656094</v>
      </c>
      <c r="AL129">
        <v>1</v>
      </c>
      <c r="AM129">
        <f t="shared" si="77"/>
        <v>6.633856154778301</v>
      </c>
      <c r="AN129">
        <f t="shared" si="91"/>
        <v>896.86943978066313</v>
      </c>
      <c r="AO129">
        <f t="shared" si="92"/>
        <v>-2578.1581875121187</v>
      </c>
      <c r="AQ129">
        <f t="shared" si="78"/>
        <v>1.1079104808331486</v>
      </c>
      <c r="AR129">
        <f t="shared" si="79"/>
        <v>-105.25149567914913</v>
      </c>
      <c r="AT129">
        <f t="shared" si="104"/>
        <v>-83476.244307002373</v>
      </c>
      <c r="AU129">
        <f t="shared" si="105"/>
        <v>-384259.4762028259</v>
      </c>
      <c r="AV129">
        <f t="shared" si="93"/>
        <v>-1.7847118227576517</v>
      </c>
      <c r="AW129">
        <f t="shared" si="94"/>
        <v>-265487.05897350668</v>
      </c>
      <c r="AX129">
        <f t="shared" si="95"/>
        <v>-103689.44673648723</v>
      </c>
      <c r="AY129">
        <f t="shared" si="103"/>
        <v>-2.7692479198931572</v>
      </c>
      <c r="BA129">
        <f t="shared" si="80"/>
        <v>1.3796428002826351</v>
      </c>
      <c r="BB129">
        <f t="shared" si="96"/>
        <v>2.7953331780741433</v>
      </c>
      <c r="BC129">
        <f t="shared" si="97"/>
        <v>0.98453609713550549</v>
      </c>
      <c r="BD129">
        <f t="shared" si="81"/>
        <v>-123.59023679139592</v>
      </c>
      <c r="BF129">
        <f t="shared" si="82"/>
        <v>-1.5493079927610109</v>
      </c>
      <c r="BG129">
        <f t="shared" si="83"/>
        <v>-118.50785101021981</v>
      </c>
      <c r="BH129">
        <f t="shared" si="98"/>
        <v>61.492148989780191</v>
      </c>
      <c r="BI129">
        <f t="shared" si="99"/>
        <v>61.492148989780191</v>
      </c>
      <c r="BJ129">
        <f t="shared" si="84"/>
        <v>0</v>
      </c>
      <c r="BK129">
        <f t="shared" si="100"/>
        <v>0</v>
      </c>
      <c r="BM129">
        <f t="shared" si="101"/>
        <v>-4.3446411708351542</v>
      </c>
      <c r="BN129">
        <f t="shared" si="85"/>
        <v>-174.91761421882387</v>
      </c>
      <c r="BQ129" s="56">
        <f t="shared" si="102"/>
        <v>19.69729397835928</v>
      </c>
      <c r="BR129" s="59"/>
      <c r="BS129" s="59"/>
      <c r="BT129" s="59">
        <v>1548.817</v>
      </c>
      <c r="BU129" s="59">
        <v>11.3354</v>
      </c>
      <c r="BV129" s="59">
        <v>-257.471</v>
      </c>
      <c r="BW129" s="61"/>
      <c r="BY129" s="59"/>
      <c r="BZ129" s="59"/>
      <c r="CA129" s="59"/>
      <c r="CC129" s="59"/>
    </row>
    <row r="130" spans="1:81" x14ac:dyDescent="0.2">
      <c r="A130">
        <f t="shared" si="106"/>
        <v>48000</v>
      </c>
      <c r="B130">
        <f t="shared" si="86"/>
        <v>48</v>
      </c>
      <c r="C130">
        <f t="shared" si="55"/>
        <v>1.0000670594677337</v>
      </c>
      <c r="D130">
        <f t="shared" si="56"/>
        <v>1.1580649417993241E-2</v>
      </c>
      <c r="F130">
        <f t="shared" si="57"/>
        <v>3.9556106398545975E-2</v>
      </c>
      <c r="G130">
        <f t="shared" si="58"/>
        <v>7.6378305503552388E-2</v>
      </c>
      <c r="H130">
        <f t="shared" si="59"/>
        <v>-3.0652143444964479</v>
      </c>
      <c r="J130">
        <f t="shared" si="60"/>
        <v>15</v>
      </c>
      <c r="M130">
        <f t="shared" si="61"/>
        <v>4.7015597312545015E-3</v>
      </c>
      <c r="N130">
        <f t="shared" si="62"/>
        <v>-1.5707963250000001</v>
      </c>
      <c r="O130">
        <f t="shared" si="63"/>
        <v>45.060028312182752</v>
      </c>
      <c r="P130">
        <f t="shared" si="64"/>
        <v>1.5486018865994249</v>
      </c>
      <c r="Q130">
        <f t="shared" si="65"/>
        <v>6.7778616783165173</v>
      </c>
      <c r="R130">
        <f t="shared" si="66"/>
        <v>1.4227165901495233</v>
      </c>
      <c r="S130">
        <f t="shared" si="67"/>
        <v>0.98255399832144963</v>
      </c>
      <c r="T130">
        <f t="shared" si="68"/>
        <v>-0.18706665212664042</v>
      </c>
      <c r="U130">
        <f t="shared" si="69"/>
        <v>0.9792475215457459</v>
      </c>
      <c r="V130">
        <f t="shared" si="70"/>
        <v>-0.2040816302390184</v>
      </c>
      <c r="X130">
        <f t="shared" si="87"/>
        <v>-1.7258210767348068</v>
      </c>
      <c r="Y130">
        <f t="shared" si="71"/>
        <v>-117.12746037431992</v>
      </c>
      <c r="Z130">
        <f t="shared" si="88"/>
        <v>62.872539625680076</v>
      </c>
      <c r="AC130">
        <v>1</v>
      </c>
      <c r="AD130">
        <f t="shared" si="72"/>
        <v>45.048930636527999</v>
      </c>
      <c r="AE130">
        <f t="shared" si="73"/>
        <v>-2.4455587284531568E-3</v>
      </c>
      <c r="AF130">
        <f t="shared" si="74"/>
        <v>1.1816409602592001E-2</v>
      </c>
      <c r="AG130">
        <f t="shared" si="89"/>
        <v>3639.0170195205078</v>
      </c>
      <c r="AH130">
        <f t="shared" si="90"/>
        <v>-837.76969214967551</v>
      </c>
      <c r="AJ130">
        <f t="shared" si="75"/>
        <v>18000</v>
      </c>
      <c r="AK130">
        <f t="shared" si="76"/>
        <v>3407.0346094579204</v>
      </c>
      <c r="AL130">
        <v>1</v>
      </c>
      <c r="AM130">
        <f t="shared" si="77"/>
        <v>6.7036862195654408</v>
      </c>
      <c r="AN130">
        <f t="shared" si="91"/>
        <v>888.99034427906508</v>
      </c>
      <c r="AO130">
        <f t="shared" si="92"/>
        <v>-2552.4777108123862</v>
      </c>
      <c r="AQ130">
        <f t="shared" si="78"/>
        <v>1.0849517196484757</v>
      </c>
      <c r="AR130">
        <f t="shared" si="79"/>
        <v>-104.15536508625367</v>
      </c>
      <c r="AT130">
        <f t="shared" si="104"/>
        <v>-83310.050370888945</v>
      </c>
      <c r="AU130">
        <f t="shared" si="105"/>
        <v>-379932.08589141635</v>
      </c>
      <c r="AV130">
        <f t="shared" si="93"/>
        <v>-1.7866561072984168</v>
      </c>
      <c r="AW130">
        <f t="shared" si="94"/>
        <v>-260034.25326190729</v>
      </c>
      <c r="AX130">
        <f t="shared" si="95"/>
        <v>-101748.7249410855</v>
      </c>
      <c r="AY130">
        <f t="shared" si="103"/>
        <v>-2.7686176346647384</v>
      </c>
      <c r="BA130">
        <f t="shared" si="80"/>
        <v>1.3929583411146866</v>
      </c>
      <c r="BB130">
        <f t="shared" si="96"/>
        <v>2.8787625654562814</v>
      </c>
      <c r="BC130">
        <f t="shared" si="97"/>
        <v>0.98196152736632158</v>
      </c>
      <c r="BD130">
        <f t="shared" si="81"/>
        <v>-123.73774877340068</v>
      </c>
      <c r="BF130">
        <f t="shared" si="82"/>
        <v>-1.6545590739811109</v>
      </c>
      <c r="BG130">
        <f t="shared" si="83"/>
        <v>-118.69807188025601</v>
      </c>
      <c r="BH130">
        <f t="shared" si="98"/>
        <v>61.301928119743991</v>
      </c>
      <c r="BI130">
        <f t="shared" si="99"/>
        <v>61.301928119743991</v>
      </c>
      <c r="BJ130">
        <f t="shared" si="84"/>
        <v>0</v>
      </c>
      <c r="BK130">
        <f t="shared" si="100"/>
        <v>0</v>
      </c>
      <c r="BM130">
        <f t="shared" si="101"/>
        <v>-4.5333216394373927</v>
      </c>
      <c r="BN130">
        <f t="shared" si="85"/>
        <v>-174.96032310685533</v>
      </c>
      <c r="BQ130" s="56">
        <f t="shared" si="102"/>
        <v>19.780723365741416</v>
      </c>
      <c r="BR130" s="59"/>
      <c r="BS130" s="59"/>
      <c r="BT130" s="59">
        <v>1584.893</v>
      </c>
      <c r="BU130" s="59">
        <v>11.160399999999999</v>
      </c>
      <c r="BV130" s="59">
        <v>-256.94200000000001</v>
      </c>
      <c r="BW130" s="61"/>
      <c r="BY130" s="59"/>
      <c r="BZ130" s="59"/>
      <c r="CA130" s="59"/>
      <c r="CC130" s="59"/>
    </row>
    <row r="131" spans="1:81" x14ac:dyDescent="0.2">
      <c r="A131">
        <f t="shared" si="106"/>
        <v>48500</v>
      </c>
      <c r="B131">
        <f t="shared" si="86"/>
        <v>48.5</v>
      </c>
      <c r="C131">
        <f t="shared" si="55"/>
        <v>1.0000684637683257</v>
      </c>
      <c r="D131">
        <f t="shared" si="56"/>
        <v>1.1701270228569399E-2</v>
      </c>
      <c r="F131">
        <f t="shared" si="57"/>
        <v>3.871540564960875E-2</v>
      </c>
      <c r="G131">
        <f t="shared" si="58"/>
        <v>7.5532087863862382E-2</v>
      </c>
      <c r="H131">
        <f t="shared" si="59"/>
        <v>-3.0660605621361379</v>
      </c>
      <c r="J131">
        <f t="shared" si="60"/>
        <v>15</v>
      </c>
      <c r="M131">
        <f t="shared" si="61"/>
        <v>4.6530900433034246E-3</v>
      </c>
      <c r="N131">
        <f t="shared" si="62"/>
        <v>-1.5707963250000001</v>
      </c>
      <c r="O131">
        <f t="shared" si="63"/>
        <v>45.529173625029181</v>
      </c>
      <c r="P131">
        <f t="shared" si="64"/>
        <v>1.5488306212863117</v>
      </c>
      <c r="Q131">
        <f t="shared" si="65"/>
        <v>6.8469352891925004</v>
      </c>
      <c r="R131">
        <f t="shared" si="66"/>
        <v>1.4242213031871558</v>
      </c>
      <c r="S131">
        <f t="shared" si="67"/>
        <v>0.98219834541787843</v>
      </c>
      <c r="T131">
        <f t="shared" si="68"/>
        <v>-0.18896943263800636</v>
      </c>
      <c r="U131">
        <f t="shared" si="69"/>
        <v>0.97882663276976367</v>
      </c>
      <c r="V131">
        <f t="shared" si="70"/>
        <v>-0.20614805641370651</v>
      </c>
      <c r="X131">
        <f t="shared" si="87"/>
        <v>-1.8312554184842891</v>
      </c>
      <c r="Y131">
        <f t="shared" si="71"/>
        <v>-117.29713356295458</v>
      </c>
      <c r="Z131">
        <f t="shared" si="88"/>
        <v>62.702866437045415</v>
      </c>
      <c r="AC131">
        <v>1</v>
      </c>
      <c r="AD131">
        <f t="shared" si="72"/>
        <v>45.518190330658499</v>
      </c>
      <c r="AE131">
        <f t="shared" si="73"/>
        <v>-2.4967732287343473E-3</v>
      </c>
      <c r="AF131">
        <f t="shared" si="74"/>
        <v>1.1939497202619E-2</v>
      </c>
      <c r="AG131">
        <f t="shared" si="89"/>
        <v>3635.889531865786</v>
      </c>
      <c r="AH131">
        <f t="shared" si="90"/>
        <v>-844.08844650403591</v>
      </c>
      <c r="AJ131">
        <f t="shared" si="75"/>
        <v>18000</v>
      </c>
      <c r="AK131">
        <f t="shared" si="76"/>
        <v>3442.5245533064399</v>
      </c>
      <c r="AL131">
        <v>1</v>
      </c>
      <c r="AM131">
        <f t="shared" si="77"/>
        <v>6.7735162843525805</v>
      </c>
      <c r="AN131">
        <f t="shared" si="91"/>
        <v>881.34674285604751</v>
      </c>
      <c r="AO131">
        <f t="shared" si="92"/>
        <v>-2527.2919615901051</v>
      </c>
      <c r="AQ131">
        <f t="shared" si="78"/>
        <v>1.0626992561105206</v>
      </c>
      <c r="AR131">
        <f t="shared" si="79"/>
        <v>-103.08182784272051</v>
      </c>
      <c r="AT131">
        <f t="shared" si="104"/>
        <v>-83146.322825744646</v>
      </c>
      <c r="AU131">
        <f t="shared" si="105"/>
        <v>-375691.15094312996</v>
      </c>
      <c r="AV131">
        <f t="shared" si="93"/>
        <v>-1.7886011755709446</v>
      </c>
      <c r="AW131">
        <f t="shared" si="94"/>
        <v>-254744.15346259042</v>
      </c>
      <c r="AX131">
        <f t="shared" si="95"/>
        <v>-99874.03593036349</v>
      </c>
      <c r="AY131">
        <f t="shared" si="103"/>
        <v>-2.7679530441838134</v>
      </c>
      <c r="BA131">
        <f t="shared" si="80"/>
        <v>1.4062498832213683</v>
      </c>
      <c r="BB131">
        <f t="shared" si="96"/>
        <v>2.9612499878100174</v>
      </c>
      <c r="BC131">
        <f t="shared" si="97"/>
        <v>0.97935186861286883</v>
      </c>
      <c r="BD131">
        <f t="shared" si="81"/>
        <v>-123.88727120611377</v>
      </c>
      <c r="BF131">
        <f t="shared" si="82"/>
        <v>-1.758653901812639</v>
      </c>
      <c r="BG131">
        <f t="shared" si="83"/>
        <v>-118.88916794895289</v>
      </c>
      <c r="BH131">
        <f t="shared" si="98"/>
        <v>61.110832051047112</v>
      </c>
      <c r="BI131">
        <f t="shared" si="99"/>
        <v>61.110832051047112</v>
      </c>
      <c r="BJ131">
        <f t="shared" si="84"/>
        <v>0</v>
      </c>
      <c r="BK131">
        <f t="shared" si="100"/>
        <v>0</v>
      </c>
      <c r="BM131">
        <f t="shared" si="101"/>
        <v>-4.7199038896226568</v>
      </c>
      <c r="BN131">
        <f t="shared" si="85"/>
        <v>-175.00189674283914</v>
      </c>
      <c r="BQ131" s="56">
        <f t="shared" si="102"/>
        <v>19.863210788095152</v>
      </c>
      <c r="BR131" s="59"/>
      <c r="BS131" s="59"/>
      <c r="BT131" s="59">
        <v>1621.81</v>
      </c>
      <c r="BU131" s="59">
        <v>10.9787</v>
      </c>
      <c r="BV131" s="59">
        <v>-256.75299999999999</v>
      </c>
      <c r="BW131" s="61"/>
      <c r="BY131" s="59"/>
      <c r="BZ131" s="59"/>
      <c r="CA131" s="59"/>
      <c r="CC131" s="59"/>
    </row>
    <row r="132" spans="1:81" x14ac:dyDescent="0.2">
      <c r="A132">
        <f t="shared" si="106"/>
        <v>49000</v>
      </c>
      <c r="B132">
        <f t="shared" si="86"/>
        <v>49</v>
      </c>
      <c r="C132">
        <f t="shared" si="55"/>
        <v>1.0000698826192529</v>
      </c>
      <c r="D132">
        <f t="shared" si="56"/>
        <v>1.1821890698638529E-2</v>
      </c>
      <c r="F132">
        <f t="shared" si="57"/>
        <v>3.7901519339129254E-2</v>
      </c>
      <c r="G132">
        <f t="shared" si="58"/>
        <v>7.4704994666562219E-2</v>
      </c>
      <c r="H132">
        <f t="shared" si="59"/>
        <v>-3.0668876553334381</v>
      </c>
      <c r="J132">
        <f t="shared" si="60"/>
        <v>15</v>
      </c>
      <c r="M132">
        <f t="shared" si="61"/>
        <v>4.6056095326574712E-3</v>
      </c>
      <c r="N132">
        <f t="shared" si="62"/>
        <v>-1.5707963250000001</v>
      </c>
      <c r="O132">
        <f t="shared" si="63"/>
        <v>45.998321271351472</v>
      </c>
      <c r="P132">
        <f t="shared" si="64"/>
        <v>1.5490546901474918</v>
      </c>
      <c r="Q132">
        <f t="shared" si="65"/>
        <v>6.9160240929513792</v>
      </c>
      <c r="R132">
        <f t="shared" si="66"/>
        <v>1.4256959563325657</v>
      </c>
      <c r="S132">
        <f t="shared" si="67"/>
        <v>0.98183939893441718</v>
      </c>
      <c r="T132">
        <f t="shared" si="68"/>
        <v>-0.19087082927894009</v>
      </c>
      <c r="U132">
        <f t="shared" si="69"/>
        <v>0.97840193314411794</v>
      </c>
      <c r="V132">
        <f t="shared" si="70"/>
        <v>-0.20821269820962254</v>
      </c>
      <c r="X132">
        <f t="shared" si="87"/>
        <v>-1.9355684033008798</v>
      </c>
      <c r="Y132">
        <f t="shared" si="71"/>
        <v>-117.46751913103527</v>
      </c>
      <c r="Z132">
        <f t="shared" si="88"/>
        <v>62.532480868964726</v>
      </c>
      <c r="AC132">
        <v>1</v>
      </c>
      <c r="AD132">
        <f t="shared" si="72"/>
        <v>45.987450024788998</v>
      </c>
      <c r="AE132">
        <f t="shared" si="73"/>
        <v>-2.5485184492257066E-3</v>
      </c>
      <c r="AF132">
        <f t="shared" si="74"/>
        <v>1.2062584802645999E-2</v>
      </c>
      <c r="AG132">
        <f t="shared" si="89"/>
        <v>3632.7350898509744</v>
      </c>
      <c r="AH132">
        <f t="shared" si="90"/>
        <v>-850.40582640170464</v>
      </c>
      <c r="AJ132">
        <f t="shared" si="75"/>
        <v>18000</v>
      </c>
      <c r="AK132">
        <f t="shared" si="76"/>
        <v>3478.0144971549598</v>
      </c>
      <c r="AL132">
        <v>1</v>
      </c>
      <c r="AM132">
        <f t="shared" si="77"/>
        <v>6.8433463491397211</v>
      </c>
      <c r="AN132">
        <f t="shared" si="91"/>
        <v>873.92941043661085</v>
      </c>
      <c r="AO132">
        <f t="shared" si="92"/>
        <v>-2502.5871431622504</v>
      </c>
      <c r="AQ132">
        <f t="shared" si="78"/>
        <v>1.0411244143675169</v>
      </c>
      <c r="AR132">
        <f t="shared" si="79"/>
        <v>-102.03019260801666</v>
      </c>
      <c r="AT132">
        <f t="shared" si="104"/>
        <v>-82984.941069772074</v>
      </c>
      <c r="AU132">
        <f t="shared" si="105"/>
        <v>-371534.03917938285</v>
      </c>
      <c r="AV132">
        <f t="shared" si="93"/>
        <v>-1.7905469341579696</v>
      </c>
      <c r="AW132">
        <f t="shared" si="94"/>
        <v>-249610.40621181868</v>
      </c>
      <c r="AX132">
        <f t="shared" si="95"/>
        <v>-98062.353922255861</v>
      </c>
      <c r="AY132">
        <f t="shared" si="103"/>
        <v>-2.767255140412999</v>
      </c>
      <c r="BA132">
        <f t="shared" si="80"/>
        <v>1.4195170391713132</v>
      </c>
      <c r="BB132">
        <f t="shared" si="96"/>
        <v>3.0428121989305712</v>
      </c>
      <c r="BC132">
        <f t="shared" si="97"/>
        <v>0.97670820625502941</v>
      </c>
      <c r="BD132">
        <f t="shared" si="81"/>
        <v>-124.03874190184865</v>
      </c>
      <c r="BF132">
        <f t="shared" si="82"/>
        <v>-1.861623255218896</v>
      </c>
      <c r="BG132">
        <f t="shared" si="83"/>
        <v>-119.08111655034543</v>
      </c>
      <c r="BH132">
        <f t="shared" si="98"/>
        <v>60.918883449654572</v>
      </c>
      <c r="BI132">
        <f t="shared" si="99"/>
        <v>60.918883449654572</v>
      </c>
      <c r="BJ132">
        <f t="shared" si="84"/>
        <v>0</v>
      </c>
      <c r="BK132">
        <f t="shared" si="100"/>
        <v>0</v>
      </c>
      <c r="BM132">
        <f t="shared" si="101"/>
        <v>-4.9044354541494668</v>
      </c>
      <c r="BN132">
        <f t="shared" si="85"/>
        <v>-175.04237464849678</v>
      </c>
      <c r="BQ132" s="56">
        <f t="shared" si="102"/>
        <v>19.944772999215708</v>
      </c>
      <c r="BR132" s="59"/>
      <c r="BS132" s="59"/>
      <c r="BT132" s="59">
        <v>1659.587</v>
      </c>
      <c r="BU132" s="59">
        <v>10.7578</v>
      </c>
      <c r="BV132" s="59">
        <v>-256.85699999999997</v>
      </c>
      <c r="BW132" s="61"/>
      <c r="BY132" s="59"/>
      <c r="BZ132" s="59"/>
      <c r="CA132" s="59"/>
      <c r="CC132" s="59"/>
    </row>
    <row r="133" spans="1:81" x14ac:dyDescent="0.2">
      <c r="A133">
        <f t="shared" si="106"/>
        <v>49500</v>
      </c>
      <c r="B133">
        <f t="shared" si="86"/>
        <v>49.5</v>
      </c>
      <c r="C133">
        <f t="shared" si="55"/>
        <v>1.0000713160204533</v>
      </c>
      <c r="D133">
        <f t="shared" si="56"/>
        <v>1.1942510824692196E-2</v>
      </c>
      <c r="F133">
        <f t="shared" si="57"/>
        <v>3.7113307368033296E-2</v>
      </c>
      <c r="G133">
        <f t="shared" si="58"/>
        <v>7.3896368418640557E-2</v>
      </c>
      <c r="H133">
        <f t="shared" si="59"/>
        <v>-3.0676962815813598</v>
      </c>
      <c r="J133">
        <f t="shared" si="60"/>
        <v>15</v>
      </c>
      <c r="M133">
        <f t="shared" si="61"/>
        <v>4.5590882242467897E-3</v>
      </c>
      <c r="N133">
        <f t="shared" si="62"/>
        <v>-1.5707963250000001</v>
      </c>
      <c r="O133">
        <f t="shared" si="63"/>
        <v>46.467471180471499</v>
      </c>
      <c r="P133">
        <f t="shared" si="64"/>
        <v>1.5492742344829604</v>
      </c>
      <c r="Q133">
        <f t="shared" si="65"/>
        <v>6.985127638781889</v>
      </c>
      <c r="R133">
        <f t="shared" si="66"/>
        <v>1.4271414352184779</v>
      </c>
      <c r="S133">
        <f t="shared" si="67"/>
        <v>0.98147717026254966</v>
      </c>
      <c r="T133">
        <f t="shared" si="68"/>
        <v>-0.19277082982541396</v>
      </c>
      <c r="U133">
        <f t="shared" si="69"/>
        <v>0.97797343848220342</v>
      </c>
      <c r="V133">
        <f t="shared" si="70"/>
        <v>-0.21027554035785134</v>
      </c>
      <c r="X133">
        <f t="shared" si="87"/>
        <v>-2.0387893740591325</v>
      </c>
      <c r="Y133">
        <f t="shared" si="71"/>
        <v>-117.63859433619724</v>
      </c>
      <c r="Z133">
        <f t="shared" si="88"/>
        <v>62.361405663802756</v>
      </c>
      <c r="AC133">
        <v>1</v>
      </c>
      <c r="AD133">
        <f t="shared" si="72"/>
        <v>46.456709718919498</v>
      </c>
      <c r="AE133">
        <f t="shared" si="73"/>
        <v>-2.6007943899272338E-3</v>
      </c>
      <c r="AF133">
        <f t="shared" si="74"/>
        <v>1.2185672402673001E-2</v>
      </c>
      <c r="AG133">
        <f t="shared" si="89"/>
        <v>3629.5538477040191</v>
      </c>
      <c r="AH133">
        <f t="shared" si="90"/>
        <v>-856.72115087858447</v>
      </c>
      <c r="AJ133">
        <f t="shared" si="75"/>
        <v>18000</v>
      </c>
      <c r="AK133">
        <f t="shared" si="76"/>
        <v>3513.5044410034802</v>
      </c>
      <c r="AL133">
        <v>1</v>
      </c>
      <c r="AM133">
        <f t="shared" si="77"/>
        <v>6.9131764139268608</v>
      </c>
      <c r="AN133">
        <f t="shared" si="91"/>
        <v>866.72956601894703</v>
      </c>
      <c r="AO133">
        <f t="shared" si="92"/>
        <v>-2478.3499520517685</v>
      </c>
      <c r="AQ133">
        <f t="shared" si="78"/>
        <v>1.0201999591920017</v>
      </c>
      <c r="AR133">
        <f t="shared" si="79"/>
        <v>-100.99979596000816</v>
      </c>
      <c r="AT133">
        <f t="shared" si="104"/>
        <v>-82825.790746047584</v>
      </c>
      <c r="AU133">
        <f t="shared" si="105"/>
        <v>-367458.22492713371</v>
      </c>
      <c r="AV133">
        <f t="shared" si="93"/>
        <v>-1.7924932928793622</v>
      </c>
      <c r="AW133">
        <f t="shared" si="94"/>
        <v>-244626.96281015588</v>
      </c>
      <c r="AX133">
        <f t="shared" si="95"/>
        <v>-96310.823198132217</v>
      </c>
      <c r="AY133">
        <f t="shared" si="103"/>
        <v>-2.7665248769208395</v>
      </c>
      <c r="BA133">
        <f t="shared" si="80"/>
        <v>1.4327594258882672</v>
      </c>
      <c r="BB133">
        <f t="shared" si="96"/>
        <v>3.123465485820951</v>
      </c>
      <c r="BC133">
        <f t="shared" si="97"/>
        <v>0.97403158404147727</v>
      </c>
      <c r="BD133">
        <f t="shared" si="81"/>
        <v>-124.19210105821139</v>
      </c>
      <c r="BF133">
        <f t="shared" si="82"/>
        <v>-1.9634967438848185</v>
      </c>
      <c r="BG133">
        <f t="shared" si="83"/>
        <v>-119.27389555381541</v>
      </c>
      <c r="BH133">
        <f t="shared" si="98"/>
        <v>60.726104446184593</v>
      </c>
      <c r="BI133">
        <f t="shared" si="99"/>
        <v>60.726104446184593</v>
      </c>
      <c r="BJ133">
        <f t="shared" si="84"/>
        <v>0</v>
      </c>
      <c r="BK133">
        <f t="shared" si="100"/>
        <v>0</v>
      </c>
      <c r="BM133">
        <f t="shared" si="101"/>
        <v>-5.0869622297057688</v>
      </c>
      <c r="BN133">
        <f t="shared" si="85"/>
        <v>-175.08179449560402</v>
      </c>
      <c r="BQ133" s="56">
        <f t="shared" si="102"/>
        <v>20.025426286106086</v>
      </c>
      <c r="BR133" s="59"/>
      <c r="BS133" s="59"/>
      <c r="BT133" s="59">
        <v>1698.2439999999999</v>
      </c>
      <c r="BU133" s="59">
        <v>10.580500000000001</v>
      </c>
      <c r="BV133" s="59">
        <v>-256.31299999999999</v>
      </c>
      <c r="BW133" s="61"/>
      <c r="BY133" s="59"/>
      <c r="BZ133" s="59"/>
      <c r="CA133" s="59"/>
      <c r="CC133" s="59"/>
    </row>
    <row r="134" spans="1:81" x14ac:dyDescent="0.2">
      <c r="A134">
        <f t="shared" si="106"/>
        <v>50000</v>
      </c>
      <c r="B134">
        <f t="shared" si="86"/>
        <v>50</v>
      </c>
      <c r="C134">
        <f t="shared" si="55"/>
        <v>1.0000727639718643</v>
      </c>
      <c r="D134">
        <f t="shared" si="56"/>
        <v>1.2063130603222037E-2</v>
      </c>
      <c r="F134">
        <f t="shared" si="57"/>
        <v>3.6349690171291006E-2</v>
      </c>
      <c r="G134">
        <f t="shared" si="58"/>
        <v>7.3105582019426685E-2</v>
      </c>
      <c r="H134">
        <f t="shared" si="59"/>
        <v>-3.0684870679805734</v>
      </c>
      <c r="J134">
        <f t="shared" si="60"/>
        <v>15</v>
      </c>
      <c r="M134">
        <f t="shared" si="61"/>
        <v>4.5134973420043216E-3</v>
      </c>
      <c r="N134">
        <f t="shared" si="62"/>
        <v>-1.5707963250000001</v>
      </c>
      <c r="O134">
        <f t="shared" si="63"/>
        <v>46.936623284536601</v>
      </c>
      <c r="P134">
        <f t="shared" si="64"/>
        <v>1.5494893899450768</v>
      </c>
      <c r="Q134">
        <f t="shared" si="65"/>
        <v>7.0542454934430587</v>
      </c>
      <c r="R134">
        <f t="shared" si="66"/>
        <v>1.4285585912665664</v>
      </c>
      <c r="S134">
        <f t="shared" si="67"/>
        <v>0.9811116708750709</v>
      </c>
      <c r="T134">
        <f t="shared" si="68"/>
        <v>-0.19466942211166327</v>
      </c>
      <c r="U134">
        <f t="shared" si="69"/>
        <v>0.97754116470095376</v>
      </c>
      <c r="V134">
        <f t="shared" si="70"/>
        <v>-0.21233656767734813</v>
      </c>
      <c r="X134">
        <f t="shared" si="87"/>
        <v>-2.1409465623432662</v>
      </c>
      <c r="Y134">
        <f t="shared" si="71"/>
        <v>-117.81033698683041</v>
      </c>
      <c r="Z134">
        <f t="shared" si="88"/>
        <v>62.189663013169593</v>
      </c>
      <c r="AC134">
        <v>1</v>
      </c>
      <c r="AD134">
        <f t="shared" si="72"/>
        <v>46.925969413049998</v>
      </c>
      <c r="AE134">
        <f t="shared" si="73"/>
        <v>-2.6536010508389283E-3</v>
      </c>
      <c r="AF134">
        <f t="shared" si="74"/>
        <v>1.23087600027E-2</v>
      </c>
      <c r="AG134">
        <f t="shared" si="89"/>
        <v>3626.3459605441813</v>
      </c>
      <c r="AH134">
        <f t="shared" si="90"/>
        <v>-863.03376207476242</v>
      </c>
      <c r="AJ134">
        <f t="shared" si="75"/>
        <v>18000</v>
      </c>
      <c r="AK134">
        <f t="shared" si="76"/>
        <v>3548.9943848519997</v>
      </c>
      <c r="AL134">
        <v>1</v>
      </c>
      <c r="AM134">
        <f t="shared" si="77"/>
        <v>6.9830064787140005</v>
      </c>
      <c r="AN134">
        <f t="shared" si="91"/>
        <v>859.73884745646649</v>
      </c>
      <c r="AO134">
        <f t="shared" si="92"/>
        <v>-2454.5675569386135</v>
      </c>
      <c r="AQ134">
        <f t="shared" si="78"/>
        <v>0.99990000999900008</v>
      </c>
      <c r="AR134">
        <f t="shared" si="79"/>
        <v>-99.990000999900005</v>
      </c>
      <c r="AT134">
        <f t="shared" si="104"/>
        <v>-82668.763370594999</v>
      </c>
      <c r="AU134">
        <f t="shared" si="105"/>
        <v>-363461.28368812409</v>
      </c>
      <c r="AV134">
        <f t="shared" si="93"/>
        <v>-1.7944401646353991</v>
      </c>
      <c r="AW134">
        <f t="shared" si="94"/>
        <v>-239788.06200176736</v>
      </c>
      <c r="AX134">
        <f t="shared" si="95"/>
        <v>-94616.746912419345</v>
      </c>
      <c r="AY134">
        <f t="shared" si="103"/>
        <v>-2.7657631707443362</v>
      </c>
      <c r="BA134">
        <f t="shared" si="80"/>
        <v>1.4459766644749925</v>
      </c>
      <c r="BB134">
        <f t="shared" si="96"/>
        <v>3.2032256852903087</v>
      </c>
      <c r="BC134">
        <f t="shared" si="97"/>
        <v>0.97132300610893707</v>
      </c>
      <c r="BD134">
        <f t="shared" si="81"/>
        <v>-124.34729114240554</v>
      </c>
      <c r="BF134">
        <f t="shared" si="82"/>
        <v>-2.0643028672312607</v>
      </c>
      <c r="BG134">
        <f t="shared" si="83"/>
        <v>-119.46748335698916</v>
      </c>
      <c r="BH134">
        <f t="shared" si="98"/>
        <v>60.532516643010837</v>
      </c>
      <c r="BI134">
        <f t="shared" si="99"/>
        <v>60.532516643010837</v>
      </c>
      <c r="BJ134">
        <f t="shared" si="84"/>
        <v>0</v>
      </c>
      <c r="BK134">
        <f t="shared" si="100"/>
        <v>0</v>
      </c>
      <c r="BM134">
        <f t="shared" si="101"/>
        <v>-5.2675285525215676</v>
      </c>
      <c r="BN134">
        <f t="shared" si="85"/>
        <v>-175.12019221458365</v>
      </c>
      <c r="BQ134" s="56">
        <f t="shared" si="102"/>
        <v>20.105186485575445</v>
      </c>
      <c r="BR134" s="59"/>
      <c r="BS134" s="59"/>
      <c r="BT134" s="59">
        <v>1737.8009999999999</v>
      </c>
      <c r="BU134" s="59">
        <v>10.4643</v>
      </c>
      <c r="BV134" s="59">
        <v>-256.37900000000002</v>
      </c>
      <c r="BW134" s="61"/>
      <c r="BY134" s="59"/>
      <c r="BZ134" s="59"/>
      <c r="CA134" s="59"/>
      <c r="CC134" s="59"/>
    </row>
    <row r="135" spans="1:81" x14ac:dyDescent="0.2">
      <c r="A135">
        <f t="shared" si="106"/>
        <v>50500</v>
      </c>
      <c r="B135">
        <f t="shared" si="86"/>
        <v>50.5</v>
      </c>
      <c r="C135">
        <f t="shared" si="55"/>
        <v>1.0000742264734226</v>
      </c>
      <c r="D135">
        <f t="shared" si="56"/>
        <v>1.2183750030719738E-2</v>
      </c>
      <c r="F135">
        <f t="shared" si="57"/>
        <v>3.560964486793055E-2</v>
      </c>
      <c r="G135">
        <f t="shared" si="58"/>
        <v>7.2332036998666249E-2</v>
      </c>
      <c r="H135">
        <f t="shared" si="59"/>
        <v>-3.069260613001334</v>
      </c>
      <c r="J135">
        <f t="shared" si="60"/>
        <v>15</v>
      </c>
      <c r="M135">
        <f t="shared" si="61"/>
        <v>4.4688092495092299E-3</v>
      </c>
      <c r="N135">
        <f t="shared" si="62"/>
        <v>-1.5707963250000001</v>
      </c>
      <c r="O135">
        <f t="shared" si="63"/>
        <v>47.405777518379864</v>
      </c>
      <c r="P135">
        <f t="shared" si="64"/>
        <v>1.5497002868178962</v>
      </c>
      <c r="Q135">
        <f t="shared" si="65"/>
        <v>7.1233772404208056</v>
      </c>
      <c r="R135">
        <f t="shared" si="66"/>
        <v>1.4299482433120083</v>
      </c>
      <c r="S135">
        <f t="shared" si="67"/>
        <v>0.98074291232512933</v>
      </c>
      <c r="T135">
        <f t="shared" si="68"/>
        <v>-0.1965665940305607</v>
      </c>
      <c r="U135">
        <f t="shared" si="69"/>
        <v>0.97710512781930337</v>
      </c>
      <c r="V135">
        <f t="shared" si="70"/>
        <v>-0.21439576507543984</v>
      </c>
      <c r="X135">
        <f t="shared" si="87"/>
        <v>-2.2420671438309352</v>
      </c>
      <c r="Y135">
        <f t="shared" si="71"/>
        <v>-117.98272543399534</v>
      </c>
      <c r="Z135">
        <f t="shared" si="88"/>
        <v>62.017274566004659</v>
      </c>
      <c r="AC135">
        <v>1</v>
      </c>
      <c r="AD135">
        <f t="shared" si="72"/>
        <v>47.395229107180498</v>
      </c>
      <c r="AE135">
        <f t="shared" si="73"/>
        <v>-2.7069384319607912E-3</v>
      </c>
      <c r="AF135">
        <f t="shared" si="74"/>
        <v>1.2431847602727E-2</v>
      </c>
      <c r="AG135">
        <f t="shared" si="89"/>
        <v>3623.1115843643765</v>
      </c>
      <c r="AH135">
        <f t="shared" si="90"/>
        <v>-869.34302417185233</v>
      </c>
      <c r="AJ135">
        <f t="shared" si="75"/>
        <v>18000</v>
      </c>
      <c r="AK135">
        <f t="shared" si="76"/>
        <v>3584.4843287005201</v>
      </c>
      <c r="AL135">
        <v>1</v>
      </c>
      <c r="AM135">
        <f t="shared" si="77"/>
        <v>7.0528365435011402</v>
      </c>
      <c r="AN135">
        <f t="shared" si="91"/>
        <v>852.94928788220182</v>
      </c>
      <c r="AO135">
        <f t="shared" si="92"/>
        <v>-2431.2275786283471</v>
      </c>
      <c r="AQ135">
        <f t="shared" si="78"/>
        <v>0.98019996079200156</v>
      </c>
      <c r="AR135">
        <f t="shared" si="79"/>
        <v>-99.000196039992161</v>
      </c>
      <c r="AT135">
        <f t="shared" si="104"/>
        <v>-82513.755986074015</v>
      </c>
      <c r="AU135">
        <f t="shared" si="105"/>
        <v>-359540.88712504791</v>
      </c>
      <c r="AV135">
        <f t="shared" si="93"/>
        <v>-1.7963874652593481</v>
      </c>
      <c r="AW135">
        <f t="shared" si="94"/>
        <v>-235088.21386892008</v>
      </c>
      <c r="AX135">
        <f t="shared" si="95"/>
        <v>-92977.576740218472</v>
      </c>
      <c r="AY135">
        <f t="shared" si="103"/>
        <v>-2.764970904145768</v>
      </c>
      <c r="BA135">
        <f t="shared" si="80"/>
        <v>1.4591683800487205</v>
      </c>
      <c r="BB135">
        <f t="shared" si="96"/>
        <v>3.2821081998520221</v>
      </c>
      <c r="BC135">
        <f t="shared" si="97"/>
        <v>0.96858343888641985</v>
      </c>
      <c r="BD135">
        <f t="shared" si="81"/>
        <v>-124.5042567821275</v>
      </c>
      <c r="BF135">
        <f t="shared" si="82"/>
        <v>-2.1640690697529417</v>
      </c>
      <c r="BG135">
        <f t="shared" si="83"/>
        <v>-119.66185887758395</v>
      </c>
      <c r="BH135">
        <f t="shared" si="98"/>
        <v>60.338141122416047</v>
      </c>
      <c r="BI135">
        <f t="shared" si="99"/>
        <v>60.338141122416047</v>
      </c>
      <c r="BJ135">
        <f t="shared" si="84"/>
        <v>0</v>
      </c>
      <c r="BK135">
        <f t="shared" si="100"/>
        <v>0</v>
      </c>
      <c r="BM135">
        <f t="shared" si="101"/>
        <v>-5.4461772696049628</v>
      </c>
      <c r="BN135">
        <f t="shared" si="85"/>
        <v>-175.15760209545644</v>
      </c>
      <c r="BQ135" s="56">
        <f t="shared" si="102"/>
        <v>20.184069000137157</v>
      </c>
      <c r="BR135" s="59"/>
      <c r="BS135" s="59"/>
      <c r="BT135" s="59">
        <v>1778.279</v>
      </c>
      <c r="BU135" s="59">
        <v>10.213699999999999</v>
      </c>
      <c r="BV135" s="59">
        <v>-256.01499999999999</v>
      </c>
      <c r="BW135" s="61"/>
      <c r="BY135" s="59"/>
      <c r="BZ135" s="59"/>
      <c r="CA135" s="59"/>
      <c r="CC135" s="59"/>
    </row>
    <row r="136" spans="1:81" x14ac:dyDescent="0.2">
      <c r="A136">
        <f t="shared" si="106"/>
        <v>51000</v>
      </c>
      <c r="B136">
        <f t="shared" si="86"/>
        <v>51</v>
      </c>
      <c r="C136">
        <f t="shared" si="55"/>
        <v>1.0000757035250643</v>
      </c>
      <c r="D136">
        <f t="shared" si="56"/>
        <v>1.2304369103677052E-2</v>
      </c>
      <c r="F136">
        <f t="shared" si="57"/>
        <v>3.4892201695978085E-2</v>
      </c>
      <c r="G136">
        <f t="shared" si="58"/>
        <v>7.1575161877072566E-2</v>
      </c>
      <c r="H136">
        <f t="shared" si="59"/>
        <v>-3.0700174881229279</v>
      </c>
      <c r="J136">
        <f t="shared" si="60"/>
        <v>15</v>
      </c>
      <c r="M136">
        <f t="shared" si="61"/>
        <v>4.4249973941218835E-3</v>
      </c>
      <c r="N136">
        <f t="shared" si="62"/>
        <v>-1.5707963250000001</v>
      </c>
      <c r="O136">
        <f t="shared" si="63"/>
        <v>47.874933819388474</v>
      </c>
      <c r="P136">
        <f t="shared" si="64"/>
        <v>1.5499070502800851</v>
      </c>
      <c r="Q136">
        <f t="shared" si="65"/>
        <v>7.1925224791323998</v>
      </c>
      <c r="R136">
        <f t="shared" si="66"/>
        <v>1.4313111791369992</v>
      </c>
      <c r="S136">
        <f t="shared" si="67"/>
        <v>0.98037090624526835</v>
      </c>
      <c r="T136">
        <f t="shared" si="68"/>
        <v>-0.19846233353398487</v>
      </c>
      <c r="U136">
        <f t="shared" si="69"/>
        <v>0.97666534395664506</v>
      </c>
      <c r="V136">
        <f t="shared" si="70"/>
        <v>-0.21645311754831645</v>
      </c>
      <c r="X136">
        <f t="shared" si="87"/>
        <v>-2.3421772902707199</v>
      </c>
      <c r="Y136">
        <f t="shared" si="71"/>
        <v>-118.15573856247855</v>
      </c>
      <c r="Z136">
        <f t="shared" si="88"/>
        <v>61.844261437521453</v>
      </c>
      <c r="AC136">
        <v>1</v>
      </c>
      <c r="AD136">
        <f t="shared" si="72"/>
        <v>47.864488801310998</v>
      </c>
      <c r="AE136">
        <f t="shared" si="73"/>
        <v>-2.7608065332928216E-3</v>
      </c>
      <c r="AF136">
        <f t="shared" si="74"/>
        <v>1.2554935202754001E-2</v>
      </c>
      <c r="AG136">
        <f t="shared" si="89"/>
        <v>3619.8508760134864</v>
      </c>
      <c r="AH136">
        <f t="shared" si="90"/>
        <v>-875.64832239295333</v>
      </c>
      <c r="AJ136">
        <f t="shared" si="75"/>
        <v>18000</v>
      </c>
      <c r="AK136">
        <f t="shared" si="76"/>
        <v>3619.9742725490401</v>
      </c>
      <c r="AL136">
        <v>1</v>
      </c>
      <c r="AM136">
        <f t="shared" si="77"/>
        <v>7.1226666082882799</v>
      </c>
      <c r="AN136">
        <f t="shared" si="91"/>
        <v>846.3532936554368</v>
      </c>
      <c r="AO136">
        <f t="shared" si="92"/>
        <v>-2408.3180709853455</v>
      </c>
      <c r="AQ136">
        <f t="shared" si="78"/>
        <v>0.96107640557424312</v>
      </c>
      <c r="AR136">
        <f t="shared" si="79"/>
        <v>-98.029793368572797</v>
      </c>
      <c r="AT136">
        <f t="shared" si="104"/>
        <v>-82360.670839084807</v>
      </c>
      <c r="AU136">
        <f t="shared" si="105"/>
        <v>-355694.79834288178</v>
      </c>
      <c r="AV136">
        <f t="shared" si="93"/>
        <v>-1.7983351133787284</v>
      </c>
      <c r="AW136">
        <f t="shared" si="94"/>
        <v>-230522.18476065947</v>
      </c>
      <c r="AX136">
        <f t="shared" si="95"/>
        <v>-91390.903292865623</v>
      </c>
      <c r="AY136">
        <f t="shared" si="103"/>
        <v>-2.7641489262706651</v>
      </c>
      <c r="BA136">
        <f t="shared" si="80"/>
        <v>1.4723342015873901</v>
      </c>
      <c r="BB136">
        <f t="shared" si="96"/>
        <v>3.3601280129548039</v>
      </c>
      <c r="BC136">
        <f t="shared" si="97"/>
        <v>0.96581381289193668</v>
      </c>
      <c r="BD136">
        <f t="shared" si="81"/>
        <v>-124.66294466262245</v>
      </c>
      <c r="BF136">
        <f t="shared" si="82"/>
        <v>-2.2628217929500827</v>
      </c>
      <c r="BG136">
        <f t="shared" si="83"/>
        <v>-119.85700154439706</v>
      </c>
      <c r="BH136">
        <f t="shared" si="98"/>
        <v>60.142998455602935</v>
      </c>
      <c r="BI136">
        <f t="shared" si="99"/>
        <v>60.142998455602935</v>
      </c>
      <c r="BJ136">
        <f t="shared" si="84"/>
        <v>0</v>
      </c>
      <c r="BK136">
        <f t="shared" si="100"/>
        <v>0</v>
      </c>
      <c r="BM136">
        <f t="shared" si="101"/>
        <v>-5.6229498059048879</v>
      </c>
      <c r="BN136">
        <f t="shared" si="85"/>
        <v>-175.19405688177463</v>
      </c>
      <c r="BQ136" s="56">
        <f t="shared" si="102"/>
        <v>20.262088813239941</v>
      </c>
      <c r="BR136" s="59"/>
      <c r="BS136" s="59"/>
      <c r="BT136" s="59">
        <v>1819.701</v>
      </c>
      <c r="BU136" s="59">
        <v>10.045199999999999</v>
      </c>
      <c r="BV136" s="59">
        <v>-255.833</v>
      </c>
      <c r="BW136" s="61"/>
      <c r="BY136" s="59"/>
      <c r="BZ136" s="59"/>
      <c r="CA136" s="59"/>
      <c r="CC136" s="59"/>
    </row>
    <row r="137" spans="1:81" x14ac:dyDescent="0.2">
      <c r="A137">
        <f t="shared" si="106"/>
        <v>51500</v>
      </c>
      <c r="B137">
        <f t="shared" si="86"/>
        <v>51.5</v>
      </c>
      <c r="C137">
        <f t="shared" ref="C137:C200" si="107">SQRT((A137/Fesr)^2+1)</f>
        <v>1.0000771951267253</v>
      </c>
      <c r="D137">
        <f t="shared" ref="D137:D200" si="108">ATAN(A137/Fesr)</f>
        <v>1.2424987818585797E-2</v>
      </c>
      <c r="F137">
        <f t="shared" ref="F137:F200" si="109">(Ro/(Ro+Rdcr))/SQRT((A137/(Q*Fo))^2+(1-(A137^2/Fo^2))^2)</f>
        <v>3.4196440708306727E-2</v>
      </c>
      <c r="G137">
        <f t="shared" ref="G137:G200" si="110">-ATAN(A137*Fo/(Q*(Fo^2-A137^2)))</f>
        <v>7.0834410639459389E-2</v>
      </c>
      <c r="H137">
        <f t="shared" ref="H137:H200" si="111">IF(G137&gt;0,G137-Pi,G137)</f>
        <v>-3.0707582393605408</v>
      </c>
      <c r="J137">
        <f t="shared" ref="J137:J200" si="112">Vin/Vramp</f>
        <v>15</v>
      </c>
      <c r="M137">
        <f t="shared" ref="M137:M200" si="113">1/(2*Pi*_Rfb1*(Cc1ea_u+Cc2ea_u)*A137)</f>
        <v>4.3820362543731282E-3</v>
      </c>
      <c r="N137">
        <f t="shared" ref="N137:N200" si="114">-Pi/2</f>
        <v>-1.5707963250000001</v>
      </c>
      <c r="O137">
        <f t="shared" ref="O137:O200" si="115">SQRT(1+(A137/Fz1_u)^2)</f>
        <v>48.344092127379881</v>
      </c>
      <c r="P137">
        <f t="shared" ref="P137:P200" si="116">ATAN2(Fz1_u,A137)</f>
        <v>1.5501098006525391</v>
      </c>
      <c r="Q137">
        <f t="shared" ref="Q137:Q200" si="117">SQRT(1+(A137/Fz2_u)^2)</f>
        <v>7.2616808241756949</v>
      </c>
      <c r="R137">
        <f t="shared" ref="R137:R200" si="118">ATAN2(Fz2_u,A137)</f>
        <v>1.4326481569190808</v>
      </c>
      <c r="S137">
        <f t="shared" ref="S137:S200" si="119">1/SQRT(1+(A137/Fp1_u)^2)</f>
        <v>0.97999566434646224</v>
      </c>
      <c r="T137">
        <f t="shared" ref="T137:T200" si="120">-ATAN2(Fp1_u,A137)</f>
        <v>-0.20035662863318315</v>
      </c>
      <c r="U137">
        <f t="shared" ref="U137:U200" si="121">1/SQRT(1+(A137/Fp2_u)^2)</f>
        <v>0.9762218293312861</v>
      </c>
      <c r="V137">
        <f t="shared" ref="V137:V200" si="122">-ATAN2(Fp2_u,A137)</f>
        <v>-0.21850861018151219</v>
      </c>
      <c r="X137">
        <f t="shared" si="87"/>
        <v>-2.4413022183005104</v>
      </c>
      <c r="Y137">
        <f t="shared" ref="Y137:Y200" si="123">(180/Pi)*(D137+H137+N137+P137+R137+T137+V137)</f>
        <v>-118.32935578115308</v>
      </c>
      <c r="Z137">
        <f t="shared" si="88"/>
        <v>61.670644218846917</v>
      </c>
      <c r="AC137">
        <v>1</v>
      </c>
      <c r="AD137">
        <f t="shared" ref="AD137:AD200" si="124">Rcea1_u*Cc1ea_u*A137*2*Pi</f>
        <v>48.333748495441498</v>
      </c>
      <c r="AE137">
        <f t="shared" ref="AE137:AE200" si="125">-Rcea1_u*Cc1ea_u*Cc2ea_u*(A137*2*Pi)^2</f>
        <v>-2.8152053548350193E-3</v>
      </c>
      <c r="AF137">
        <f t="shared" ref="AF137:AF200" si="126">(Cc2ea_u+Cc1ea_u)*A137*2*Pi</f>
        <v>1.2678022802781E-2</v>
      </c>
      <c r="AG137">
        <f t="shared" si="89"/>
        <v>3616.5639931786613</v>
      </c>
      <c r="AH137">
        <f t="shared" si="90"/>
        <v>-881.94906206095379</v>
      </c>
      <c r="AJ137">
        <f t="shared" ref="AJ137:AJ200" si="127">_Rfb1</f>
        <v>18000</v>
      </c>
      <c r="AK137">
        <f t="shared" ref="AK137:AK200" si="128">_Rfb1*Rcea2_u*Cc3ea_u*A137*2*Pi</f>
        <v>3655.4642163975595</v>
      </c>
      <c r="AL137">
        <v>1</v>
      </c>
      <c r="AM137">
        <f t="shared" ref="AM137:AM200" si="129">(_Rfb1+Rcea2_u)*Cc3ea_u*A137*2*Pi</f>
        <v>7.1924966730754214</v>
      </c>
      <c r="AN137">
        <f t="shared" si="91"/>
        <v>839.94362372013165</v>
      </c>
      <c r="AO137">
        <f t="shared" si="92"/>
        <v>-2385.8275027804002</v>
      </c>
      <c r="AQ137">
        <f t="shared" ref="AQ137:AQ200" si="130">Eadcg/(1+(Eadcg*A137/GBP)^2)</f>
        <v>0.94250706880301605</v>
      </c>
      <c r="AR137">
        <f t="shared" ref="AR137:AR200" si="131">-(A137*Eadcg*Eadcg/GBP)/(1+(Eadcg*A137/GBP)^2)</f>
        <v>-97.078228086710652</v>
      </c>
      <c r="AT137">
        <f t="shared" si="104"/>
        <v>-82209.41507926445</v>
      </c>
      <c r="AU137">
        <f t="shared" si="105"/>
        <v>-351920.86744529981</v>
      </c>
      <c r="AV137">
        <f t="shared" si="93"/>
        <v>-1.8002830302846573</v>
      </c>
      <c r="AW137">
        <f t="shared" si="94"/>
        <v>-226084.98318113291</v>
      </c>
      <c r="AX137">
        <f t="shared" si="95"/>
        <v>-89854.447237828324</v>
      </c>
      <c r="AY137">
        <f t="shared" si="103"/>
        <v>-2.7632980547133346</v>
      </c>
      <c r="BA137">
        <f t="shared" ref="BA137:BA200" si="132">SQRT(AT137^2+AU137^2)/SQRT(AW137^2+AX137^2)</f>
        <v>1.4854737617860154</v>
      </c>
      <c r="BB137">
        <f t="shared" si="96"/>
        <v>3.4372997035787805</v>
      </c>
      <c r="BC137">
        <f t="shared" si="97"/>
        <v>0.96301502442867726</v>
      </c>
      <c r="BD137">
        <f t="shared" ref="BD137:BD200" si="133">BC137*180/Pi-180</f>
        <v>-124.82330342950036</v>
      </c>
      <c r="BF137">
        <f t="shared" ref="BF137:BF200" si="134">20*LOG(BA137*J137*F137*C137)</f>
        <v>-2.3605865241007331</v>
      </c>
      <c r="BG137">
        <f t="shared" ref="BG137:BG200" si="135">(180/Pi)*(D137+H137+BC137)</f>
        <v>-120.05289128760533</v>
      </c>
      <c r="BH137">
        <f t="shared" si="98"/>
        <v>59.947108712394666</v>
      </c>
      <c r="BI137">
        <f t="shared" si="99"/>
        <v>59.947108712394666</v>
      </c>
      <c r="BJ137">
        <f t="shared" ref="BJ137:BJ200" si="136">SUM((BF138&lt;0)*(BF137&gt;0))*A137</f>
        <v>0</v>
      </c>
      <c r="BK137">
        <f t="shared" si="100"/>
        <v>0</v>
      </c>
      <c r="BM137">
        <f t="shared" si="101"/>
        <v>-5.7978862276795162</v>
      </c>
      <c r="BN137">
        <f t="shared" ref="BN137:BN200" si="137">(H137+D137)*180/Pi</f>
        <v>-175.22958785810499</v>
      </c>
      <c r="BQ137" s="56">
        <f t="shared" si="102"/>
        <v>20.339260503863915</v>
      </c>
      <c r="BR137" s="59"/>
      <c r="BS137" s="59"/>
      <c r="BT137" s="59">
        <v>1862.087</v>
      </c>
      <c r="BU137" s="59">
        <v>9.8767200000000006</v>
      </c>
      <c r="BV137" s="59">
        <v>-255.47</v>
      </c>
      <c r="BW137" s="61"/>
      <c r="BY137" s="59"/>
      <c r="BZ137" s="59"/>
      <c r="CA137" s="59"/>
      <c r="CC137" s="59"/>
    </row>
    <row r="138" spans="1:81" x14ac:dyDescent="0.2">
      <c r="A138">
        <f t="shared" si="106"/>
        <v>52000</v>
      </c>
      <c r="B138">
        <f t="shared" ref="B138:B201" si="138">A138/1000</f>
        <v>52</v>
      </c>
      <c r="C138">
        <f t="shared" si="107"/>
        <v>1.0000787012783401</v>
      </c>
      <c r="D138">
        <f t="shared" si="108"/>
        <v>1.2545606171937845E-2</v>
      </c>
      <c r="F138">
        <f t="shared" si="109"/>
        <v>3.3521488707645611E-2</v>
      </c>
      <c r="G138">
        <f t="shared" si="110"/>
        <v>7.0109261311470134E-2</v>
      </c>
      <c r="H138">
        <f t="shared" si="111"/>
        <v>-3.07148338868853</v>
      </c>
      <c r="J138">
        <f t="shared" si="112"/>
        <v>15</v>
      </c>
      <c r="M138">
        <f t="shared" si="113"/>
        <v>4.3399012903887714E-3</v>
      </c>
      <c r="N138">
        <f t="shared" si="114"/>
        <v>-1.5707963250000001</v>
      </c>
      <c r="O138">
        <f t="shared" si="115"/>
        <v>48.813252384485011</v>
      </c>
      <c r="P138">
        <f t="shared" si="116"/>
        <v>1.5503086536317281</v>
      </c>
      <c r="Q138">
        <f t="shared" si="117"/>
        <v>7.3308519046201903</v>
      </c>
      <c r="R138">
        <f t="shared" si="118"/>
        <v>1.43395990659971</v>
      </c>
      <c r="S138">
        <f t="shared" si="119"/>
        <v>0.979617198417151</v>
      </c>
      <c r="T138">
        <f t="shared" si="120"/>
        <v>-0.20224946739912869</v>
      </c>
      <c r="U138">
        <f t="shared" si="121"/>
        <v>0.97577460025889895</v>
      </c>
      <c r="V138">
        <f t="shared" si="122"/>
        <v>-0.22056222815037674</v>
      </c>
      <c r="X138">
        <f t="shared" ref="X138:X201" si="139">20*LOG(C138*J138*O138*Q138*F138*M138*S138*U138)</f>
        <v>-2.5394662353335562</v>
      </c>
      <c r="Y138">
        <f t="shared" si="123"/>
        <v>-118.50355701279051</v>
      </c>
      <c r="Z138">
        <f t="shared" ref="Z138:Z201" si="140">Y138+180</f>
        <v>61.496442987209491</v>
      </c>
      <c r="AC138">
        <v>1</v>
      </c>
      <c r="AD138">
        <f t="shared" si="124"/>
        <v>48.803008189571997</v>
      </c>
      <c r="AE138">
        <f t="shared" si="125"/>
        <v>-2.8701348965873854E-3</v>
      </c>
      <c r="AF138">
        <f t="shared" si="126"/>
        <v>1.2801110402808E-2</v>
      </c>
      <c r="AG138">
        <f t="shared" ref="AG138:AG201" si="141">AC138*AE138/(AE138^2+AF138^2)+AD138*AF138/(AE138^2+AF138^2)</f>
        <v>3613.2510943675893</v>
      </c>
      <c r="AH138">
        <f t="shared" ref="AH138:AH201" si="142">AD138*AE138/(AE138^2+AF138^2)-AC138*AF138/(AE138^2+AF138^2)</f>
        <v>-888.24466771123116</v>
      </c>
      <c r="AJ138">
        <f t="shared" si="127"/>
        <v>18000</v>
      </c>
      <c r="AK138">
        <f t="shared" si="128"/>
        <v>3690.9541602460799</v>
      </c>
      <c r="AL138">
        <v>1</v>
      </c>
      <c r="AM138">
        <f t="shared" si="129"/>
        <v>7.2623267378625611</v>
      </c>
      <c r="AN138">
        <f t="shared" ref="AN138:AN201" si="143">AJ138*AL138/(AL138^2+AM138^2)+AK138*AM138/(AL138^2+AM138^2)</f>
        <v>833.71337027356833</v>
      </c>
      <c r="AO138">
        <f t="shared" ref="AO138:AO201" si="144">AK138*AL138/(AL138^2+AM138^2)-AJ138*AM138/(AL138^2+AM138^2)</f>
        <v>-2363.7447404051659</v>
      </c>
      <c r="AQ138">
        <f t="shared" si="130"/>
        <v>0.92447074050106315</v>
      </c>
      <c r="AR138">
        <f t="shared" si="131"/>
        <v>-96.144957012110567</v>
      </c>
      <c r="AT138">
        <f t="shared" si="104"/>
        <v>-82059.900478506461</v>
      </c>
      <c r="AU138">
        <f t="shared" si="105"/>
        <v>-348217.02734763845</v>
      </c>
      <c r="AV138">
        <f t="shared" ref="AV138:AV201" si="145">ATAN2(AT138,AU138)</f>
        <v>-1.8022311398087392</v>
      </c>
      <c r="AW138">
        <f t="shared" ref="AW138:AW201" si="146">AG138-AH138*AO138/_Rfb2+AG138*AN138/_Rfb2+AN138-AO138*AR138+AQ138*AN138</f>
        <v>-221771.84656896489</v>
      </c>
      <c r="AX138">
        <f t="shared" ref="AX138:AX201" si="147">AH138+AH138*AN138/_Rfb2+AG138*AO138/_Rfb2+AO138+AO138*AQ138+AN138*AR138</f>
        <v>-88366.051065130843</v>
      </c>
      <c r="AY138">
        <f t="shared" si="103"/>
        <v>-2.7624190769958368</v>
      </c>
      <c r="BA138">
        <f t="shared" si="132"/>
        <v>1.4985866969225015</v>
      </c>
      <c r="BB138">
        <f t="shared" ref="BB138:BB201" si="148">20*LOG(BA138)</f>
        <v>3.5136374602263865</v>
      </c>
      <c r="BC138">
        <f t="shared" ref="BC138:BC201" si="149">AV138-AY138</f>
        <v>0.96018793718709761</v>
      </c>
      <c r="BD138">
        <f t="shared" si="133"/>
        <v>-124.98528359694325</v>
      </c>
      <c r="BF138">
        <f t="shared" si="134"/>
        <v>-2.4573878421007285</v>
      </c>
      <c r="BG138">
        <f t="shared" si="135"/>
        <v>-120.24950852851944</v>
      </c>
      <c r="BH138">
        <f t="shared" ref="BH138:BH201" si="150">IF(BG138&gt;180,BG138-180,BG138+180)</f>
        <v>59.750491471480558</v>
      </c>
      <c r="BI138">
        <f t="shared" ref="BI138:BI201" si="151">IF(BH138&gt;180,BH138-360,BH138)</f>
        <v>59.750491471480558</v>
      </c>
      <c r="BJ138">
        <f t="shared" si="136"/>
        <v>0</v>
      </c>
      <c r="BK138">
        <f t="shared" ref="BK138:BK201" si="152">IF(BJ138&gt;0,BI138,0)</f>
        <v>0</v>
      </c>
      <c r="BM138">
        <f t="shared" ref="BM138:BM201" si="153">20*LOG(J138*F138*C138)</f>
        <v>-5.9710253023271154</v>
      </c>
      <c r="BN138">
        <f t="shared" si="137"/>
        <v>-175.26422493157622</v>
      </c>
      <c r="BQ138" s="56">
        <f t="shared" ref="BQ138:BQ201" si="154">20*LOG(BA138*7)</f>
        <v>20.415598260511523</v>
      </c>
      <c r="BR138" s="59"/>
      <c r="BS138" s="59"/>
      <c r="BT138" s="59">
        <v>1905.461</v>
      </c>
      <c r="BU138" s="59">
        <v>9.7134199999999993</v>
      </c>
      <c r="BV138" s="59">
        <v>-255.059</v>
      </c>
      <c r="BW138" s="61"/>
      <c r="BY138" s="59"/>
      <c r="BZ138" s="59"/>
      <c r="CA138" s="59"/>
      <c r="CC138" s="59"/>
    </row>
    <row r="139" spans="1:81" x14ac:dyDescent="0.2">
      <c r="A139">
        <f t="shared" si="106"/>
        <v>52500</v>
      </c>
      <c r="B139">
        <f t="shared" si="138"/>
        <v>52.5</v>
      </c>
      <c r="C139">
        <f t="shared" si="107"/>
        <v>1.0000802219798433</v>
      </c>
      <c r="D139">
        <f t="shared" si="108"/>
        <v>1.2666224160225141E-2</v>
      </c>
      <c r="F139">
        <f t="shared" si="109"/>
        <v>3.286651640103129E-2</v>
      </c>
      <c r="G139">
        <f t="shared" si="110"/>
        <v>6.9399214631731654E-2</v>
      </c>
      <c r="H139">
        <f t="shared" si="111"/>
        <v>-3.0721934353682685</v>
      </c>
      <c r="J139">
        <f t="shared" si="112"/>
        <v>15</v>
      </c>
      <c r="M139">
        <f t="shared" si="113"/>
        <v>4.298568897146973E-3</v>
      </c>
      <c r="N139">
        <f t="shared" si="114"/>
        <v>-1.5707963250000001</v>
      </c>
      <c r="O139">
        <f t="shared" si="115"/>
        <v>49.282414535038157</v>
      </c>
      <c r="P139">
        <f t="shared" si="116"/>
        <v>1.5505037205097214</v>
      </c>
      <c r="Q139">
        <f t="shared" si="117"/>
        <v>7.4000353633372784</v>
      </c>
      <c r="R139">
        <f t="shared" si="118"/>
        <v>1.4352471311781145</v>
      </c>
      <c r="S139">
        <f t="shared" si="119"/>
        <v>0.97923552032226913</v>
      </c>
      <c r="T139">
        <f t="shared" si="120"/>
        <v>-0.20414083796287147</v>
      </c>
      <c r="U139">
        <f t="shared" si="121"/>
        <v>0.97532367315096957</v>
      </c>
      <c r="V139">
        <f t="shared" si="122"/>
        <v>-0.2226139567205363</v>
      </c>
      <c r="X139">
        <f t="shared" si="139"/>
        <v>-2.6366927827200231</v>
      </c>
      <c r="Y139">
        <f t="shared" si="123"/>
        <v>-118.67832268344868</v>
      </c>
      <c r="Z139">
        <f t="shared" si="140"/>
        <v>61.321677316551316</v>
      </c>
      <c r="AC139">
        <v>1</v>
      </c>
      <c r="AD139">
        <f t="shared" si="124"/>
        <v>49.272267883702497</v>
      </c>
      <c r="AE139">
        <f t="shared" si="125"/>
        <v>-2.9255951585499193E-3</v>
      </c>
      <c r="AF139">
        <f t="shared" si="126"/>
        <v>1.2924198002834999E-2</v>
      </c>
      <c r="AG139">
        <f t="shared" si="141"/>
        <v>3609.9123388907656</v>
      </c>
      <c r="AH139">
        <f t="shared" si="142"/>
        <v>-894.53458225511815</v>
      </c>
      <c r="AJ139">
        <f t="shared" si="127"/>
        <v>18000</v>
      </c>
      <c r="AK139">
        <f t="shared" si="128"/>
        <v>3726.4441040946003</v>
      </c>
      <c r="AL139">
        <v>1</v>
      </c>
      <c r="AM139">
        <f t="shared" si="129"/>
        <v>7.3321568026497008</v>
      </c>
      <c r="AN139">
        <f t="shared" si="143"/>
        <v>827.65594065172752</v>
      </c>
      <c r="AO139">
        <f t="shared" si="144"/>
        <v>-2342.0590314084002</v>
      </c>
      <c r="AQ139">
        <f t="shared" si="130"/>
        <v>0.90694721567204784</v>
      </c>
      <c r="AR139">
        <f t="shared" si="131"/>
        <v>-95.229457645565034</v>
      </c>
      <c r="AT139">
        <f t="shared" si="104"/>
        <v>-81912.043168779826</v>
      </c>
      <c r="AU139">
        <f t="shared" si="105"/>
        <v>-344581.28982929944</v>
      </c>
      <c r="AV139">
        <f t="shared" si="145"/>
        <v>-1.8041793682069953</v>
      </c>
      <c r="AW139">
        <f t="shared" si="146"/>
        <v>-217578.22890450165</v>
      </c>
      <c r="AX139">
        <f t="shared" si="147"/>
        <v>-86923.671447724468</v>
      </c>
      <c r="AY139">
        <f t="shared" ref="AY139:AY202" si="155">ATAN2(AW139,AX139)</f>
        <v>-2.7615127519659097</v>
      </c>
      <c r="BA139">
        <f t="shared" si="132"/>
        <v>1.5116726467323647</v>
      </c>
      <c r="BB139">
        <f t="shared" si="148"/>
        <v>3.5891550943369319</v>
      </c>
      <c r="BC139">
        <f t="shared" si="149"/>
        <v>0.95733338375891441</v>
      </c>
      <c r="BD139">
        <f t="shared" si="133"/>
        <v>-125.14883746095961</v>
      </c>
      <c r="BF139">
        <f t="shared" si="134"/>
        <v>-2.5532494605789493</v>
      </c>
      <c r="BG139">
        <f t="shared" si="135"/>
        <v>-120.44683416891846</v>
      </c>
      <c r="BH139">
        <f t="shared" si="150"/>
        <v>59.553165831081543</v>
      </c>
      <c r="BI139">
        <f t="shared" si="151"/>
        <v>59.553165831081543</v>
      </c>
      <c r="BJ139">
        <f t="shared" si="136"/>
        <v>0</v>
      </c>
      <c r="BK139">
        <f t="shared" si="152"/>
        <v>0</v>
      </c>
      <c r="BM139">
        <f t="shared" si="153"/>
        <v>-6.1424045549158812</v>
      </c>
      <c r="BN139">
        <f t="shared" si="137"/>
        <v>-175.29799670795887</v>
      </c>
      <c r="BQ139" s="56">
        <f t="shared" si="154"/>
        <v>20.49111589462207</v>
      </c>
      <c r="BR139" s="59"/>
      <c r="BS139" s="59"/>
      <c r="BT139" s="59">
        <v>1949.845</v>
      </c>
      <c r="BU139" s="59">
        <v>9.5268499999999996</v>
      </c>
      <c r="BV139" s="59">
        <v>-254.971</v>
      </c>
      <c r="BW139" s="61"/>
      <c r="BY139" s="59"/>
      <c r="BZ139" s="59"/>
      <c r="CA139" s="59"/>
      <c r="CC139" s="59"/>
    </row>
    <row r="140" spans="1:81" x14ac:dyDescent="0.2">
      <c r="A140">
        <f t="shared" si="106"/>
        <v>53000</v>
      </c>
      <c r="B140">
        <f t="shared" si="138"/>
        <v>53</v>
      </c>
      <c r="C140">
        <f t="shared" si="107"/>
        <v>1.000081757231168</v>
      </c>
      <c r="D140">
        <f t="shared" si="108"/>
        <v>1.2786841779939682E-2</v>
      </c>
      <c r="F140">
        <f t="shared" si="109"/>
        <v>3.2230735755805172E-2</v>
      </c>
      <c r="G140">
        <f t="shared" si="110"/>
        <v>6.8703792811994444E-2</v>
      </c>
      <c r="H140">
        <f t="shared" si="111"/>
        <v>-3.0728888571880058</v>
      </c>
      <c r="J140">
        <f t="shared" si="112"/>
        <v>15</v>
      </c>
      <c r="M140">
        <f t="shared" si="113"/>
        <v>4.2580163603814355E-3</v>
      </c>
      <c r="N140">
        <f t="shared" si="114"/>
        <v>-1.5707963250000001</v>
      </c>
      <c r="O140">
        <f t="shared" si="115"/>
        <v>49.751578525473143</v>
      </c>
      <c r="P140">
        <f t="shared" si="116"/>
        <v>1.5506951083817706</v>
      </c>
      <c r="Q140">
        <f t="shared" si="117"/>
        <v>7.4692308563671705</v>
      </c>
      <c r="R140">
        <f t="shared" si="118"/>
        <v>1.436510507935115</v>
      </c>
      <c r="S140">
        <f t="shared" si="119"/>
        <v>0.97885064200227401</v>
      </c>
      <c r="T140">
        <f t="shared" si="120"/>
        <v>-0.20603072851588386</v>
      </c>
      <c r="U140">
        <f t="shared" si="121"/>
        <v>0.97486906451324384</v>
      </c>
      <c r="V140">
        <f t="shared" si="122"/>
        <v>-0.22466378124834474</v>
      </c>
      <c r="X140">
        <f t="shared" si="139"/>
        <v>-2.7330044763753096</v>
      </c>
      <c r="Y140">
        <f t="shared" si="123"/>
        <v>-118.85363371154234</v>
      </c>
      <c r="Z140">
        <f t="shared" si="140"/>
        <v>61.146366288457656</v>
      </c>
      <c r="AC140">
        <v>1</v>
      </c>
      <c r="AD140">
        <f t="shared" si="124"/>
        <v>49.741527577832997</v>
      </c>
      <c r="AE140">
        <f t="shared" si="125"/>
        <v>-2.9815861407226207E-3</v>
      </c>
      <c r="AF140">
        <f t="shared" si="126"/>
        <v>1.3047285602862E-2</v>
      </c>
      <c r="AG140">
        <f t="shared" si="141"/>
        <v>3606.5478868437517</v>
      </c>
      <c r="AH140">
        <f t="shared" si="142"/>
        <v>-900.81826619075787</v>
      </c>
      <c r="AJ140">
        <f t="shared" si="127"/>
        <v>18000</v>
      </c>
      <c r="AK140">
        <f t="shared" si="128"/>
        <v>3761.9340479431198</v>
      </c>
      <c r="AL140">
        <v>1</v>
      </c>
      <c r="AM140">
        <f t="shared" si="129"/>
        <v>7.4019868674368405</v>
      </c>
      <c r="AN140">
        <f t="shared" si="143"/>
        <v>821.76504034528443</v>
      </c>
      <c r="AO140">
        <f t="shared" si="144"/>
        <v>-2320.7599888113809</v>
      </c>
      <c r="AQ140">
        <f t="shared" si="130"/>
        <v>0.88991723769689424</v>
      </c>
      <c r="AR140">
        <f t="shared" si="131"/>
        <v>-94.331227195870781</v>
      </c>
      <c r="AT140">
        <f t="shared" si="104"/>
        <v>-81765.763397149218</v>
      </c>
      <c r="AU140">
        <f t="shared" si="105"/>
        <v>-341011.74180976098</v>
      </c>
      <c r="AV140">
        <f t="shared" si="145"/>
        <v>-1.8061276440503664</v>
      </c>
      <c r="AW140">
        <f t="shared" si="146"/>
        <v>-213499.78908669573</v>
      </c>
      <c r="AX140">
        <f t="shared" si="147"/>
        <v>-85525.372147928603</v>
      </c>
      <c r="AY140">
        <f t="shared" si="155"/>
        <v>-2.7605798111189372</v>
      </c>
      <c r="BA140">
        <f t="shared" si="132"/>
        <v>1.5247312542917608</v>
      </c>
      <c r="BB140">
        <f t="shared" si="148"/>
        <v>3.6638660531516787</v>
      </c>
      <c r="BC140">
        <f t="shared" si="149"/>
        <v>0.95445216706857083</v>
      </c>
      <c r="BD140">
        <f t="shared" si="133"/>
        <v>-125.3139190173676</v>
      </c>
      <c r="BF140">
        <f t="shared" si="134"/>
        <v>-2.6481942684793558</v>
      </c>
      <c r="BG140">
        <f t="shared" si="135"/>
        <v>-120.64484958007178</v>
      </c>
      <c r="BH140">
        <f t="shared" si="150"/>
        <v>59.355150419928222</v>
      </c>
      <c r="BI140">
        <f t="shared" si="151"/>
        <v>59.355150419928222</v>
      </c>
      <c r="BJ140">
        <f t="shared" si="136"/>
        <v>0</v>
      </c>
      <c r="BK140">
        <f t="shared" si="152"/>
        <v>0</v>
      </c>
      <c r="BM140">
        <f t="shared" si="153"/>
        <v>-6.3120603216310345</v>
      </c>
      <c r="BN140">
        <f t="shared" si="137"/>
        <v>-175.3309305627042</v>
      </c>
      <c r="BQ140" s="56">
        <f t="shared" si="154"/>
        <v>20.565826853436814</v>
      </c>
      <c r="BR140" s="59"/>
      <c r="BS140" s="59"/>
      <c r="BT140" s="59">
        <v>1995.2619999999999</v>
      </c>
      <c r="BU140" s="59">
        <v>9.3349399999999996</v>
      </c>
      <c r="BV140" s="59">
        <v>-254.804</v>
      </c>
      <c r="BW140" s="61"/>
      <c r="BY140" s="59"/>
      <c r="BZ140" s="59"/>
      <c r="CA140" s="59"/>
      <c r="CC140" s="59"/>
    </row>
    <row r="141" spans="1:81" x14ac:dyDescent="0.2">
      <c r="A141">
        <f t="shared" si="106"/>
        <v>53500</v>
      </c>
      <c r="B141">
        <f t="shared" si="138"/>
        <v>53.5</v>
      </c>
      <c r="C141">
        <f t="shared" si="107"/>
        <v>1.0000833070322479</v>
      </c>
      <c r="D141">
        <f t="shared" si="108"/>
        <v>1.2907459027573544E-2</v>
      </c>
      <c r="F141">
        <f t="shared" si="109"/>
        <v>3.1613397540896107E-2</v>
      </c>
      <c r="G141">
        <f t="shared" si="110"/>
        <v>6.8022538378479144E-2</v>
      </c>
      <c r="H141">
        <f t="shared" si="111"/>
        <v>-3.0735701116215211</v>
      </c>
      <c r="J141">
        <f t="shared" si="112"/>
        <v>15</v>
      </c>
      <c r="M141">
        <f t="shared" si="113"/>
        <v>4.2182218149573103E-3</v>
      </c>
      <c r="N141">
        <f t="shared" si="114"/>
        <v>-1.5707963250000001</v>
      </c>
      <c r="O141">
        <f t="shared" si="115"/>
        <v>50.220744304225235</v>
      </c>
      <c r="P141">
        <f t="shared" si="116"/>
        <v>1.5508829203422634</v>
      </c>
      <c r="Q141">
        <f t="shared" si="117"/>
        <v>7.5384380523201875</v>
      </c>
      <c r="R141">
        <f t="shared" si="118"/>
        <v>1.4377506895912691</v>
      </c>
      <c r="S141">
        <f t="shared" si="119"/>
        <v>0.97846257547216964</v>
      </c>
      <c r="T141">
        <f t="shared" si="120"/>
        <v>-0.20791912731039996</v>
      </c>
      <c r="U141">
        <f t="shared" si="121"/>
        <v>0.97441079094416905</v>
      </c>
      <c r="V141">
        <f t="shared" si="122"/>
        <v>-0.22671168718132442</v>
      </c>
      <c r="X141">
        <f t="shared" si="139"/>
        <v>-2.828423145050742</v>
      </c>
      <c r="Y141">
        <f t="shared" si="123"/>
        <v>-119.02947149668975</v>
      </c>
      <c r="Z141">
        <f t="shared" si="140"/>
        <v>60.970528503310248</v>
      </c>
      <c r="AC141">
        <v>1</v>
      </c>
      <c r="AD141">
        <f t="shared" si="124"/>
        <v>50.210787271963497</v>
      </c>
      <c r="AE141">
        <f t="shared" si="125"/>
        <v>-3.038107843105489E-3</v>
      </c>
      <c r="AF141">
        <f t="shared" si="126"/>
        <v>1.3170373202889E-2</v>
      </c>
      <c r="AG141">
        <f t="shared" si="141"/>
        <v>3603.1578990894232</v>
      </c>
      <c r="AH141">
        <f t="shared" si="142"/>
        <v>-907.09519685823898</v>
      </c>
      <c r="AJ141">
        <f t="shared" si="127"/>
        <v>18000</v>
      </c>
      <c r="AK141">
        <f t="shared" si="128"/>
        <v>3797.4239917916398</v>
      </c>
      <c r="AL141">
        <v>1</v>
      </c>
      <c r="AM141">
        <f t="shared" si="129"/>
        <v>7.4718169322239802</v>
      </c>
      <c r="AN141">
        <f t="shared" si="143"/>
        <v>816.03465706686177</v>
      </c>
      <c r="AO141">
        <f t="shared" si="144"/>
        <v>-2299.8375761621269</v>
      </c>
      <c r="AQ141">
        <f t="shared" si="130"/>
        <v>0.8733624454148472</v>
      </c>
      <c r="AR141">
        <f t="shared" si="131"/>
        <v>-93.449781659388648</v>
      </c>
      <c r="AT141">
        <f t="shared" si="104"/>
        <v>-81620.985296718034</v>
      </c>
      <c r="AU141">
        <f t="shared" si="105"/>
        <v>-337506.54183356027</v>
      </c>
      <c r="AV141">
        <f t="shared" si="145"/>
        <v>-1.808075898121364</v>
      </c>
      <c r="AW141">
        <f t="shared" si="146"/>
        <v>-209532.38002592564</v>
      </c>
      <c r="AX141">
        <f t="shared" si="147"/>
        <v>-84169.317426318943</v>
      </c>
      <c r="AY141">
        <f t="shared" si="155"/>
        <v>-2.7596209598486947</v>
      </c>
      <c r="BA141">
        <f t="shared" si="132"/>
        <v>1.5377621659083469</v>
      </c>
      <c r="BB141">
        <f t="shared" si="148"/>
        <v>3.7377834320553527</v>
      </c>
      <c r="BC141">
        <f t="shared" si="149"/>
        <v>0.95154506172733067</v>
      </c>
      <c r="BD141">
        <f t="shared" si="133"/>
        <v>-125.48048388421093</v>
      </c>
      <c r="BF141">
        <f t="shared" si="134"/>
        <v>-2.7422443682852258</v>
      </c>
      <c r="BG141">
        <f t="shared" si="135"/>
        <v>-120.84353659154091</v>
      </c>
      <c r="BH141">
        <f t="shared" si="150"/>
        <v>59.156463408459089</v>
      </c>
      <c r="BI141">
        <f t="shared" si="151"/>
        <v>59.156463408459089</v>
      </c>
      <c r="BJ141">
        <f t="shared" si="136"/>
        <v>0</v>
      </c>
      <c r="BK141">
        <f t="shared" si="152"/>
        <v>0</v>
      </c>
      <c r="BM141">
        <f t="shared" si="153"/>
        <v>-6.4800278003405776</v>
      </c>
      <c r="BN141">
        <f t="shared" si="137"/>
        <v>-175.36305270732998</v>
      </c>
      <c r="BQ141" s="56">
        <f t="shared" si="154"/>
        <v>20.639744232340487</v>
      </c>
      <c r="BR141" s="59"/>
      <c r="BS141" s="59"/>
      <c r="BT141" s="59">
        <v>2041.7380000000001</v>
      </c>
      <c r="BU141" s="59">
        <v>9.0884699999999992</v>
      </c>
      <c r="BV141" s="59">
        <v>-254.411</v>
      </c>
      <c r="BW141" s="61"/>
      <c r="BY141" s="59"/>
      <c r="BZ141" s="59"/>
      <c r="CA141" s="59"/>
      <c r="CC141" s="59"/>
    </row>
    <row r="142" spans="1:81" x14ac:dyDescent="0.2">
      <c r="A142">
        <f t="shared" si="106"/>
        <v>54000</v>
      </c>
      <c r="B142">
        <f t="shared" si="138"/>
        <v>54</v>
      </c>
      <c r="C142">
        <f t="shared" si="107"/>
        <v>1.0000848713830148</v>
      </c>
      <c r="D142">
        <f t="shared" si="108"/>
        <v>1.3028075899618855E-2</v>
      </c>
      <c r="F142">
        <f t="shared" si="109"/>
        <v>3.1013789038597247E-2</v>
      </c>
      <c r="G142">
        <f t="shared" si="110"/>
        <v>6.7355013088243348E-2</v>
      </c>
      <c r="H142">
        <f t="shared" si="111"/>
        <v>-3.0742376369117568</v>
      </c>
      <c r="J142">
        <f t="shared" si="112"/>
        <v>15</v>
      </c>
      <c r="M142">
        <f t="shared" si="113"/>
        <v>4.1791642055595572E-3</v>
      </c>
      <c r="N142">
        <f t="shared" si="114"/>
        <v>-1.5707963250000001</v>
      </c>
      <c r="O142">
        <f t="shared" si="115"/>
        <v>50.689911821638567</v>
      </c>
      <c r="P142">
        <f t="shared" si="116"/>
        <v>1.5510672556698004</v>
      </c>
      <c r="Q142">
        <f t="shared" si="117"/>
        <v>7.6076566318102747</v>
      </c>
      <c r="R142">
        <f t="shared" si="118"/>
        <v>1.4389683054033819</v>
      </c>
      <c r="S142">
        <f t="shared" si="119"/>
        <v>0.97807133282052916</v>
      </c>
      <c r="T142">
        <f t="shared" si="120"/>
        <v>-0.2098060226597494</v>
      </c>
      <c r="U142">
        <f t="shared" si="121"/>
        <v>0.97394886913333611</v>
      </c>
      <c r="V142">
        <f t="shared" si="122"/>
        <v>-0.2287576600585971</v>
      </c>
      <c r="X142">
        <f t="shared" si="139"/>
        <v>-2.922969866408506</v>
      </c>
      <c r="Y142">
        <f t="shared" si="123"/>
        <v>-119.20581790841477</v>
      </c>
      <c r="Z142">
        <f t="shared" si="140"/>
        <v>60.794182091585228</v>
      </c>
      <c r="AC142">
        <v>1</v>
      </c>
      <c r="AD142">
        <f t="shared" si="124"/>
        <v>50.680046966094004</v>
      </c>
      <c r="AE142">
        <f t="shared" si="125"/>
        <v>-3.0951602656985257E-3</v>
      </c>
      <c r="AF142">
        <f t="shared" si="126"/>
        <v>1.3293460802915999E-2</v>
      </c>
      <c r="AG142">
        <f t="shared" si="141"/>
        <v>3599.7425372402136</v>
      </c>
      <c r="AH142">
        <f t="shared" si="142"/>
        <v>-913.36486773612285</v>
      </c>
      <c r="AJ142">
        <f t="shared" si="127"/>
        <v>18000</v>
      </c>
      <c r="AK142">
        <f t="shared" si="128"/>
        <v>3832.9139356401602</v>
      </c>
      <c r="AL142">
        <v>1</v>
      </c>
      <c r="AM142">
        <f t="shared" si="129"/>
        <v>7.5416469970111208</v>
      </c>
      <c r="AN142">
        <f t="shared" si="143"/>
        <v>810.45904579633316</v>
      </c>
      <c r="AO142">
        <f t="shared" si="144"/>
        <v>-2279.2820932902541</v>
      </c>
      <c r="AQ142">
        <f t="shared" si="130"/>
        <v>0.85726532361765961</v>
      </c>
      <c r="AR142">
        <f t="shared" si="131"/>
        <v>-92.584654950707247</v>
      </c>
      <c r="AT142">
        <f t="shared" si="104"/>
        <v>-81477.636672319815</v>
      </c>
      <c r="AU142">
        <f t="shared" si="105"/>
        <v>-334063.91675068939</v>
      </c>
      <c r="AV142">
        <f t="shared" si="145"/>
        <v>-1.8100240633164666</v>
      </c>
      <c r="AW142">
        <f t="shared" si="146"/>
        <v>-205672.03840318954</v>
      </c>
      <c r="AX142">
        <f t="shared" si="147"/>
        <v>-82853.765913277763</v>
      </c>
      <c r="AY142">
        <f t="shared" si="155"/>
        <v>-2.7586368786312749</v>
      </c>
      <c r="BA142">
        <f t="shared" si="132"/>
        <v>1.5507650310194774</v>
      </c>
      <c r="BB142">
        <f t="shared" si="148"/>
        <v>3.8109199864183663</v>
      </c>
      <c r="BC142">
        <f t="shared" si="149"/>
        <v>0.94861281531480834</v>
      </c>
      <c r="BD142">
        <f t="shared" si="133"/>
        <v>-125.64848922833281</v>
      </c>
      <c r="BF142">
        <f t="shared" si="134"/>
        <v>-2.8354211120475998</v>
      </c>
      <c r="BG142">
        <f t="shared" si="135"/>
        <v>-121.04287747984108</v>
      </c>
      <c r="BH142">
        <f t="shared" si="150"/>
        <v>58.957122520158919</v>
      </c>
      <c r="BI142">
        <f t="shared" si="151"/>
        <v>58.957122520158919</v>
      </c>
      <c r="BJ142">
        <f t="shared" si="136"/>
        <v>0</v>
      </c>
      <c r="BK142">
        <f t="shared" si="152"/>
        <v>0</v>
      </c>
      <c r="BM142">
        <f t="shared" si="153"/>
        <v>-6.6463410984659665</v>
      </c>
      <c r="BN142">
        <f t="shared" si="137"/>
        <v>-175.3943882515083</v>
      </c>
      <c r="BQ142" s="56">
        <f t="shared" si="154"/>
        <v>20.712880786703501</v>
      </c>
      <c r="BR142" s="59"/>
      <c r="BS142" s="59"/>
      <c r="BT142" s="59">
        <v>2089.2959999999998</v>
      </c>
      <c r="BU142" s="59">
        <v>8.9698600000000006</v>
      </c>
      <c r="BV142" s="59">
        <v>-254.113</v>
      </c>
      <c r="BW142" s="61"/>
      <c r="BY142" s="59"/>
      <c r="BZ142" s="59"/>
      <c r="CA142" s="59"/>
      <c r="CC142" s="59"/>
    </row>
    <row r="143" spans="1:81" x14ac:dyDescent="0.2">
      <c r="A143">
        <f t="shared" si="106"/>
        <v>54500</v>
      </c>
      <c r="B143">
        <f t="shared" si="138"/>
        <v>54.5</v>
      </c>
      <c r="C143">
        <f t="shared" si="107"/>
        <v>1.0000864502834006</v>
      </c>
      <c r="D143">
        <f t="shared" si="108"/>
        <v>1.3148692392567815E-2</v>
      </c>
      <c r="F143">
        <f t="shared" si="109"/>
        <v>3.0431231913369532E-2</v>
      </c>
      <c r="G143">
        <f t="shared" si="110"/>
        <v>6.6700796914918467E-2</v>
      </c>
      <c r="H143">
        <f t="shared" si="111"/>
        <v>-3.0748918530850817</v>
      </c>
      <c r="J143">
        <f t="shared" si="112"/>
        <v>15</v>
      </c>
      <c r="M143">
        <f t="shared" si="113"/>
        <v>4.1408232495452491E-3</v>
      </c>
      <c r="N143">
        <f t="shared" si="114"/>
        <v>-1.5707963250000001</v>
      </c>
      <c r="O143">
        <f t="shared" si="115"/>
        <v>51.159081029878614</v>
      </c>
      <c r="P143">
        <f t="shared" si="116"/>
        <v>1.551248210002095</v>
      </c>
      <c r="Q143">
        <f t="shared" si="117"/>
        <v>7.6768862869187453</v>
      </c>
      <c r="R143">
        <f t="shared" si="118"/>
        <v>1.440163962203159</v>
      </c>
      <c r="S143">
        <f t="shared" si="119"/>
        <v>0.97767692620851276</v>
      </c>
      <c r="T143">
        <f t="shared" si="120"/>
        <v>-0.2116914029386851</v>
      </c>
      <c r="U143">
        <f t="shared" si="121"/>
        <v>0.97348331585991765</v>
      </c>
      <c r="V143">
        <f t="shared" si="122"/>
        <v>-0.23080168551130473</v>
      </c>
      <c r="X143">
        <f t="shared" si="139"/>
        <v>-3.0166650010497227</v>
      </c>
      <c r="Y143">
        <f t="shared" si="123"/>
        <v>-119.38265527477121</v>
      </c>
      <c r="Z143">
        <f t="shared" si="140"/>
        <v>60.61734472522879</v>
      </c>
      <c r="AC143">
        <v>1</v>
      </c>
      <c r="AD143">
        <f t="shared" si="124"/>
        <v>51.149306660224497</v>
      </c>
      <c r="AE143">
        <f t="shared" si="125"/>
        <v>-3.1527434085017307E-3</v>
      </c>
      <c r="AF143">
        <f t="shared" si="126"/>
        <v>1.3416548402943001E-2</v>
      </c>
      <c r="AG143">
        <f t="shared" si="141"/>
        <v>3596.3019636403646</v>
      </c>
      <c r="AH143">
        <f t="shared" si="142"/>
        <v>-919.62678777669282</v>
      </c>
      <c r="AJ143">
        <f t="shared" si="127"/>
        <v>18000</v>
      </c>
      <c r="AK143">
        <f t="shared" si="128"/>
        <v>3868.4038794886796</v>
      </c>
      <c r="AL143">
        <v>1</v>
      </c>
      <c r="AM143">
        <f t="shared" si="129"/>
        <v>7.6114770617982606</v>
      </c>
      <c r="AN143">
        <f t="shared" si="143"/>
        <v>805.03271473662903</v>
      </c>
      <c r="AO143">
        <f t="shared" si="144"/>
        <v>-2259.084162726354</v>
      </c>
      <c r="AQ143">
        <f t="shared" si="130"/>
        <v>0.84160915670762493</v>
      </c>
      <c r="AR143">
        <f t="shared" si="131"/>
        <v>-91.735398081131123</v>
      </c>
      <c r="AT143">
        <f t="shared" si="104"/>
        <v>-81335.64879988147</v>
      </c>
      <c r="AU143">
        <f t="shared" si="105"/>
        <v>-330682.15857984888</v>
      </c>
      <c r="AV143">
        <f t="shared" si="145"/>
        <v>-1.8119720745538928</v>
      </c>
      <c r="AW143">
        <f t="shared" si="146"/>
        <v>-201914.97504990856</v>
      </c>
      <c r="AX143">
        <f t="shared" si="147"/>
        <v>-81577.064906893473</v>
      </c>
      <c r="AY143">
        <f t="shared" si="155"/>
        <v>-2.7576282241462966</v>
      </c>
      <c r="BA143">
        <f t="shared" si="132"/>
        <v>1.5637395020973051</v>
      </c>
      <c r="BB143">
        <f t="shared" si="148"/>
        <v>3.8832881429629813</v>
      </c>
      <c r="BC143">
        <f t="shared" si="149"/>
        <v>0.94565614959240385</v>
      </c>
      <c r="BD143">
        <f t="shared" si="133"/>
        <v>-125.81789369585115</v>
      </c>
      <c r="BF143">
        <f t="shared" si="134"/>
        <v>-2.9277451353668078</v>
      </c>
      <c r="BG143">
        <f t="shared" si="135"/>
        <v>-121.24285495702944</v>
      </c>
      <c r="BH143">
        <f t="shared" si="150"/>
        <v>58.757145042970564</v>
      </c>
      <c r="BI143">
        <f t="shared" si="151"/>
        <v>58.757145042970564</v>
      </c>
      <c r="BJ143">
        <f t="shared" si="136"/>
        <v>0</v>
      </c>
      <c r="BK143">
        <f t="shared" si="152"/>
        <v>0</v>
      </c>
      <c r="BM143">
        <f t="shared" si="153"/>
        <v>-6.8110332783297887</v>
      </c>
      <c r="BN143">
        <f t="shared" si="137"/>
        <v>-175.42496126117831</v>
      </c>
      <c r="BQ143" s="56">
        <f t="shared" si="154"/>
        <v>20.785248943248117</v>
      </c>
      <c r="BR143" s="59"/>
      <c r="BS143" s="59"/>
      <c r="BT143" s="59">
        <v>2137.962</v>
      </c>
      <c r="BU143" s="59">
        <v>8.68736</v>
      </c>
      <c r="BV143" s="59">
        <v>-254.34</v>
      </c>
      <c r="BW143" s="61"/>
      <c r="BY143" s="59"/>
      <c r="BZ143" s="59"/>
      <c r="CA143" s="59"/>
      <c r="CC143" s="59"/>
    </row>
    <row r="144" spans="1:81" x14ac:dyDescent="0.2">
      <c r="A144">
        <f t="shared" si="106"/>
        <v>55000</v>
      </c>
      <c r="B144">
        <f t="shared" si="138"/>
        <v>55</v>
      </c>
      <c r="C144">
        <f t="shared" si="107"/>
        <v>1.0000880437333366</v>
      </c>
      <c r="D144">
        <f t="shared" si="108"/>
        <v>1.3269308502912689E-2</v>
      </c>
      <c r="F144">
        <f t="shared" si="109"/>
        <v>2.9865080225396298E-2</v>
      </c>
      <c r="G144">
        <f t="shared" si="110"/>
        <v>6.6059487098650185E-2</v>
      </c>
      <c r="H144">
        <f t="shared" si="111"/>
        <v>-3.0755331629013498</v>
      </c>
      <c r="J144">
        <f t="shared" si="112"/>
        <v>15</v>
      </c>
      <c r="M144">
        <f t="shared" si="113"/>
        <v>4.1031794018221105E-3</v>
      </c>
      <c r="N144">
        <f t="shared" si="114"/>
        <v>-1.5707963250000001</v>
      </c>
      <c r="O144">
        <f t="shared" si="115"/>
        <v>51.628251882849469</v>
      </c>
      <c r="P144">
        <f t="shared" si="116"/>
        <v>1.5514258755013408</v>
      </c>
      <c r="Q144">
        <f t="shared" si="117"/>
        <v>7.7461267206863891</v>
      </c>
      <c r="R144">
        <f t="shared" si="118"/>
        <v>1.4413382453815002</v>
      </c>
      <c r="S144">
        <f t="shared" si="119"/>
        <v>0.97727936786888514</v>
      </c>
      <c r="T144">
        <f t="shared" si="120"/>
        <v>-0.21357525658370527</v>
      </c>
      <c r="U144">
        <f t="shared" si="121"/>
        <v>0.97301414799110419</v>
      </c>
      <c r="V144">
        <f t="shared" si="122"/>
        <v>-0.23284374926302018</v>
      </c>
      <c r="X144">
        <f t="shared" si="139"/>
        <v>-3.1095282246331535</v>
      </c>
      <c r="Y144">
        <f t="shared" si="123"/>
        <v>-119.5599663709481</v>
      </c>
      <c r="Z144">
        <f t="shared" si="140"/>
        <v>60.440033629051896</v>
      </c>
      <c r="AC144">
        <v>1</v>
      </c>
      <c r="AD144">
        <f t="shared" si="124"/>
        <v>51.618566354354996</v>
      </c>
      <c r="AE144">
        <f t="shared" si="125"/>
        <v>-3.2108572715151035E-3</v>
      </c>
      <c r="AF144">
        <f t="shared" si="126"/>
        <v>1.353963600297E-2</v>
      </c>
      <c r="AG144">
        <f t="shared" si="141"/>
        <v>3592.8363413481793</v>
      </c>
      <c r="AH144">
        <f t="shared" si="142"/>
        <v>-925.88048077744907</v>
      </c>
      <c r="AJ144">
        <f t="shared" si="127"/>
        <v>18000</v>
      </c>
      <c r="AK144">
        <f t="shared" si="128"/>
        <v>3903.8938233372</v>
      </c>
      <c r="AL144">
        <v>1</v>
      </c>
      <c r="AM144">
        <f t="shared" si="129"/>
        <v>7.6813071265854003</v>
      </c>
      <c r="AN144">
        <f t="shared" si="143"/>
        <v>799.75041211764926</v>
      </c>
      <c r="AO144">
        <f t="shared" si="144"/>
        <v>-2239.23471675171</v>
      </c>
      <c r="AQ144">
        <f t="shared" si="130"/>
        <v>0.82637798529047191</v>
      </c>
      <c r="AR144">
        <f t="shared" si="131"/>
        <v>-90.901578381951907</v>
      </c>
      <c r="AT144">
        <f t="shared" si="104"/>
        <v>-81194.956238468905</v>
      </c>
      <c r="AU144">
        <f t="shared" si="105"/>
        <v>-327359.62154291145</v>
      </c>
      <c r="AV144">
        <f t="shared" si="145"/>
        <v>-1.8139198686864126</v>
      </c>
      <c r="AW144">
        <f t="shared" si="146"/>
        <v>-198257.56590604724</v>
      </c>
      <c r="AX144">
        <f t="shared" si="147"/>
        <v>-80337.645064036624</v>
      </c>
      <c r="AY144">
        <f t="shared" si="155"/>
        <v>-2.7565956303391999</v>
      </c>
      <c r="BA144">
        <f t="shared" si="132"/>
        <v>1.576685234560373</v>
      </c>
      <c r="BB144">
        <f t="shared" si="148"/>
        <v>3.9549000106753858</v>
      </c>
      <c r="BC144">
        <f t="shared" si="149"/>
        <v>0.94267576165278721</v>
      </c>
      <c r="BD144">
        <f t="shared" si="133"/>
        <v>-125.988657346298</v>
      </c>
      <c r="BF144">
        <f t="shared" si="134"/>
        <v>-3.0192363894645453</v>
      </c>
      <c r="BG144">
        <f t="shared" si="135"/>
        <v>-121.44345215927879</v>
      </c>
      <c r="BH144">
        <f t="shared" si="150"/>
        <v>58.556547840721208</v>
      </c>
      <c r="BI144">
        <f t="shared" si="151"/>
        <v>58.556547840721208</v>
      </c>
      <c r="BJ144">
        <f t="shared" si="136"/>
        <v>0</v>
      </c>
      <c r="BK144">
        <f t="shared" si="152"/>
        <v>0</v>
      </c>
      <c r="BM144">
        <f t="shared" si="153"/>
        <v>-6.9741364001399315</v>
      </c>
      <c r="BN144">
        <f t="shared" si="137"/>
        <v>-175.45479481298079</v>
      </c>
      <c r="BQ144" s="56">
        <f t="shared" si="154"/>
        <v>20.856860810960526</v>
      </c>
      <c r="BR144" s="59"/>
      <c r="BS144" s="59"/>
      <c r="BT144" s="59">
        <v>2187.7620000000002</v>
      </c>
      <c r="BU144" s="59">
        <v>8.5308799999999998</v>
      </c>
      <c r="BV144" s="59">
        <v>-253.785</v>
      </c>
      <c r="BW144" s="61"/>
      <c r="BY144" s="59"/>
      <c r="BZ144" s="59"/>
      <c r="CA144" s="59"/>
      <c r="CC144" s="59"/>
    </row>
    <row r="145" spans="1:81" x14ac:dyDescent="0.2">
      <c r="A145">
        <f t="shared" si="106"/>
        <v>55500</v>
      </c>
      <c r="B145">
        <f t="shared" si="138"/>
        <v>55.5</v>
      </c>
      <c r="C145">
        <f t="shared" si="107"/>
        <v>1.0000896517327529</v>
      </c>
      <c r="D145">
        <f t="shared" si="108"/>
        <v>1.338992422714581E-2</v>
      </c>
      <c r="F145">
        <f t="shared" si="109"/>
        <v>2.9314718577688807E-2</v>
      </c>
      <c r="G145">
        <f t="shared" si="110"/>
        <v>6.5430697255513343E-2</v>
      </c>
      <c r="H145">
        <f t="shared" si="111"/>
        <v>-3.0761619527444868</v>
      </c>
      <c r="J145">
        <f t="shared" si="112"/>
        <v>15</v>
      </c>
      <c r="M145">
        <f t="shared" si="113"/>
        <v>4.066213821625515E-3</v>
      </c>
      <c r="N145">
        <f t="shared" si="114"/>
        <v>-1.5707963250000001</v>
      </c>
      <c r="O145">
        <f t="shared" si="115"/>
        <v>52.097424336115544</v>
      </c>
      <c r="P145">
        <f t="shared" si="116"/>
        <v>1.5516003410106487</v>
      </c>
      <c r="Q145">
        <f t="shared" si="117"/>
        <v>7.8153776466322213</v>
      </c>
      <c r="R145">
        <f t="shared" si="118"/>
        <v>1.4424917198217115</v>
      </c>
      <c r="S145">
        <f t="shared" si="119"/>
        <v>0.9768786701050296</v>
      </c>
      <c r="T145">
        <f t="shared" si="120"/>
        <v>-0.21545757209336941</v>
      </c>
      <c r="U145">
        <f t="shared" si="121"/>
        <v>0.97254138248054123</v>
      </c>
      <c r="V145">
        <f t="shared" si="122"/>
        <v>-0.23488383713014777</v>
      </c>
      <c r="X145">
        <f t="shared" si="139"/>
        <v>-3.2015785582113612</v>
      </c>
      <c r="Y145">
        <f t="shared" si="123"/>
        <v>-119.737734407906</v>
      </c>
      <c r="Z145">
        <f t="shared" si="140"/>
        <v>60.262265592093996</v>
      </c>
      <c r="AC145">
        <v>1</v>
      </c>
      <c r="AD145">
        <f t="shared" si="124"/>
        <v>52.087826048485503</v>
      </c>
      <c r="AE145">
        <f t="shared" si="125"/>
        <v>-3.2695018547386438E-3</v>
      </c>
      <c r="AF145">
        <f t="shared" si="126"/>
        <v>1.3662723602996999E-2</v>
      </c>
      <c r="AG145">
        <f t="shared" si="141"/>
        <v>3589.3458341182782</v>
      </c>
      <c r="AH145">
        <f t="shared" si="142"/>
        <v>-932.12548478654389</v>
      </c>
      <c r="AJ145">
        <f t="shared" si="127"/>
        <v>18000</v>
      </c>
      <c r="AK145">
        <f t="shared" si="128"/>
        <v>3939.3837671857204</v>
      </c>
      <c r="AL145">
        <v>1</v>
      </c>
      <c r="AM145">
        <f t="shared" si="129"/>
        <v>7.75113719137254</v>
      </c>
      <c r="AN145">
        <f t="shared" si="143"/>
        <v>794.60711379063468</v>
      </c>
      <c r="AO145">
        <f t="shared" si="144"/>
        <v>-2219.7249850460594</v>
      </c>
      <c r="AQ145">
        <f t="shared" si="130"/>
        <v>0.81155656549261479</v>
      </c>
      <c r="AR145">
        <f t="shared" si="131"/>
        <v>-90.082778769680246</v>
      </c>
      <c r="AT145">
        <f t="shared" si="104"/>
        <v>-81055.496654104936</v>
      </c>
      <c r="AU145">
        <f t="shared" si="105"/>
        <v>-324094.71925979177</v>
      </c>
      <c r="AV145">
        <f t="shared" si="145"/>
        <v>-1.8158673844188753</v>
      </c>
      <c r="AW145">
        <f t="shared" si="146"/>
        <v>-194696.34351745248</v>
      </c>
      <c r="AX145">
        <f t="shared" si="147"/>
        <v>-79134.015454285138</v>
      </c>
      <c r="AY145">
        <f t="shared" si="155"/>
        <v>-2.7555397094281866</v>
      </c>
      <c r="BA145">
        <f t="shared" si="132"/>
        <v>1.5896018866913135</v>
      </c>
      <c r="BB145">
        <f t="shared" si="148"/>
        <v>4.0257673912845489</v>
      </c>
      <c r="BC145">
        <f t="shared" si="149"/>
        <v>0.9396723250093113</v>
      </c>
      <c r="BD145">
        <f t="shared" si="133"/>
        <v>-126.16074159020076</v>
      </c>
      <c r="BF145">
        <f t="shared" si="134"/>
        <v>-3.1099141714733767</v>
      </c>
      <c r="BG145">
        <f t="shared" si="135"/>
        <v>-121.64465263548578</v>
      </c>
      <c r="BH145">
        <f t="shared" si="150"/>
        <v>58.355347364514216</v>
      </c>
      <c r="BI145">
        <f t="shared" si="151"/>
        <v>58.355347364514216</v>
      </c>
      <c r="BJ145">
        <f t="shared" si="136"/>
        <v>0</v>
      </c>
      <c r="BK145">
        <f t="shared" si="152"/>
        <v>0</v>
      </c>
      <c r="BM145">
        <f t="shared" si="153"/>
        <v>-7.1356815627579264</v>
      </c>
      <c r="BN145">
        <f t="shared" si="137"/>
        <v>-175.48391104528503</v>
      </c>
      <c r="BQ145" s="56">
        <f t="shared" si="154"/>
        <v>20.927728191569685</v>
      </c>
      <c r="BR145" s="59"/>
      <c r="BS145" s="59"/>
      <c r="BT145" s="59">
        <v>2238.721</v>
      </c>
      <c r="BU145" s="59">
        <v>8.3496900000000007</v>
      </c>
      <c r="BV145" s="59">
        <v>-253.78300000000002</v>
      </c>
      <c r="BW145" s="61"/>
      <c r="BY145" s="59"/>
      <c r="BZ145" s="59"/>
      <c r="CA145" s="59"/>
      <c r="CC145" s="59"/>
    </row>
    <row r="146" spans="1:81" x14ac:dyDescent="0.2">
      <c r="A146">
        <f t="shared" si="106"/>
        <v>56000</v>
      </c>
      <c r="B146">
        <f t="shared" si="138"/>
        <v>56</v>
      </c>
      <c r="C146">
        <f t="shared" si="107"/>
        <v>1.0000912742815797</v>
      </c>
      <c r="D146">
        <f t="shared" si="108"/>
        <v>1.3510539561759573E-2</v>
      </c>
      <c r="F146">
        <f t="shared" si="109"/>
        <v>2.8779560386514032E-2</v>
      </c>
      <c r="G146">
        <f t="shared" si="110"/>
        <v>6.4814056542069093E-2</v>
      </c>
      <c r="H146">
        <f t="shared" si="111"/>
        <v>-3.0767785934579313</v>
      </c>
      <c r="J146">
        <f t="shared" si="112"/>
        <v>15</v>
      </c>
      <c r="M146">
        <f t="shared" si="113"/>
        <v>4.0299083410752874E-3</v>
      </c>
      <c r="N146">
        <f t="shared" si="114"/>
        <v>-1.5707963250000001</v>
      </c>
      <c r="O146">
        <f t="shared" si="115"/>
        <v>52.566598346827519</v>
      </c>
      <c r="P146">
        <f t="shared" si="116"/>
        <v>1.5517716922021099</v>
      </c>
      <c r="Q146">
        <f t="shared" si="117"/>
        <v>7.8846387882972726</v>
      </c>
      <c r="R146">
        <f t="shared" si="118"/>
        <v>1.4436249307846802</v>
      </c>
      <c r="S146">
        <f t="shared" si="119"/>
        <v>0.9764748452899602</v>
      </c>
      <c r="T146">
        <f t="shared" si="120"/>
        <v>-0.21733833802860855</v>
      </c>
      <c r="U146">
        <f t="shared" si="121"/>
        <v>0.97206503636676189</v>
      </c>
      <c r="V146">
        <f t="shared" si="122"/>
        <v>-0.23692193502231385</v>
      </c>
      <c r="X146">
        <f t="shared" si="139"/>
        <v>-3.2928343969014193</v>
      </c>
      <c r="Y146">
        <f t="shared" si="123"/>
        <v>-119.91594302108349</v>
      </c>
      <c r="Z146">
        <f t="shared" si="140"/>
        <v>60.084056978916507</v>
      </c>
      <c r="AC146">
        <v>1</v>
      </c>
      <c r="AD146">
        <f t="shared" si="124"/>
        <v>52.557085742616003</v>
      </c>
      <c r="AE146">
        <f t="shared" si="125"/>
        <v>-3.3286771581723519E-3</v>
      </c>
      <c r="AF146">
        <f t="shared" si="126"/>
        <v>1.3785811203023999E-2</v>
      </c>
      <c r="AG146">
        <f t="shared" si="141"/>
        <v>3585.8306063838613</v>
      </c>
      <c r="AH146">
        <f t="shared" si="142"/>
        <v>-938.36135154002886</v>
      </c>
      <c r="AJ146">
        <f t="shared" si="127"/>
        <v>18000</v>
      </c>
      <c r="AK146">
        <f t="shared" si="128"/>
        <v>3974.8737110342399</v>
      </c>
      <c r="AL146">
        <v>1</v>
      </c>
      <c r="AM146">
        <f t="shared" si="129"/>
        <v>7.8209672561596815</v>
      </c>
      <c r="AN146">
        <f t="shared" si="143"/>
        <v>789.59801155968125</v>
      </c>
      <c r="AO146">
        <f t="shared" si="144"/>
        <v>-2200.5464829028219</v>
      </c>
      <c r="AQ146">
        <f t="shared" si="130"/>
        <v>0.79713033080908724</v>
      </c>
      <c r="AR146">
        <f t="shared" si="131"/>
        <v>-89.278597050617776</v>
      </c>
      <c r="AT146">
        <f t="shared" si="104"/>
        <v>-80917.210654523209</v>
      </c>
      <c r="AU146">
        <f t="shared" si="105"/>
        <v>-320885.92209368868</v>
      </c>
      <c r="AV146">
        <f t="shared" si="145"/>
        <v>-1.8178145622301602</v>
      </c>
      <c r="AW146">
        <f t="shared" si="146"/>
        <v>-191227.98903623514</v>
      </c>
      <c r="AX146">
        <f t="shared" si="147"/>
        <v>-77964.758948950359</v>
      </c>
      <c r="AY146">
        <f t="shared" si="155"/>
        <v>-2.7544610528591154</v>
      </c>
      <c r="BA146">
        <f t="shared" si="132"/>
        <v>1.6024891195602922</v>
      </c>
      <c r="BB146">
        <f t="shared" si="148"/>
        <v>4.0959017893276464</v>
      </c>
      <c r="BC146">
        <f t="shared" si="149"/>
        <v>0.93664649062895511</v>
      </c>
      <c r="BD146">
        <f t="shared" si="133"/>
        <v>-126.33410912989885</v>
      </c>
      <c r="BF146">
        <f t="shared" si="134"/>
        <v>-3.1997971530607643</v>
      </c>
      <c r="BG146">
        <f t="shared" si="135"/>
        <v>-121.84644033595477</v>
      </c>
      <c r="BH146">
        <f t="shared" si="150"/>
        <v>58.153559664045233</v>
      </c>
      <c r="BI146">
        <f t="shared" si="151"/>
        <v>58.153559664045233</v>
      </c>
      <c r="BJ146">
        <f t="shared" si="136"/>
        <v>0</v>
      </c>
      <c r="BK146">
        <f t="shared" si="152"/>
        <v>0</v>
      </c>
      <c r="BM146">
        <f t="shared" si="153"/>
        <v>-7.2956989423884089</v>
      </c>
      <c r="BN146">
        <f t="shared" si="137"/>
        <v>-175.5123312060559</v>
      </c>
      <c r="BQ146" s="56">
        <f t="shared" si="154"/>
        <v>20.99786258961278</v>
      </c>
      <c r="BR146" s="59"/>
      <c r="BS146" s="59"/>
      <c r="BT146" s="59">
        <v>2290.8679999999999</v>
      </c>
      <c r="BU146" s="59">
        <v>8.2818299999999994</v>
      </c>
      <c r="BV146" s="59">
        <v>-253.62</v>
      </c>
      <c r="BW146" s="61"/>
      <c r="BY146" s="59"/>
      <c r="BZ146" s="59"/>
      <c r="CA146" s="59"/>
      <c r="CC146" s="59"/>
    </row>
    <row r="147" spans="1:81" x14ac:dyDescent="0.2">
      <c r="A147">
        <f t="shared" si="106"/>
        <v>56500</v>
      </c>
      <c r="B147">
        <f t="shared" si="138"/>
        <v>56.5</v>
      </c>
      <c r="C147">
        <f t="shared" si="107"/>
        <v>1.0000929113797457</v>
      </c>
      <c r="D147">
        <f t="shared" si="108"/>
        <v>1.3631154503246451E-2</v>
      </c>
      <c r="F147">
        <f t="shared" si="109"/>
        <v>2.825904626579382E-2</v>
      </c>
      <c r="G147">
        <f t="shared" si="110"/>
        <v>6.4209208871089843E-2</v>
      </c>
      <c r="H147">
        <f t="shared" si="111"/>
        <v>-3.0773834411289105</v>
      </c>
      <c r="J147">
        <f t="shared" si="112"/>
        <v>15</v>
      </c>
      <c r="M147">
        <f t="shared" si="113"/>
        <v>3.9942454354020551E-3</v>
      </c>
      <c r="N147">
        <f t="shared" si="114"/>
        <v>-1.5707963250000001</v>
      </c>
      <c r="O147">
        <f t="shared" si="115"/>
        <v>53.035773873652168</v>
      </c>
      <c r="P147">
        <f t="shared" si="116"/>
        <v>1.5519400117170055</v>
      </c>
      <c r="Q147">
        <f t="shared" si="117"/>
        <v>7.9539098788119</v>
      </c>
      <c r="R147">
        <f t="shared" si="118"/>
        <v>1.4447384047488554</v>
      </c>
      <c r="S147">
        <f t="shared" si="119"/>
        <v>0.97606790586533221</v>
      </c>
      <c r="T147">
        <f t="shared" si="120"/>
        <v>-0.21921754301302965</v>
      </c>
      <c r="U147">
        <f t="shared" si="121"/>
        <v>0.97158512677162079</v>
      </c>
      <c r="V147">
        <f t="shared" si="122"/>
        <v>-0.23895802894274734</v>
      </c>
      <c r="X147">
        <f t="shared" si="139"/>
        <v>-3.3833135369985219</v>
      </c>
      <c r="Y147">
        <f t="shared" si="123"/>
        <v>-120.09457625921188</v>
      </c>
      <c r="Z147">
        <f t="shared" si="140"/>
        <v>59.905423740788123</v>
      </c>
      <c r="AC147">
        <v>1</v>
      </c>
      <c r="AD147">
        <f t="shared" si="124"/>
        <v>53.026345436746496</v>
      </c>
      <c r="AE147">
        <f t="shared" si="125"/>
        <v>-3.3883831818162279E-3</v>
      </c>
      <c r="AF147">
        <f t="shared" si="126"/>
        <v>1.3908898803051002E-2</v>
      </c>
      <c r="AG147">
        <f t="shared" si="141"/>
        <v>3582.2908232390009</v>
      </c>
      <c r="AH147">
        <f t="shared" si="142"/>
        <v>-944.58764592892874</v>
      </c>
      <c r="AJ147">
        <f t="shared" si="127"/>
        <v>18000</v>
      </c>
      <c r="AK147">
        <f t="shared" si="128"/>
        <v>4010.3636548827599</v>
      </c>
      <c r="AL147">
        <v>1</v>
      </c>
      <c r="AM147">
        <f t="shared" si="129"/>
        <v>7.8907973209468212</v>
      </c>
      <c r="AN147">
        <f t="shared" si="143"/>
        <v>784.71850220107785</v>
      </c>
      <c r="AO147">
        <f t="shared" si="144"/>
        <v>-2181.6909999829077</v>
      </c>
      <c r="AQ147">
        <f t="shared" si="130"/>
        <v>0.78308535630383713</v>
      </c>
      <c r="AR147">
        <f t="shared" si="131"/>
        <v>-88.488645262333591</v>
      </c>
      <c r="AT147">
        <f t="shared" si="104"/>
        <v>-80780.041634087669</v>
      </c>
      <c r="AU147">
        <f t="shared" si="105"/>
        <v>-317731.75463738141</v>
      </c>
      <c r="AV147">
        <f t="shared" si="145"/>
        <v>-1.8197613442992773</v>
      </c>
      <c r="AW147">
        <f t="shared" si="146"/>
        <v>-187849.3246907065</v>
      </c>
      <c r="AX147">
        <f t="shared" si="147"/>
        <v>-76828.52791979615</v>
      </c>
      <c r="AY147">
        <f t="shared" si="155"/>
        <v>-2.7533602322114339</v>
      </c>
      <c r="BA147">
        <f t="shared" si="132"/>
        <v>1.6153465969538756</v>
      </c>
      <c r="BB147">
        <f t="shared" si="148"/>
        <v>4.1653144218209297</v>
      </c>
      <c r="BC147">
        <f t="shared" si="149"/>
        <v>0.93359888791215662</v>
      </c>
      <c r="BD147">
        <f t="shared" si="133"/>
        <v>-126.50872390340353</v>
      </c>
      <c r="BF147">
        <f t="shared" si="134"/>
        <v>-3.2889034074959351</v>
      </c>
      <c r="BG147">
        <f t="shared" si="135"/>
        <v>-122.04879960119314</v>
      </c>
      <c r="BH147">
        <f t="shared" si="150"/>
        <v>57.951200398806861</v>
      </c>
      <c r="BI147">
        <f t="shared" si="151"/>
        <v>57.951200398806861</v>
      </c>
      <c r="BJ147">
        <f t="shared" si="136"/>
        <v>0</v>
      </c>
      <c r="BK147">
        <f t="shared" si="152"/>
        <v>0</v>
      </c>
      <c r="BM147">
        <f t="shared" si="153"/>
        <v>-7.4542178293168639</v>
      </c>
      <c r="BN147">
        <f t="shared" si="137"/>
        <v>-175.54007569778963</v>
      </c>
      <c r="BQ147" s="56">
        <f t="shared" si="154"/>
        <v>21.067275222106066</v>
      </c>
      <c r="BR147" s="59"/>
      <c r="BS147" s="59"/>
      <c r="BT147" s="59">
        <v>2344.2289999999998</v>
      </c>
      <c r="BU147" s="59">
        <v>8.0662299999999991</v>
      </c>
      <c r="BV147" s="59">
        <v>-253.17099999999999</v>
      </c>
      <c r="BW147" s="61"/>
      <c r="BY147" s="59"/>
      <c r="BZ147" s="59"/>
      <c r="CA147" s="59"/>
      <c r="CC147" s="59"/>
    </row>
    <row r="148" spans="1:81" x14ac:dyDescent="0.2">
      <c r="A148">
        <f t="shared" si="106"/>
        <v>57000</v>
      </c>
      <c r="B148">
        <f t="shared" si="138"/>
        <v>57</v>
      </c>
      <c r="C148">
        <f t="shared" si="107"/>
        <v>1.00009456302718</v>
      </c>
      <c r="D148">
        <f t="shared" si="108"/>
        <v>1.3751769048098971E-2</v>
      </c>
      <c r="F148">
        <f t="shared" si="109"/>
        <v>2.7752642516919231E-2</v>
      </c>
      <c r="G148">
        <f t="shared" si="110"/>
        <v>6.3615812174804789E-2</v>
      </c>
      <c r="H148">
        <f t="shared" si="111"/>
        <v>-3.0779768378251955</v>
      </c>
      <c r="J148">
        <f t="shared" si="112"/>
        <v>15</v>
      </c>
      <c r="M148">
        <f t="shared" si="113"/>
        <v>3.959208194740633E-3</v>
      </c>
      <c r="N148">
        <f t="shared" si="114"/>
        <v>-1.5707963250000001</v>
      </c>
      <c r="O148">
        <f t="shared" si="115"/>
        <v>53.504950876705919</v>
      </c>
      <c r="P148">
        <f t="shared" si="116"/>
        <v>1.5521053792986406</v>
      </c>
      <c r="Q148">
        <f t="shared" si="117"/>
        <v>8.0231906604852359</v>
      </c>
      <c r="R148">
        <f t="shared" si="118"/>
        <v>1.4458326502076873</v>
      </c>
      <c r="S148">
        <f t="shared" si="119"/>
        <v>0.97565786434044921</v>
      </c>
      <c r="T148">
        <f t="shared" si="120"/>
        <v>-0.22109517573321388</v>
      </c>
      <c r="U148">
        <f t="shared" si="121"/>
        <v>0.9711016708987259</v>
      </c>
      <c r="V148">
        <f t="shared" si="122"/>
        <v>-0.24099210498865001</v>
      </c>
      <c r="X148">
        <f t="shared" si="139"/>
        <v>-3.4730332016327359</v>
      </c>
      <c r="Y148">
        <f t="shared" si="123"/>
        <v>-120.2736185732653</v>
      </c>
      <c r="Z148">
        <f t="shared" si="140"/>
        <v>59.726381426734704</v>
      </c>
      <c r="AC148">
        <v>1</v>
      </c>
      <c r="AD148">
        <f t="shared" si="124"/>
        <v>53.495605130877003</v>
      </c>
      <c r="AE148">
        <f t="shared" si="125"/>
        <v>-3.4486199256702718E-3</v>
      </c>
      <c r="AF148">
        <f t="shared" si="126"/>
        <v>1.4031986403078001E-2</v>
      </c>
      <c r="AG148">
        <f t="shared" si="141"/>
        <v>3578.7266504209365</v>
      </c>
      <c r="AH148">
        <f t="shared" si="142"/>
        <v>-950.80394549429548</v>
      </c>
      <c r="AJ148">
        <f t="shared" si="127"/>
        <v>18000</v>
      </c>
      <c r="AK148">
        <f t="shared" si="128"/>
        <v>4045.8535987312803</v>
      </c>
      <c r="AL148">
        <v>1</v>
      </c>
      <c r="AM148">
        <f t="shared" si="129"/>
        <v>7.9606273857339609</v>
      </c>
      <c r="AN148">
        <f t="shared" si="143"/>
        <v>779.96417712478797</v>
      </c>
      <c r="AO148">
        <f t="shared" si="144"/>
        <v>-2163.1505895797613</v>
      </c>
      <c r="AQ148">
        <f t="shared" si="130"/>
        <v>0.76940832499807643</v>
      </c>
      <c r="AR148">
        <f t="shared" si="131"/>
        <v>-87.712549049780719</v>
      </c>
      <c r="AT148">
        <f t="shared" si="104"/>
        <v>-80643.935628167063</v>
      </c>
      <c r="AU148">
        <f t="shared" si="105"/>
        <v>-314630.79333190818</v>
      </c>
      <c r="AV148">
        <f t="shared" si="145"/>
        <v>-1.8217076744353595</v>
      </c>
      <c r="AW148">
        <f t="shared" si="146"/>
        <v>-184557.30669385029</v>
      </c>
      <c r="AX148">
        <f t="shared" si="147"/>
        <v>-75724.040224166078</v>
      </c>
      <c r="AY148">
        <f t="shared" si="155"/>
        <v>-2.7522378000580376</v>
      </c>
      <c r="BA148">
        <f t="shared" si="132"/>
        <v>1.6281739853089972</v>
      </c>
      <c r="BB148">
        <f t="shared" si="148"/>
        <v>4.2340162275538304</v>
      </c>
      <c r="BC148">
        <f t="shared" si="149"/>
        <v>0.93053012562267812</v>
      </c>
      <c r="BD148">
        <f t="shared" si="133"/>
        <v>-126.68455103112046</v>
      </c>
      <c r="BF148">
        <f t="shared" si="134"/>
        <v>-3.3772504352598807</v>
      </c>
      <c r="BG148">
        <f t="shared" si="135"/>
        <v>-122.25171515084722</v>
      </c>
      <c r="BH148">
        <f t="shared" si="150"/>
        <v>57.748284849152782</v>
      </c>
      <c r="BI148">
        <f t="shared" si="151"/>
        <v>57.748284849152782</v>
      </c>
      <c r="BJ148">
        <f t="shared" si="136"/>
        <v>0</v>
      </c>
      <c r="BK148">
        <f t="shared" si="152"/>
        <v>0</v>
      </c>
      <c r="BM148">
        <f t="shared" si="153"/>
        <v>-7.6112666628137102</v>
      </c>
      <c r="BN148">
        <f t="shared" si="137"/>
        <v>-175.56716411972675</v>
      </c>
      <c r="BQ148" s="56">
        <f t="shared" si="154"/>
        <v>21.135977027838969</v>
      </c>
      <c r="BR148" s="59"/>
      <c r="BS148" s="59"/>
      <c r="BT148" s="59">
        <v>2398.8330000000001</v>
      </c>
      <c r="BU148" s="59">
        <v>7.8140200000000002</v>
      </c>
      <c r="BV148" s="59">
        <v>-252.65800000000002</v>
      </c>
      <c r="BW148" s="61"/>
      <c r="BY148" s="59"/>
      <c r="BZ148" s="59"/>
      <c r="CA148" s="59"/>
      <c r="CC148" s="59"/>
    </row>
    <row r="149" spans="1:81" x14ac:dyDescent="0.2">
      <c r="A149">
        <f t="shared" si="106"/>
        <v>57500</v>
      </c>
      <c r="B149">
        <f t="shared" si="138"/>
        <v>57.5</v>
      </c>
      <c r="C149">
        <f t="shared" si="107"/>
        <v>1.00009622922381</v>
      </c>
      <c r="D149">
        <f t="shared" si="108"/>
        <v>1.3872383192809746E-2</v>
      </c>
      <c r="F149">
        <f t="shared" si="109"/>
        <v>2.7259839716144086E-2</v>
      </c>
      <c r="G149">
        <f t="shared" si="110"/>
        <v>6.3033537712313598E-2</v>
      </c>
      <c r="H149">
        <f t="shared" si="111"/>
        <v>-3.0785591122876865</v>
      </c>
      <c r="J149">
        <f t="shared" si="112"/>
        <v>15</v>
      </c>
      <c r="M149">
        <f t="shared" si="113"/>
        <v>3.9247802973950627E-3</v>
      </c>
      <c r="N149">
        <f t="shared" si="114"/>
        <v>-1.5707963250000001</v>
      </c>
      <c r="O149">
        <f t="shared" si="115"/>
        <v>53.974129317491837</v>
      </c>
      <c r="P149">
        <f t="shared" si="116"/>
        <v>1.5522678719182561</v>
      </c>
      <c r="Q149">
        <f t="shared" si="117"/>
        <v>8.0924808844154761</v>
      </c>
      <c r="R149">
        <f t="shared" si="118"/>
        <v>1.4469081584270067</v>
      </c>
      <c r="S149">
        <f t="shared" si="119"/>
        <v>0.97524473329127137</v>
      </c>
      <c r="T149">
        <f t="shared" si="120"/>
        <v>-0.22297122493900917</v>
      </c>
      <c r="U149">
        <f t="shared" si="121"/>
        <v>0.97061468603187162</v>
      </c>
      <c r="V149">
        <f t="shared" si="122"/>
        <v>-0.24302414935155692</v>
      </c>
      <c r="X149">
        <f t="shared" si="139"/>
        <v>-3.562010065061552</v>
      </c>
      <c r="Y149">
        <f t="shared" si="123"/>
        <v>-120.45305480557205</v>
      </c>
      <c r="Z149">
        <f t="shared" si="140"/>
        <v>59.546945194427948</v>
      </c>
      <c r="AC149">
        <v>1</v>
      </c>
      <c r="AD149">
        <f t="shared" si="124"/>
        <v>53.964864825007503</v>
      </c>
      <c r="AE149">
        <f t="shared" si="125"/>
        <v>-3.5093873897344835E-3</v>
      </c>
      <c r="AF149">
        <f t="shared" si="126"/>
        <v>1.4155074003104999E-2</v>
      </c>
      <c r="AG149">
        <f t="shared" si="141"/>
        <v>3575.1382542923852</v>
      </c>
      <c r="AH149">
        <f t="shared" si="142"/>
        <v>-957.00983994852572</v>
      </c>
      <c r="AJ149">
        <f t="shared" si="127"/>
        <v>18000</v>
      </c>
      <c r="AK149">
        <f t="shared" si="128"/>
        <v>4081.3435425797998</v>
      </c>
      <c r="AL149">
        <v>1</v>
      </c>
      <c r="AM149">
        <f t="shared" si="129"/>
        <v>8.0304574505210997</v>
      </c>
      <c r="AN149">
        <f t="shared" si="143"/>
        <v>775.33081263578163</v>
      </c>
      <c r="AO149">
        <f t="shared" si="144"/>
        <v>-2144.9175583697911</v>
      </c>
      <c r="AQ149">
        <f t="shared" si="130"/>
        <v>0.75608649629517621</v>
      </c>
      <c r="AR149">
        <f t="shared" si="131"/>
        <v>-86.949947073945253</v>
      </c>
      <c r="AT149">
        <f t="shared" si="104"/>
        <v>-80508.84117631035</v>
      </c>
      <c r="AU149">
        <f t="shared" si="105"/>
        <v>-311581.6642095666</v>
      </c>
      <c r="AV149">
        <f t="shared" si="145"/>
        <v>-1.8236534980113155</v>
      </c>
      <c r="AW149">
        <f t="shared" si="146"/>
        <v>-181349.01856157958</v>
      </c>
      <c r="AX149">
        <f t="shared" si="147"/>
        <v>-74650.075455167593</v>
      </c>
      <c r="AY149">
        <f t="shared" si="155"/>
        <v>-2.7510942907817313</v>
      </c>
      <c r="BA149">
        <f t="shared" si="132"/>
        <v>1.640970953651737</v>
      </c>
      <c r="BB149">
        <f t="shared" si="148"/>
        <v>4.3020178760233057</v>
      </c>
      <c r="BC149">
        <f t="shared" si="149"/>
        <v>0.9274407927704158</v>
      </c>
      <c r="BD149">
        <f t="shared" si="133"/>
        <v>-126.86155676526846</v>
      </c>
      <c r="BF149">
        <f t="shared" si="134"/>
        <v>-3.4648551882912471</v>
      </c>
      <c r="BG149">
        <f t="shared" si="135"/>
        <v>-122.45517207280294</v>
      </c>
      <c r="BH149">
        <f t="shared" si="150"/>
        <v>57.544827927197062</v>
      </c>
      <c r="BI149">
        <f t="shared" si="151"/>
        <v>57.544827927197062</v>
      </c>
      <c r="BJ149">
        <f t="shared" si="136"/>
        <v>0</v>
      </c>
      <c r="BK149">
        <f t="shared" si="152"/>
        <v>0</v>
      </c>
      <c r="BM149">
        <f t="shared" si="153"/>
        <v>-7.7668730643145523</v>
      </c>
      <c r="BN149">
        <f t="shared" si="137"/>
        <v>-175.59361530753446</v>
      </c>
      <c r="BQ149" s="56">
        <f t="shared" si="154"/>
        <v>21.203978676308441</v>
      </c>
      <c r="BR149" s="59"/>
      <c r="BS149" s="59"/>
      <c r="BT149" s="59">
        <v>2454.7089999999998</v>
      </c>
      <c r="BU149" s="59">
        <v>7.6423899999999998</v>
      </c>
      <c r="BV149" s="59">
        <v>-251.97399999999999</v>
      </c>
      <c r="BW149" s="61"/>
      <c r="BY149" s="59"/>
      <c r="BZ149" s="59"/>
      <c r="CA149" s="59"/>
      <c r="CC149" s="59"/>
    </row>
    <row r="150" spans="1:81" x14ac:dyDescent="0.2">
      <c r="A150">
        <f t="shared" si="106"/>
        <v>58000</v>
      </c>
      <c r="B150">
        <f t="shared" si="138"/>
        <v>58</v>
      </c>
      <c r="C150">
        <f t="shared" si="107"/>
        <v>1.0000979099695635</v>
      </c>
      <c r="D150">
        <f t="shared" si="108"/>
        <v>1.3992996933871446E-2</v>
      </c>
      <c r="F150">
        <f t="shared" si="109"/>
        <v>2.6780151392374236E-2</v>
      </c>
      <c r="G150">
        <f t="shared" si="110"/>
        <v>6.2462069418085617E-2</v>
      </c>
      <c r="H150">
        <f t="shared" si="111"/>
        <v>-3.0791305805819147</v>
      </c>
      <c r="J150">
        <f t="shared" si="112"/>
        <v>15</v>
      </c>
      <c r="M150">
        <f t="shared" si="113"/>
        <v>3.8909459844864839E-3</v>
      </c>
      <c r="N150">
        <f t="shared" si="114"/>
        <v>-1.5707963250000001</v>
      </c>
      <c r="O150">
        <f t="shared" si="115"/>
        <v>54.443309158839909</v>
      </c>
      <c r="P150">
        <f t="shared" si="116"/>
        <v>1.5524275638944305</v>
      </c>
      <c r="Q150">
        <f t="shared" si="117"/>
        <v>8.1617803101197559</v>
      </c>
      <c r="R150">
        <f t="shared" si="118"/>
        <v>1.4479654041646557</v>
      </c>
      <c r="S150">
        <f t="shared" si="119"/>
        <v>0.97482852535941888</v>
      </c>
      <c r="T150">
        <f t="shared" si="120"/>
        <v>-0.22484567944381703</v>
      </c>
      <c r="U150">
        <f t="shared" si="121"/>
        <v>0.97012418953346935</v>
      </c>
      <c r="V150">
        <f t="shared" si="122"/>
        <v>-0.24505414831768671</v>
      </c>
      <c r="X150">
        <f t="shared" si="139"/>
        <v>-3.6502602756844915</v>
      </c>
      <c r="Y150">
        <f t="shared" si="123"/>
        <v>-120.63287017910581</v>
      </c>
      <c r="Z150">
        <f t="shared" si="140"/>
        <v>59.367129820894192</v>
      </c>
      <c r="AC150">
        <v>1</v>
      </c>
      <c r="AD150">
        <f t="shared" si="124"/>
        <v>54.434124519137995</v>
      </c>
      <c r="AE150">
        <f t="shared" si="125"/>
        <v>-3.5706855740088627E-3</v>
      </c>
      <c r="AF150">
        <f t="shared" si="126"/>
        <v>1.4278161603131998E-2</v>
      </c>
      <c r="AG150">
        <f t="shared" si="141"/>
        <v>3571.5258018238892</v>
      </c>
      <c r="AH150">
        <f t="shared" si="142"/>
        <v>-963.20493072134991</v>
      </c>
      <c r="AJ150">
        <f t="shared" si="127"/>
        <v>18000</v>
      </c>
      <c r="AK150">
        <f t="shared" si="128"/>
        <v>4116.8334864283197</v>
      </c>
      <c r="AL150">
        <v>1</v>
      </c>
      <c r="AM150">
        <f t="shared" si="129"/>
        <v>8.1002875153082403</v>
      </c>
      <c r="AN150">
        <f t="shared" si="143"/>
        <v>770.81436075599208</v>
      </c>
      <c r="AO150">
        <f t="shared" si="144"/>
        <v>-2126.9844566237457</v>
      </c>
      <c r="AQ150">
        <f t="shared" si="130"/>
        <v>0.74310767630229624</v>
      </c>
      <c r="AR150">
        <f t="shared" si="131"/>
        <v>-86.200490451066358</v>
      </c>
      <c r="AT150">
        <f t="shared" ref="AT150:AT213" si="156">-AR150*AH150+AG150*AQ150</f>
        <v>-80374.709193618721</v>
      </c>
      <c r="AU150">
        <f t="shared" ref="AU150:AU213" si="157">AQ150*AH150+AG150*AR150</f>
        <v>-308583.04075372854</v>
      </c>
      <c r="AV150">
        <f t="shared" si="145"/>
        <v>-1.8255987619009131</v>
      </c>
      <c r="AW150">
        <f t="shared" si="146"/>
        <v>-178221.66481411841</v>
      </c>
      <c r="AX150">
        <f t="shared" si="147"/>
        <v>-73605.471437315879</v>
      </c>
      <c r="AY150">
        <f t="shared" si="155"/>
        <v>-2.7499302213508168</v>
      </c>
      <c r="BA150">
        <f t="shared" si="132"/>
        <v>1.6537371735406463</v>
      </c>
      <c r="BB150">
        <f t="shared" si="148"/>
        <v>4.3693297760245633</v>
      </c>
      <c r="BC150">
        <f t="shared" si="149"/>
        <v>0.92433145944990369</v>
      </c>
      <c r="BD150">
        <f t="shared" si="133"/>
        <v>-127.03970844183678</v>
      </c>
      <c r="BF150">
        <f t="shared" si="134"/>
        <v>-3.5517340929540926</v>
      </c>
      <c r="BG150">
        <f t="shared" si="135"/>
        <v>-122.65915581247143</v>
      </c>
      <c r="BH150">
        <f t="shared" si="150"/>
        <v>57.340844187528575</v>
      </c>
      <c r="BI150">
        <f t="shared" si="151"/>
        <v>57.340844187528575</v>
      </c>
      <c r="BJ150">
        <f t="shared" si="136"/>
        <v>0</v>
      </c>
      <c r="BK150">
        <f t="shared" si="152"/>
        <v>0</v>
      </c>
      <c r="BM150">
        <f t="shared" si="153"/>
        <v>-7.9210638689786546</v>
      </c>
      <c r="BN150">
        <f t="shared" si="137"/>
        <v>-175.6194473706347</v>
      </c>
      <c r="BQ150" s="56">
        <f t="shared" si="154"/>
        <v>21.271290576309699</v>
      </c>
      <c r="BR150" s="59"/>
      <c r="BS150" s="59"/>
      <c r="BT150" s="59">
        <v>2511.886</v>
      </c>
      <c r="BU150" s="59">
        <v>7.45716</v>
      </c>
      <c r="BV150" s="59">
        <v>-252.25200000000001</v>
      </c>
      <c r="BW150" s="61"/>
      <c r="BY150" s="59"/>
      <c r="BZ150" s="59"/>
      <c r="CA150" s="59"/>
      <c r="CC150" s="59"/>
    </row>
    <row r="151" spans="1:81" x14ac:dyDescent="0.2">
      <c r="A151">
        <f t="shared" si="106"/>
        <v>58500</v>
      </c>
      <c r="B151">
        <f t="shared" si="138"/>
        <v>58.5</v>
      </c>
      <c r="C151">
        <f t="shared" si="107"/>
        <v>1.0000996052643667</v>
      </c>
      <c r="D151">
        <f t="shared" si="108"/>
        <v>1.4113610267776818E-2</v>
      </c>
      <c r="F151">
        <f t="shared" si="109"/>
        <v>2.6313112788762218E-2</v>
      </c>
      <c r="G151">
        <f t="shared" si="110"/>
        <v>6.1901103288706273E-2</v>
      </c>
      <c r="H151">
        <f t="shared" si="111"/>
        <v>-3.079691546711294</v>
      </c>
      <c r="J151">
        <f t="shared" si="112"/>
        <v>15</v>
      </c>
      <c r="M151">
        <f t="shared" si="113"/>
        <v>3.8576900359011297E-3</v>
      </c>
      <c r="N151">
        <f t="shared" si="114"/>
        <v>-1.5707963250000001</v>
      </c>
      <c r="O151">
        <f t="shared" si="115"/>
        <v>54.912490364850335</v>
      </c>
      <c r="P151">
        <f t="shared" si="116"/>
        <v>1.5525845270063652</v>
      </c>
      <c r="Q151">
        <f t="shared" si="117"/>
        <v>8.2310887051825414</v>
      </c>
      <c r="R151">
        <f t="shared" si="118"/>
        <v>1.4490048463545375</v>
      </c>
      <c r="S151">
        <f t="shared" si="119"/>
        <v>0.97440925325117589</v>
      </c>
      <c r="T151">
        <f t="shared" si="120"/>
        <v>-0.22671852812487292</v>
      </c>
      <c r="U151">
        <f t="shared" si="121"/>
        <v>0.96963019884297907</v>
      </c>
      <c r="V151">
        <f t="shared" si="122"/>
        <v>-0.24708208826828185</v>
      </c>
      <c r="X151">
        <f t="shared" si="139"/>
        <v>-3.7377994778592378</v>
      </c>
      <c r="Y151">
        <f t="shared" si="123"/>
        <v>-120.81305028697419</v>
      </c>
      <c r="Z151">
        <f t="shared" si="140"/>
        <v>59.186949713025811</v>
      </c>
      <c r="AC151">
        <v>1</v>
      </c>
      <c r="AD151">
        <f t="shared" si="124"/>
        <v>54.903384213268502</v>
      </c>
      <c r="AE151">
        <f t="shared" si="125"/>
        <v>-3.6325144784934084E-3</v>
      </c>
      <c r="AF151">
        <f t="shared" si="126"/>
        <v>1.4401249203159001E-2</v>
      </c>
      <c r="AG151">
        <f t="shared" si="141"/>
        <v>3567.8894605761802</v>
      </c>
      <c r="AH151">
        <f t="shared" si="142"/>
        <v>-969.3888305290011</v>
      </c>
      <c r="AJ151">
        <f t="shared" si="127"/>
        <v>18000</v>
      </c>
      <c r="AK151">
        <f t="shared" si="128"/>
        <v>4152.3234302768406</v>
      </c>
      <c r="AL151">
        <v>1</v>
      </c>
      <c r="AM151">
        <f t="shared" si="129"/>
        <v>8.1701175800953809</v>
      </c>
      <c r="AN151">
        <f t="shared" si="143"/>
        <v>766.41094057053147</v>
      </c>
      <c r="AO151">
        <f t="shared" si="144"/>
        <v>-2109.3440688558949</v>
      </c>
      <c r="AQ151">
        <f t="shared" si="130"/>
        <v>0.73046018991964934</v>
      </c>
      <c r="AR151">
        <f t="shared" si="131"/>
        <v>-85.463842220598977</v>
      </c>
      <c r="AT151">
        <f t="shared" si="156"/>
        <v>-80241.492849756731</v>
      </c>
      <c r="AU151">
        <f t="shared" si="157"/>
        <v>-305633.64186847484</v>
      </c>
      <c r="AV151">
        <f t="shared" si="145"/>
        <v>-1.8275434144190983</v>
      </c>
      <c r="AW151">
        <f t="shared" si="146"/>
        <v>-175172.56503576704</v>
      </c>
      <c r="AX151">
        <f t="shared" si="147"/>
        <v>-72589.12094964023</v>
      </c>
      <c r="AY151">
        <f t="shared" si="155"/>
        <v>-2.7487460920561499</v>
      </c>
      <c r="BA151">
        <f t="shared" si="132"/>
        <v>1.6664723190143551</v>
      </c>
      <c r="BB151">
        <f t="shared" si="148"/>
        <v>4.4359620839134308</v>
      </c>
      <c r="BC151">
        <f t="shared" si="149"/>
        <v>0.92120267763705166</v>
      </c>
      <c r="BD151">
        <f t="shared" si="133"/>
        <v>-127.21897443493532</v>
      </c>
      <c r="BF151">
        <f t="shared" si="134"/>
        <v>-3.6379030718074024</v>
      </c>
      <c r="BG151">
        <f t="shared" si="135"/>
        <v>-122.86365216227625</v>
      </c>
      <c r="BH151">
        <f t="shared" si="150"/>
        <v>57.136347837723747</v>
      </c>
      <c r="BI151">
        <f t="shared" si="151"/>
        <v>57.136347837723747</v>
      </c>
      <c r="BJ151">
        <f t="shared" si="136"/>
        <v>0</v>
      </c>
      <c r="BK151">
        <f t="shared" si="152"/>
        <v>0</v>
      </c>
      <c r="BM151">
        <f t="shared" si="153"/>
        <v>-8.0738651557208332</v>
      </c>
      <c r="BN151">
        <f t="shared" si="137"/>
        <v>-175.64467772734096</v>
      </c>
      <c r="BQ151" s="56">
        <f t="shared" si="154"/>
        <v>21.337922884198566</v>
      </c>
      <c r="BR151" s="59"/>
      <c r="BS151" s="59"/>
      <c r="BT151" s="59">
        <v>2570.3960000000002</v>
      </c>
      <c r="BU151" s="59">
        <v>7.31271</v>
      </c>
      <c r="BV151" s="59">
        <v>-251.702</v>
      </c>
      <c r="BW151" s="61"/>
      <c r="BY151" s="59"/>
      <c r="BZ151" s="59"/>
      <c r="CA151" s="59"/>
      <c r="CC151" s="59"/>
    </row>
    <row r="152" spans="1:81" x14ac:dyDescent="0.2">
      <c r="A152">
        <f t="shared" si="106"/>
        <v>59000</v>
      </c>
      <c r="B152">
        <f t="shared" si="138"/>
        <v>59</v>
      </c>
      <c r="C152">
        <f t="shared" si="107"/>
        <v>1.0001013151081457</v>
      </c>
      <c r="D152">
        <f t="shared" si="108"/>
        <v>1.4234223191018677E-2</v>
      </c>
      <c r="F152">
        <f t="shared" si="109"/>
        <v>2.5858279702055269E-2</v>
      </c>
      <c r="G152">
        <f t="shared" si="110"/>
        <v>6.1350346805256355E-2</v>
      </c>
      <c r="H152">
        <f t="shared" si="111"/>
        <v>-3.0802423031947437</v>
      </c>
      <c r="J152">
        <f t="shared" si="112"/>
        <v>15</v>
      </c>
      <c r="M152">
        <f t="shared" si="113"/>
        <v>3.8249977474612896E-3</v>
      </c>
      <c r="N152">
        <f t="shared" si="114"/>
        <v>-1.5707963250000001</v>
      </c>
      <c r="O152">
        <f t="shared" si="115"/>
        <v>55.381672900839789</v>
      </c>
      <c r="P152">
        <f t="shared" si="116"/>
        <v>1.552738830601414</v>
      </c>
      <c r="Q152">
        <f t="shared" si="117"/>
        <v>8.3004058449213804</v>
      </c>
      <c r="R152">
        <f t="shared" si="118"/>
        <v>1.4500269287571077</v>
      </c>
      <c r="S152">
        <f t="shared" si="119"/>
        <v>0.97398692973649281</v>
      </c>
      <c r="T152">
        <f t="shared" si="120"/>
        <v>-0.22858975992352148</v>
      </c>
      <c r="U152">
        <f t="shared" si="121"/>
        <v>0.9691327314753424</v>
      </c>
      <c r="V152">
        <f t="shared" si="122"/>
        <v>-0.2491079556799391</v>
      </c>
      <c r="X152">
        <f t="shared" si="139"/>
        <v>-3.8246428325936259</v>
      </c>
      <c r="Y152">
        <f t="shared" si="123"/>
        <v>-120.99358108211754</v>
      </c>
      <c r="Z152">
        <f t="shared" si="140"/>
        <v>59.006418917882456</v>
      </c>
      <c r="AC152">
        <v>1</v>
      </c>
      <c r="AD152">
        <f t="shared" si="124"/>
        <v>55.372643907399002</v>
      </c>
      <c r="AE152">
        <f t="shared" si="125"/>
        <v>-3.6948741031881237E-3</v>
      </c>
      <c r="AF152">
        <f t="shared" si="126"/>
        <v>1.4524336803186001E-2</v>
      </c>
      <c r="AG152">
        <f t="shared" si="141"/>
        <v>3564.2293986825784</v>
      </c>
      <c r="AH152">
        <f t="shared" si="142"/>
        <v>-975.56116296517587</v>
      </c>
      <c r="AJ152">
        <f t="shared" si="127"/>
        <v>18000</v>
      </c>
      <c r="AK152">
        <f t="shared" si="128"/>
        <v>4187.8133741253596</v>
      </c>
      <c r="AL152">
        <v>1</v>
      </c>
      <c r="AM152">
        <f t="shared" si="129"/>
        <v>8.2399476448825215</v>
      </c>
      <c r="AN152">
        <f t="shared" si="143"/>
        <v>762.11683006440376</v>
      </c>
      <c r="AO152">
        <f t="shared" si="144"/>
        <v>-2091.989404889157</v>
      </c>
      <c r="AQ152">
        <f t="shared" si="130"/>
        <v>0.71813285457809695</v>
      </c>
      <c r="AR152">
        <f t="shared" si="131"/>
        <v>-84.739676840215438</v>
      </c>
      <c r="AT152">
        <f t="shared" si="156"/>
        <v>-80109.147455086655</v>
      </c>
      <c r="AU152">
        <f t="shared" si="157"/>
        <v>-302732.22995153279</v>
      </c>
      <c r="AV152">
        <f t="shared" si="145"/>
        <v>-1.8294874052653474</v>
      </c>
      <c r="AW152">
        <f t="shared" si="146"/>
        <v>-172199.14827008333</v>
      </c>
      <c r="AX152">
        <f t="shared" si="147"/>
        <v>-71599.968659711536</v>
      </c>
      <c r="AY152">
        <f t="shared" si="155"/>
        <v>-2.7475423872118623</v>
      </c>
      <c r="BA152">
        <f t="shared" si="132"/>
        <v>1.6791760665432294</v>
      </c>
      <c r="BB152">
        <f t="shared" si="148"/>
        <v>4.5019247115549783</v>
      </c>
      <c r="BC152">
        <f t="shared" si="149"/>
        <v>0.91805498194651491</v>
      </c>
      <c r="BD152">
        <f t="shared" si="133"/>
        <v>-127.39932411340068</v>
      </c>
      <c r="BF152">
        <f t="shared" si="134"/>
        <v>-3.7233775642503075</v>
      </c>
      <c r="BG152">
        <f t="shared" si="135"/>
        <v>-123.06864725135443</v>
      </c>
      <c r="BH152">
        <f t="shared" si="150"/>
        <v>56.931352748645565</v>
      </c>
      <c r="BI152">
        <f t="shared" si="151"/>
        <v>56.931352748645565</v>
      </c>
      <c r="BJ152">
        <f t="shared" si="136"/>
        <v>0</v>
      </c>
      <c r="BK152">
        <f t="shared" si="152"/>
        <v>0</v>
      </c>
      <c r="BM152">
        <f t="shared" si="153"/>
        <v>-8.2253022758052872</v>
      </c>
      <c r="BN152">
        <f t="shared" si="137"/>
        <v>-175.66932313795374</v>
      </c>
      <c r="BQ152" s="56">
        <f t="shared" si="154"/>
        <v>21.403885511840116</v>
      </c>
      <c r="BR152" s="59"/>
      <c r="BS152" s="59"/>
      <c r="BT152" s="59">
        <v>2630.268</v>
      </c>
      <c r="BU152" s="59">
        <v>7.13504</v>
      </c>
      <c r="BV152" s="59">
        <v>-251.40100000000001</v>
      </c>
      <c r="BW152" s="61"/>
      <c r="BY152" s="59"/>
      <c r="BZ152" s="59"/>
      <c r="CA152" s="59"/>
      <c r="CC152" s="59"/>
    </row>
    <row r="153" spans="1:81" x14ac:dyDescent="0.2">
      <c r="A153">
        <f t="shared" si="106"/>
        <v>59500</v>
      </c>
      <c r="B153">
        <f t="shared" si="138"/>
        <v>59.5</v>
      </c>
      <c r="C153">
        <f t="shared" si="107"/>
        <v>1.0001030395008259</v>
      </c>
      <c r="D153">
        <f t="shared" si="108"/>
        <v>1.4354835700089913E-2</v>
      </c>
      <c r="F153">
        <f t="shared" si="109"/>
        <v>2.5415227394134772E-2</v>
      </c>
      <c r="G153">
        <f t="shared" si="110"/>
        <v>6.0809518388912208E-2</v>
      </c>
      <c r="H153">
        <f t="shared" si="111"/>
        <v>-3.0807831316110881</v>
      </c>
      <c r="J153">
        <f t="shared" si="112"/>
        <v>15</v>
      </c>
      <c r="M153">
        <f t="shared" si="113"/>
        <v>3.7928549092473298E-3</v>
      </c>
      <c r="N153">
        <f t="shared" si="114"/>
        <v>-1.5707963250000001</v>
      </c>
      <c r="O153">
        <f t="shared" si="115"/>
        <v>55.850856733290257</v>
      </c>
      <c r="P153">
        <f t="shared" si="116"/>
        <v>1.5528905416971943</v>
      </c>
      <c r="Q153">
        <f t="shared" si="117"/>
        <v>8.369731512069114</v>
      </c>
      <c r="R153">
        <f t="shared" si="118"/>
        <v>1.4510320805782029</v>
      </c>
      <c r="S153">
        <f t="shared" si="119"/>
        <v>0.97356156764798796</v>
      </c>
      <c r="T153">
        <f t="shared" si="120"/>
        <v>-0.23045936384548515</v>
      </c>
      <c r="U153">
        <f t="shared" si="121"/>
        <v>0.96863180501941404</v>
      </c>
      <c r="V153">
        <f t="shared" si="122"/>
        <v>-0.25113173712492948</v>
      </c>
      <c r="X153">
        <f t="shared" si="139"/>
        <v>-3.9108050371820049</v>
      </c>
      <c r="Y153">
        <f t="shared" si="123"/>
        <v>-121.1744488672275</v>
      </c>
      <c r="Z153">
        <f t="shared" si="140"/>
        <v>58.825551132772503</v>
      </c>
      <c r="AC153">
        <v>1</v>
      </c>
      <c r="AD153">
        <f t="shared" si="124"/>
        <v>55.841903601529495</v>
      </c>
      <c r="AE153">
        <f t="shared" si="125"/>
        <v>-3.7577644480930061E-3</v>
      </c>
      <c r="AF153">
        <f t="shared" si="126"/>
        <v>1.4647424403213E-2</v>
      </c>
      <c r="AG153">
        <f t="shared" si="141"/>
        <v>3560.5457848314145</v>
      </c>
      <c r="AH153">
        <f t="shared" si="142"/>
        <v>-981.72156211249182</v>
      </c>
      <c r="AJ153">
        <f t="shared" si="127"/>
        <v>18000</v>
      </c>
      <c r="AK153">
        <f t="shared" si="128"/>
        <v>4223.3033179738804</v>
      </c>
      <c r="AL153">
        <v>1</v>
      </c>
      <c r="AM153">
        <f t="shared" si="129"/>
        <v>8.3097777096696603</v>
      </c>
      <c r="AN153">
        <f t="shared" si="143"/>
        <v>757.92845841837993</v>
      </c>
      <c r="AO153">
        <f t="shared" si="144"/>
        <v>-2074.9136913154616</v>
      </c>
      <c r="AQ153">
        <f t="shared" si="130"/>
        <v>0.70611495551475778</v>
      </c>
      <c r="AR153">
        <f t="shared" si="131"/>
        <v>-84.02767970625618</v>
      </c>
      <c r="AT153">
        <f t="shared" si="156"/>
        <v>-79977.630353449465</v>
      </c>
      <c r="AU153">
        <f t="shared" si="157"/>
        <v>-299877.60906443361</v>
      </c>
      <c r="AV153">
        <f t="shared" si="145"/>
        <v>-1.8314306854698814</v>
      </c>
      <c r="AW153">
        <f t="shared" si="146"/>
        <v>-169298.94772914206</v>
      </c>
      <c r="AX153">
        <f t="shared" si="147"/>
        <v>-70637.008253378022</v>
      </c>
      <c r="AY153">
        <f t="shared" si="155"/>
        <v>-2.7463195758217993</v>
      </c>
      <c r="BA153">
        <f t="shared" si="132"/>
        <v>1.6918480949848507</v>
      </c>
      <c r="BB153">
        <f t="shared" si="148"/>
        <v>4.5672273339721796</v>
      </c>
      <c r="BC153">
        <f t="shared" si="149"/>
        <v>0.91488889035191789</v>
      </c>
      <c r="BD153">
        <f t="shared" si="133"/>
        <v>-127.58072779953022</v>
      </c>
      <c r="BF153">
        <f t="shared" si="134"/>
        <v>-3.8081725461118419</v>
      </c>
      <c r="BG153">
        <f t="shared" si="135"/>
        <v>-123.27412753548248</v>
      </c>
      <c r="BH153">
        <f t="shared" si="150"/>
        <v>56.725872464517522</v>
      </c>
      <c r="BI153">
        <f t="shared" si="151"/>
        <v>56.725872464517522</v>
      </c>
      <c r="BJ153">
        <f t="shared" si="136"/>
        <v>0</v>
      </c>
      <c r="BK153">
        <f t="shared" si="152"/>
        <v>0</v>
      </c>
      <c r="BM153">
        <f t="shared" si="153"/>
        <v>-8.3753998800840197</v>
      </c>
      <c r="BN153">
        <f t="shared" si="137"/>
        <v>-175.69339973595228</v>
      </c>
      <c r="BQ153" s="56">
        <f t="shared" si="154"/>
        <v>21.469188134257315</v>
      </c>
      <c r="BR153" s="59"/>
      <c r="BS153" s="59"/>
      <c r="BT153" s="59">
        <v>2691.5349999999999</v>
      </c>
      <c r="BU153" s="59">
        <v>6.8809300000000002</v>
      </c>
      <c r="BV153" s="59">
        <v>-251.244</v>
      </c>
      <c r="BW153" s="61"/>
      <c r="BY153" s="59"/>
      <c r="BZ153" s="59"/>
      <c r="CA153" s="59"/>
      <c r="CC153" s="59"/>
    </row>
    <row r="154" spans="1:81" x14ac:dyDescent="0.2">
      <c r="A154">
        <f t="shared" si="106"/>
        <v>60000</v>
      </c>
      <c r="B154">
        <f t="shared" si="138"/>
        <v>60</v>
      </c>
      <c r="C154">
        <f t="shared" si="107"/>
        <v>1.0001047784423325</v>
      </c>
      <c r="D154">
        <f t="shared" si="108"/>
        <v>1.4475447791483482E-2</v>
      </c>
      <c r="F154">
        <f t="shared" si="109"/>
        <v>2.4983549570631029E-2</v>
      </c>
      <c r="G154">
        <f t="shared" si="110"/>
        <v>6.0278346887541877E-2</v>
      </c>
      <c r="H154">
        <f t="shared" si="111"/>
        <v>-3.0813143031124581</v>
      </c>
      <c r="J154">
        <f t="shared" si="112"/>
        <v>15</v>
      </c>
      <c r="M154">
        <f t="shared" si="113"/>
        <v>3.7612477850036017E-3</v>
      </c>
      <c r="N154">
        <f t="shared" si="114"/>
        <v>-1.5707963250000001</v>
      </c>
      <c r="O154">
        <f t="shared" si="115"/>
        <v>56.320041829800573</v>
      </c>
      <c r="P154">
        <f t="shared" si="116"/>
        <v>1.5530397250785959</v>
      </c>
      <c r="Q154">
        <f t="shared" si="117"/>
        <v>8.4390654964715655</v>
      </c>
      <c r="R154">
        <f t="shared" si="118"/>
        <v>1.4520207170579831</v>
      </c>
      <c r="S154">
        <f t="shared" si="119"/>
        <v>0.97313317987994552</v>
      </c>
      <c r="T154">
        <f t="shared" si="120"/>
        <v>-0.23232732896112732</v>
      </c>
      <c r="U154">
        <f t="shared" si="121"/>
        <v>0.96812743713639504</v>
      </c>
      <c r="V154">
        <f t="shared" si="122"/>
        <v>-0.25315341927150897</v>
      </c>
      <c r="X154">
        <f t="shared" si="139"/>
        <v>-3.9963003438501472</v>
      </c>
      <c r="Y154">
        <f t="shared" si="123"/>
        <v>-121.35564028489362</v>
      </c>
      <c r="Z154">
        <f t="shared" si="140"/>
        <v>58.644359715106376</v>
      </c>
      <c r="AC154">
        <v>1</v>
      </c>
      <c r="AD154">
        <f t="shared" si="124"/>
        <v>56.311163295660002</v>
      </c>
      <c r="AE154">
        <f t="shared" si="125"/>
        <v>-3.8211855132080563E-3</v>
      </c>
      <c r="AF154">
        <f t="shared" si="126"/>
        <v>1.477051200324E-2</v>
      </c>
      <c r="AG154">
        <f t="shared" si="141"/>
        <v>3556.8387882484953</v>
      </c>
      <c r="AH154">
        <f t="shared" si="142"/>
        <v>-987.86967217324286</v>
      </c>
      <c r="AJ154">
        <f t="shared" si="127"/>
        <v>18000</v>
      </c>
      <c r="AK154">
        <f t="shared" si="128"/>
        <v>4258.7932618224004</v>
      </c>
      <c r="AL154">
        <v>1</v>
      </c>
      <c r="AM154">
        <f t="shared" si="129"/>
        <v>8.3796077744568009</v>
      </c>
      <c r="AN154">
        <f t="shared" si="143"/>
        <v>753.84239873490583</v>
      </c>
      <c r="AO154">
        <f t="shared" si="144"/>
        <v>-2058.1103633317803</v>
      </c>
      <c r="AQ154">
        <f t="shared" si="130"/>
        <v>0.69439622248454969</v>
      </c>
      <c r="AR154">
        <f t="shared" si="131"/>
        <v>-83.327546698145966</v>
      </c>
      <c r="AT154">
        <f t="shared" si="156"/>
        <v>-79846.900821151765</v>
      </c>
      <c r="AU154">
        <f t="shared" si="157"/>
        <v>-297068.62319421757</v>
      </c>
      <c r="AV154">
        <f t="shared" si="145"/>
        <v>-1.8333732073425701</v>
      </c>
      <c r="AW154">
        <f t="shared" si="146"/>
        <v>-166469.59579704094</v>
      </c>
      <c r="AX154">
        <f t="shared" si="147"/>
        <v>-69699.279746206637</v>
      </c>
      <c r="AY154">
        <f t="shared" si="155"/>
        <v>-2.7450781122136036</v>
      </c>
      <c r="BA154">
        <f t="shared" si="132"/>
        <v>1.7044880855431122</v>
      </c>
      <c r="BB154">
        <f t="shared" si="148"/>
        <v>4.6318793967078111</v>
      </c>
      <c r="BC154">
        <f t="shared" si="149"/>
        <v>0.91170490487103351</v>
      </c>
      <c r="BD154">
        <f t="shared" si="133"/>
        <v>-127.76315672982429</v>
      </c>
      <c r="BF154">
        <f t="shared" si="134"/>
        <v>-3.8923025482491895</v>
      </c>
      <c r="BG154">
        <f t="shared" si="135"/>
        <v>-123.48007978723446</v>
      </c>
      <c r="BH154">
        <f t="shared" si="150"/>
        <v>56.519920212765541</v>
      </c>
      <c r="BI154">
        <f t="shared" si="151"/>
        <v>56.519920212765541</v>
      </c>
      <c r="BJ154">
        <f t="shared" si="136"/>
        <v>0</v>
      </c>
      <c r="BK154">
        <f t="shared" si="152"/>
        <v>0</v>
      </c>
      <c r="BM154">
        <f t="shared" si="153"/>
        <v>-8.5241819449570002</v>
      </c>
      <c r="BN154">
        <f t="shared" si="137"/>
        <v>-175.71692305741018</v>
      </c>
      <c r="BQ154" s="56">
        <f t="shared" si="154"/>
        <v>21.533840196992948</v>
      </c>
      <c r="BR154" s="59"/>
      <c r="BS154" s="59"/>
      <c r="BT154" s="59">
        <v>2754.2289999999998</v>
      </c>
      <c r="BU154" s="59">
        <v>6.7009400000000001</v>
      </c>
      <c r="BV154" s="59">
        <v>-251.05099999999999</v>
      </c>
      <c r="BW154" s="61"/>
      <c r="BY154" s="59"/>
      <c r="BZ154" s="59"/>
      <c r="CA154" s="59"/>
      <c r="CC154" s="59"/>
    </row>
    <row r="155" spans="1:81" x14ac:dyDescent="0.2">
      <c r="A155">
        <f t="shared" si="106"/>
        <v>60500</v>
      </c>
      <c r="B155">
        <f t="shared" si="138"/>
        <v>60.5</v>
      </c>
      <c r="C155">
        <f t="shared" si="107"/>
        <v>1.0001065319325888</v>
      </c>
      <c r="D155">
        <f t="shared" si="108"/>
        <v>1.4596059461692422E-2</v>
      </c>
      <c r="F155">
        <f t="shared" si="109"/>
        <v>2.4562857421903943E-2</v>
      </c>
      <c r="G155">
        <f t="shared" si="110"/>
        <v>5.9756571091241266E-2</v>
      </c>
      <c r="H155">
        <f t="shared" si="111"/>
        <v>-3.0818360789087591</v>
      </c>
      <c r="J155">
        <f t="shared" si="112"/>
        <v>15</v>
      </c>
      <c r="M155">
        <f t="shared" si="113"/>
        <v>3.7301630925655549E-3</v>
      </c>
      <c r="N155">
        <f t="shared" si="114"/>
        <v>-1.5707963250000001</v>
      </c>
      <c r="O155">
        <f t="shared" si="115"/>
        <v>56.789228159040249</v>
      </c>
      <c r="P155">
        <f t="shared" si="116"/>
        <v>1.553186443389986</v>
      </c>
      <c r="Q155">
        <f t="shared" si="117"/>
        <v>8.5084075947998237</v>
      </c>
      <c r="R155">
        <f t="shared" si="118"/>
        <v>1.4529932400316441</v>
      </c>
      <c r="S155">
        <f t="shared" si="119"/>
        <v>0.97270177938731661</v>
      </c>
      <c r="T155">
        <f t="shared" si="120"/>
        <v>-0.23419364440570947</v>
      </c>
      <c r="U155">
        <f t="shared" si="121"/>
        <v>0.96761964555826774</v>
      </c>
      <c r="V155">
        <f t="shared" si="122"/>
        <v>-0.25517298888421858</v>
      </c>
      <c r="X155">
        <f t="shared" si="139"/>
        <v>-4.0811425774679879</v>
      </c>
      <c r="Y155">
        <f t="shared" si="123"/>
        <v>-121.53714230798369</v>
      </c>
      <c r="Z155">
        <f t="shared" si="140"/>
        <v>58.462857692016314</v>
      </c>
      <c r="AC155">
        <v>1</v>
      </c>
      <c r="AD155">
        <f t="shared" si="124"/>
        <v>56.780422989790502</v>
      </c>
      <c r="AE155">
        <f t="shared" si="125"/>
        <v>-3.8851372985332752E-3</v>
      </c>
      <c r="AF155">
        <f t="shared" si="126"/>
        <v>1.4893599603267001E-2</v>
      </c>
      <c r="AG155">
        <f t="shared" si="141"/>
        <v>3553.1085786796016</v>
      </c>
      <c r="AH155">
        <f t="shared" si="142"/>
        <v>-994.00514711831352</v>
      </c>
      <c r="AJ155">
        <f t="shared" si="127"/>
        <v>18000</v>
      </c>
      <c r="AK155">
        <f t="shared" si="128"/>
        <v>4294.2832056709194</v>
      </c>
      <c r="AL155">
        <v>1</v>
      </c>
      <c r="AM155">
        <f t="shared" si="129"/>
        <v>8.4494378392439415</v>
      </c>
      <c r="AN155">
        <f t="shared" si="143"/>
        <v>749.85536116697892</v>
      </c>
      <c r="AO155">
        <f t="shared" si="144"/>
        <v>-2041.5730569332843</v>
      </c>
      <c r="AQ155">
        <f t="shared" si="130"/>
        <v>0.68296680781314023</v>
      </c>
      <c r="AR155">
        <f t="shared" si="131"/>
        <v>-82.638983745389979</v>
      </c>
      <c r="AT155">
        <f t="shared" si="156"/>
        <v>-79716.919971749987</v>
      </c>
      <c r="AU155">
        <f t="shared" si="157"/>
        <v>-294304.15460138652</v>
      </c>
      <c r="AV155">
        <f t="shared" si="145"/>
        <v>-1.8353149244243743</v>
      </c>
      <c r="AW155">
        <f t="shared" si="146"/>
        <v>-163708.81930920962</v>
      </c>
      <c r="AX155">
        <f t="shared" si="147"/>
        <v>-68785.866963735229</v>
      </c>
      <c r="AY155">
        <f t="shared" si="155"/>
        <v>-2.7438184366422389</v>
      </c>
      <c r="BA155">
        <f t="shared" si="132"/>
        <v>1.7170957217307328</v>
      </c>
      <c r="BB155">
        <f t="shared" si="148"/>
        <v>4.6958901229120702</v>
      </c>
      <c r="BC155">
        <f t="shared" si="149"/>
        <v>0.90850351221786463</v>
      </c>
      <c r="BD155">
        <f t="shared" si="133"/>
        <v>-127.94658301762465</v>
      </c>
      <c r="BF155">
        <f t="shared" si="134"/>
        <v>-3.9757816742139083</v>
      </c>
      <c r="BG155">
        <f t="shared" si="135"/>
        <v>-123.68649108637821</v>
      </c>
      <c r="BH155">
        <f t="shared" si="150"/>
        <v>56.313508913621789</v>
      </c>
      <c r="BI155">
        <f t="shared" si="151"/>
        <v>56.313508913621789</v>
      </c>
      <c r="BJ155">
        <f t="shared" si="136"/>
        <v>0</v>
      </c>
      <c r="BK155">
        <f t="shared" si="152"/>
        <v>0</v>
      </c>
      <c r="BM155">
        <f t="shared" si="153"/>
        <v>-8.6716717971259776</v>
      </c>
      <c r="BN155">
        <f t="shared" si="137"/>
        <v>-175.73990806875358</v>
      </c>
      <c r="BQ155" s="56">
        <f t="shared" si="154"/>
        <v>21.597850923197207</v>
      </c>
      <c r="BR155" s="59"/>
      <c r="BS155" s="59"/>
      <c r="BT155" s="59">
        <v>2818.3829999999998</v>
      </c>
      <c r="BU155" s="59">
        <v>6.5356199999999998</v>
      </c>
      <c r="BV155" s="59">
        <v>-250.48</v>
      </c>
      <c r="BW155" s="61"/>
      <c r="BY155" s="59"/>
      <c r="BZ155" s="59"/>
      <c r="CA155" s="59"/>
      <c r="CC155" s="59"/>
    </row>
    <row r="156" spans="1:81" x14ac:dyDescent="0.2">
      <c r="A156">
        <f t="shared" si="106"/>
        <v>61000</v>
      </c>
      <c r="B156">
        <f t="shared" si="138"/>
        <v>61</v>
      </c>
      <c r="C156">
        <f t="shared" si="107"/>
        <v>1.000108299971519</v>
      </c>
      <c r="D156">
        <f t="shared" si="108"/>
        <v>1.4716670707209835E-2</v>
      </c>
      <c r="F156">
        <f t="shared" si="109"/>
        <v>2.4152778722050586E-2</v>
      </c>
      <c r="G156">
        <f t="shared" si="110"/>
        <v>5.9243939274909507E-2</v>
      </c>
      <c r="H156">
        <f t="shared" si="111"/>
        <v>-3.0823487107250909</v>
      </c>
      <c r="J156">
        <f t="shared" si="112"/>
        <v>15</v>
      </c>
      <c r="M156">
        <f t="shared" si="113"/>
        <v>3.6995879852494444E-3</v>
      </c>
      <c r="N156">
        <f t="shared" si="114"/>
        <v>-1.5707963250000001</v>
      </c>
      <c r="O156">
        <f t="shared" si="115"/>
        <v>57.258415690705625</v>
      </c>
      <c r="P156">
        <f t="shared" si="116"/>
        <v>1.5533307572228794</v>
      </c>
      <c r="Q156">
        <f t="shared" si="117"/>
        <v>8.5777576102763664</v>
      </c>
      <c r="R156">
        <f t="shared" si="118"/>
        <v>1.4539500384634649</v>
      </c>
      <c r="S156">
        <f t="shared" si="119"/>
        <v>0.97226737918471695</v>
      </c>
      <c r="T156">
        <f t="shared" si="120"/>
        <v>-0.23605829937964237</v>
      </c>
      <c r="U156">
        <f t="shared" si="121"/>
        <v>0.96710844808622987</v>
      </c>
      <c r="V156">
        <f t="shared" si="122"/>
        <v>-0.25719043282417486</v>
      </c>
      <c r="X156">
        <f t="shared" si="139"/>
        <v>-4.165345152385675</v>
      </c>
      <c r="Y156">
        <f t="shared" si="123"/>
        <v>-121.71894223026135</v>
      </c>
      <c r="Z156">
        <f t="shared" si="140"/>
        <v>58.281057769738652</v>
      </c>
      <c r="AC156">
        <v>1</v>
      </c>
      <c r="AD156">
        <f t="shared" si="124"/>
        <v>57.249682683920994</v>
      </c>
      <c r="AE156">
        <f t="shared" si="125"/>
        <v>-3.9496198040686612E-3</v>
      </c>
      <c r="AF156">
        <f t="shared" si="126"/>
        <v>1.5016687203294E-2</v>
      </c>
      <c r="AG156">
        <f t="shared" si="141"/>
        <v>3549.3553263730319</v>
      </c>
      <c r="AH156">
        <f t="shared" si="142"/>
        <v>-1000.1276503532077</v>
      </c>
      <c r="AJ156">
        <f t="shared" si="127"/>
        <v>18000</v>
      </c>
      <c r="AK156">
        <f t="shared" si="128"/>
        <v>4329.7731495194403</v>
      </c>
      <c r="AL156">
        <v>1</v>
      </c>
      <c r="AM156">
        <f t="shared" si="129"/>
        <v>8.5192679040310804</v>
      </c>
      <c r="AN156">
        <f t="shared" si="143"/>
        <v>745.96418642481137</v>
      </c>
      <c r="AO156">
        <f t="shared" si="144"/>
        <v>-2025.2956014461124</v>
      </c>
      <c r="AQ156">
        <f t="shared" si="130"/>
        <v>0.67181726570372857</v>
      </c>
      <c r="AR156">
        <f t="shared" si="131"/>
        <v>-81.961706415854891</v>
      </c>
      <c r="AT156">
        <f t="shared" si="156"/>
        <v>-79587.650666253496</v>
      </c>
      <c r="AU156">
        <f t="shared" si="157"/>
        <v>-291583.12224915228</v>
      </c>
      <c r="AV156">
        <f t="shared" si="145"/>
        <v>-1.837255791441176</v>
      </c>
      <c r="AW156">
        <f t="shared" si="146"/>
        <v>-161014.4350903618</v>
      </c>
      <c r="AX156">
        <f t="shared" si="147"/>
        <v>-67895.895178650142</v>
      </c>
      <c r="AY156">
        <f t="shared" si="155"/>
        <v>-2.742540975864646</v>
      </c>
      <c r="BA156">
        <f t="shared" si="132"/>
        <v>1.7296706893349991</v>
      </c>
      <c r="BB156">
        <f t="shared" si="148"/>
        <v>4.7592685201677876</v>
      </c>
      <c r="BC156">
        <f t="shared" si="149"/>
        <v>0.90528518442346995</v>
      </c>
      <c r="BD156">
        <f t="shared" si="133"/>
        <v>-128.1309796175438</v>
      </c>
      <c r="BF156">
        <f t="shared" si="134"/>
        <v>-4.0586236170414782</v>
      </c>
      <c r="BG156">
        <f t="shared" si="135"/>
        <v>-123.89334881051303</v>
      </c>
      <c r="BH156">
        <f t="shared" si="150"/>
        <v>56.106651189486968</v>
      </c>
      <c r="BI156">
        <f t="shared" si="151"/>
        <v>56.106651189486968</v>
      </c>
      <c r="BJ156">
        <f t="shared" si="136"/>
        <v>0</v>
      </c>
      <c r="BK156">
        <f t="shared" si="152"/>
        <v>0</v>
      </c>
      <c r="BM156">
        <f t="shared" si="153"/>
        <v>-8.8178921372092649</v>
      </c>
      <c r="BN156">
        <f t="shared" si="137"/>
        <v>-175.76236919296923</v>
      </c>
      <c r="BQ156" s="56">
        <f t="shared" si="154"/>
        <v>21.661229320452925</v>
      </c>
      <c r="BR156" s="59"/>
      <c r="BS156" s="59"/>
      <c r="BT156" s="59">
        <v>2884.0320000000002</v>
      </c>
      <c r="BU156" s="59">
        <v>6.3265200000000004</v>
      </c>
      <c r="BV156" s="59">
        <v>-250.202</v>
      </c>
      <c r="BW156" s="61"/>
      <c r="BY156" s="59"/>
      <c r="BZ156" s="59"/>
      <c r="CA156" s="59"/>
      <c r="CC156" s="59"/>
    </row>
    <row r="157" spans="1:81" x14ac:dyDescent="0.2">
      <c r="A157">
        <f t="shared" si="106"/>
        <v>61500</v>
      </c>
      <c r="B157">
        <f t="shared" si="138"/>
        <v>61.5</v>
      </c>
      <c r="C157">
        <f t="shared" si="107"/>
        <v>1.0001100825590452</v>
      </c>
      <c r="D157">
        <f t="shared" si="108"/>
        <v>1.4837281524528905E-2</v>
      </c>
      <c r="F157">
        <f t="shared" si="109"/>
        <v>2.3752956981939362E-2</v>
      </c>
      <c r="G157">
        <f t="shared" si="110"/>
        <v>5.8740208766105986E-2</v>
      </c>
      <c r="H157">
        <f t="shared" si="111"/>
        <v>-3.0828524412338942</v>
      </c>
      <c r="J157">
        <f t="shared" si="112"/>
        <v>15</v>
      </c>
      <c r="M157">
        <f t="shared" si="113"/>
        <v>3.6695100341498552E-3</v>
      </c>
      <c r="N157">
        <f t="shared" si="114"/>
        <v>-1.5707963250000001</v>
      </c>
      <c r="O157">
        <f t="shared" si="115"/>
        <v>57.72760439547816</v>
      </c>
      <c r="P157">
        <f t="shared" si="116"/>
        <v>1.553472725199337</v>
      </c>
      <c r="Q157">
        <f t="shared" si="117"/>
        <v>8.647115352414195</v>
      </c>
      <c r="R157">
        <f t="shared" si="118"/>
        <v>1.4548914889556448</v>
      </c>
      <c r="S157">
        <f t="shared" si="119"/>
        <v>0.97182999234542378</v>
      </c>
      <c r="T157">
        <f t="shared" si="120"/>
        <v>-0.23792128314873137</v>
      </c>
      <c r="U157">
        <f t="shared" si="121"/>
        <v>0.96659386258913271</v>
      </c>
      <c r="V157">
        <f t="shared" si="122"/>
        <v>-0.25920573804935054</v>
      </c>
      <c r="X157">
        <f t="shared" si="139"/>
        <v>-4.2489210884445177</v>
      </c>
      <c r="Y157">
        <f t="shared" si="123"/>
        <v>-121.90102765724376</v>
      </c>
      <c r="Z157">
        <f t="shared" si="140"/>
        <v>58.098972342756241</v>
      </c>
      <c r="AC157">
        <v>1</v>
      </c>
      <c r="AD157">
        <f t="shared" si="124"/>
        <v>57.718942378051501</v>
      </c>
      <c r="AE157">
        <f t="shared" si="125"/>
        <v>-4.0146330298142146E-3</v>
      </c>
      <c r="AF157">
        <f t="shared" si="126"/>
        <v>1.5139774803321E-2</v>
      </c>
      <c r="AG157">
        <f t="shared" si="141"/>
        <v>3545.579202062188</v>
      </c>
      <c r="AH157">
        <f t="shared" si="142"/>
        <v>-1006.2368544002038</v>
      </c>
      <c r="AJ157">
        <f t="shared" si="127"/>
        <v>18000</v>
      </c>
      <c r="AK157">
        <f t="shared" si="128"/>
        <v>4365.2630933679602</v>
      </c>
      <c r="AL157">
        <v>1</v>
      </c>
      <c r="AM157">
        <f t="shared" si="129"/>
        <v>8.589097968818221</v>
      </c>
      <c r="AN157">
        <f t="shared" si="143"/>
        <v>742.16583963684332</v>
      </c>
      <c r="AO157">
        <f t="shared" si="144"/>
        <v>-2009.27201238312</v>
      </c>
      <c r="AQ157">
        <f t="shared" si="130"/>
        <v>0.66093853271645742</v>
      </c>
      <c r="AR157">
        <f t="shared" si="131"/>
        <v>-81.295439524124262</v>
      </c>
      <c r="AT157">
        <f t="shared" si="156"/>
        <v>-79459.057428395841</v>
      </c>
      <c r="AU157">
        <f t="shared" si="157"/>
        <v>-288904.48030935187</v>
      </c>
      <c r="AV157">
        <f t="shared" si="145"/>
        <v>-1.8391957642598629</v>
      </c>
      <c r="AW157">
        <f t="shared" si="146"/>
        <v>-158384.34573511212</v>
      </c>
      <c r="AX157">
        <f t="shared" si="147"/>
        <v>-67028.528893928422</v>
      </c>
      <c r="AY157">
        <f t="shared" si="155"/>
        <v>-2.7412461436871083</v>
      </c>
      <c r="BA157">
        <f t="shared" si="132"/>
        <v>1.7422126763865733</v>
      </c>
      <c r="BB157">
        <f t="shared" si="148"/>
        <v>4.8220233870646192</v>
      </c>
      <c r="BC157">
        <f t="shared" si="149"/>
        <v>0.90205037942724542</v>
      </c>
      <c r="BD157">
        <f t="shared" si="133"/>
        <v>-128.31632029158709</v>
      </c>
      <c r="BF157">
        <f t="shared" si="134"/>
        <v>-4.1408416752158175</v>
      </c>
      <c r="BG157">
        <f t="shared" si="135"/>
        <v>-124.10064062595177</v>
      </c>
      <c r="BH157">
        <f t="shared" si="150"/>
        <v>55.899359374048231</v>
      </c>
      <c r="BI157">
        <f t="shared" si="151"/>
        <v>55.899359374048231</v>
      </c>
      <c r="BJ157">
        <f t="shared" si="136"/>
        <v>0</v>
      </c>
      <c r="BK157">
        <f t="shared" si="152"/>
        <v>0</v>
      </c>
      <c r="BM157">
        <f t="shared" si="153"/>
        <v>-8.9628650622804358</v>
      </c>
      <c r="BN157">
        <f t="shared" si="137"/>
        <v>-175.78432033436471</v>
      </c>
      <c r="BQ157" s="56">
        <f t="shared" si="154"/>
        <v>21.723984187349753</v>
      </c>
      <c r="BR157" s="59"/>
      <c r="BS157" s="59"/>
      <c r="BT157" s="59">
        <v>2951.2089999999998</v>
      </c>
      <c r="BU157" s="59">
        <v>6.1830800000000004</v>
      </c>
      <c r="BV157" s="59">
        <v>-249.92599999999999</v>
      </c>
      <c r="BW157" s="61"/>
      <c r="BY157" s="59"/>
      <c r="BZ157" s="59"/>
      <c r="CA157" s="59"/>
      <c r="CC157" s="59"/>
    </row>
    <row r="158" spans="1:81" x14ac:dyDescent="0.2">
      <c r="A158">
        <f t="shared" si="106"/>
        <v>62000</v>
      </c>
      <c r="B158">
        <f t="shared" si="138"/>
        <v>62</v>
      </c>
      <c r="C158">
        <f t="shared" si="107"/>
        <v>1.0001118796950905</v>
      </c>
      <c r="D158">
        <f t="shared" si="108"/>
        <v>1.4957891910142887E-2</v>
      </c>
      <c r="F158">
        <f t="shared" si="109"/>
        <v>2.33630506525794E-2</v>
      </c>
      <c r="G158">
        <f t="shared" si="110"/>
        <v>5.8245145536560156E-2</v>
      </c>
      <c r="H158">
        <f t="shared" si="111"/>
        <v>-3.0833475044634402</v>
      </c>
      <c r="J158">
        <f t="shared" si="112"/>
        <v>15</v>
      </c>
      <c r="M158">
        <f t="shared" si="113"/>
        <v>3.6399172112938079E-3</v>
      </c>
      <c r="N158">
        <f t="shared" si="114"/>
        <v>-1.5707963250000001</v>
      </c>
      <c r="O158">
        <f t="shared" si="115"/>
        <v>58.196794244984709</v>
      </c>
      <c r="P158">
        <f t="shared" si="116"/>
        <v>1.5536124040513315</v>
      </c>
      <c r="Q158">
        <f t="shared" si="117"/>
        <v>8.7164806367683063</v>
      </c>
      <c r="R158">
        <f t="shared" si="118"/>
        <v>1.4558179562333053</v>
      </c>
      <c r="S158">
        <f t="shared" si="119"/>
        <v>0.97138963200037431</v>
      </c>
      <c r="T158">
        <f t="shared" si="120"/>
        <v>-0.23978258504441594</v>
      </c>
      <c r="U158">
        <f t="shared" si="121"/>
        <v>0.96607590700191848</v>
      </c>
      <c r="V158">
        <f t="shared" si="122"/>
        <v>-0.26121889161484513</v>
      </c>
      <c r="X158">
        <f t="shared" si="139"/>
        <v>-4.3318830262107939</v>
      </c>
      <c r="Y158">
        <f t="shared" si="123"/>
        <v>-122.08338649729968</v>
      </c>
      <c r="Z158">
        <f t="shared" si="140"/>
        <v>57.916613502700315</v>
      </c>
      <c r="AC158">
        <v>1</v>
      </c>
      <c r="AD158">
        <f t="shared" si="124"/>
        <v>58.188202072182001</v>
      </c>
      <c r="AE158">
        <f t="shared" si="125"/>
        <v>-4.0801769757699367E-3</v>
      </c>
      <c r="AF158">
        <f t="shared" si="126"/>
        <v>1.5262862403347999E-2</v>
      </c>
      <c r="AG158">
        <f t="shared" si="141"/>
        <v>3541.7803769482007</v>
      </c>
      <c r="AH158">
        <f t="shared" si="142"/>
        <v>-1012.332440595712</v>
      </c>
      <c r="AJ158">
        <f t="shared" si="127"/>
        <v>18000</v>
      </c>
      <c r="AK158">
        <f t="shared" si="128"/>
        <v>4400.7530372164802</v>
      </c>
      <c r="AL158">
        <v>1</v>
      </c>
      <c r="AM158">
        <f t="shared" si="129"/>
        <v>8.6589280336053598</v>
      </c>
      <c r="AN158">
        <f t="shared" si="143"/>
        <v>738.45740454329734</v>
      </c>
      <c r="AO158">
        <f t="shared" si="144"/>
        <v>-1993.4964846069322</v>
      </c>
      <c r="AQ158">
        <f t="shared" si="130"/>
        <v>0.65032190934512579</v>
      </c>
      <c r="AR158">
        <f t="shared" si="131"/>
        <v>-80.639916758795607</v>
      </c>
      <c r="AT158">
        <f t="shared" si="156"/>
        <v>-79331.106364648556</v>
      </c>
      <c r="AU158">
        <f t="shared" si="157"/>
        <v>-286267.21674069884</v>
      </c>
      <c r="AV158">
        <f t="shared" si="145"/>
        <v>-1.8411347998465397</v>
      </c>
      <c r="AW158">
        <f t="shared" si="146"/>
        <v>-155816.53561637871</v>
      </c>
      <c r="AX158">
        <f t="shared" si="147"/>
        <v>-66182.969761830507</v>
      </c>
      <c r="AY158">
        <f t="shared" si="155"/>
        <v>-2.7399343414868165</v>
      </c>
      <c r="BA158">
        <f t="shared" si="132"/>
        <v>1.7547213731311921</v>
      </c>
      <c r="BB158">
        <f t="shared" si="148"/>
        <v>4.8841633195329157</v>
      </c>
      <c r="BC158">
        <f t="shared" si="149"/>
        <v>0.89879954164027676</v>
      </c>
      <c r="BD158">
        <f t="shared" si="133"/>
        <v>-128.50257957687487</v>
      </c>
      <c r="BF158">
        <f t="shared" si="134"/>
        <v>-4.2224487678567826</v>
      </c>
      <c r="BG158">
        <f t="shared" si="135"/>
        <v>-124.30835447884807</v>
      </c>
      <c r="BH158">
        <f t="shared" si="150"/>
        <v>55.691645521151926</v>
      </c>
      <c r="BI158">
        <f t="shared" si="151"/>
        <v>55.691645521151926</v>
      </c>
      <c r="BJ158">
        <f t="shared" si="136"/>
        <v>0</v>
      </c>
      <c r="BK158">
        <f t="shared" si="152"/>
        <v>0</v>
      </c>
      <c r="BM158">
        <f t="shared" si="153"/>
        <v>-9.1066120873896974</v>
      </c>
      <c r="BN158">
        <f t="shared" si="137"/>
        <v>-175.80577490197319</v>
      </c>
      <c r="BQ158" s="56">
        <f t="shared" si="154"/>
        <v>21.786124119818055</v>
      </c>
      <c r="BR158" s="59"/>
      <c r="BS158" s="59"/>
      <c r="BT158" s="59">
        <v>3019.9520000000002</v>
      </c>
      <c r="BU158" s="59">
        <v>6.0130600000000003</v>
      </c>
      <c r="BV158" s="59">
        <v>-249.65100000000001</v>
      </c>
      <c r="BW158" s="61"/>
      <c r="BY158" s="59"/>
      <c r="BZ158" s="59"/>
      <c r="CA158" s="59"/>
      <c r="CC158" s="59"/>
    </row>
    <row r="159" spans="1:81" x14ac:dyDescent="0.2">
      <c r="A159">
        <f t="shared" si="106"/>
        <v>62500</v>
      </c>
      <c r="B159">
        <f t="shared" si="138"/>
        <v>62.5</v>
      </c>
      <c r="C159">
        <f t="shared" si="107"/>
        <v>1.0001136913795758</v>
      </c>
      <c r="D159">
        <f t="shared" si="108"/>
        <v>1.5078501860545108E-2</v>
      </c>
      <c r="F159">
        <f t="shared" si="109"/>
        <v>2.2982732375416731E-2</v>
      </c>
      <c r="G159">
        <f t="shared" si="110"/>
        <v>5.7758523815825955E-2</v>
      </c>
      <c r="H159">
        <f t="shared" si="111"/>
        <v>-3.0838341261841742</v>
      </c>
      <c r="J159">
        <f t="shared" si="112"/>
        <v>15</v>
      </c>
      <c r="M159">
        <f t="shared" si="113"/>
        <v>3.6107978736034576E-3</v>
      </c>
      <c r="N159">
        <f t="shared" si="114"/>
        <v>-1.5707963250000001</v>
      </c>
      <c r="O159">
        <f t="shared" si="115"/>
        <v>58.66598521175974</v>
      </c>
      <c r="P159">
        <f t="shared" si="116"/>
        <v>1.5537498486963062</v>
      </c>
      <c r="Q159">
        <f t="shared" si="117"/>
        <v>8.7858532846987973</v>
      </c>
      <c r="R159">
        <f t="shared" si="118"/>
        <v>1.4567297936069397</v>
      </c>
      <c r="S159">
        <f t="shared" si="119"/>
        <v>0.97094631133716158</v>
      </c>
      <c r="T159">
        <f t="shared" si="120"/>
        <v>-0.2416421944640032</v>
      </c>
      <c r="U159">
        <f t="shared" si="121"/>
        <v>0.9655545993240614</v>
      </c>
      <c r="V159">
        <f t="shared" si="122"/>
        <v>-0.26322988067314546</v>
      </c>
      <c r="X159">
        <f t="shared" si="139"/>
        <v>-4.4142432414774655</v>
      </c>
      <c r="Y159">
        <f t="shared" si="123"/>
        <v>-122.26600695298795</v>
      </c>
      <c r="Z159">
        <f t="shared" si="140"/>
        <v>57.733993047012049</v>
      </c>
      <c r="AC159">
        <v>1</v>
      </c>
      <c r="AD159">
        <f t="shared" si="124"/>
        <v>58.657461766312494</v>
      </c>
      <c r="AE159">
        <f t="shared" si="125"/>
        <v>-4.1462516419358266E-3</v>
      </c>
      <c r="AF159">
        <f t="shared" si="126"/>
        <v>1.5385950003375001E-2</v>
      </c>
      <c r="AG159">
        <f t="shared" si="141"/>
        <v>3537.9590226826149</v>
      </c>
      <c r="AH159">
        <f t="shared" si="142"/>
        <v>-1018.4140988019794</v>
      </c>
      <c r="AJ159">
        <f t="shared" si="127"/>
        <v>18000</v>
      </c>
      <c r="AK159">
        <f t="shared" si="128"/>
        <v>4436.2429810650001</v>
      </c>
      <c r="AL159">
        <v>1</v>
      </c>
      <c r="AM159">
        <f t="shared" si="129"/>
        <v>8.7287580983925004</v>
      </c>
      <c r="AN159">
        <f t="shared" si="143"/>
        <v>734.83607800193681</v>
      </c>
      <c r="AO159">
        <f t="shared" si="144"/>
        <v>-1977.9633857853889</v>
      </c>
      <c r="AQ159">
        <f t="shared" si="130"/>
        <v>0.63995904262127223</v>
      </c>
      <c r="AR159">
        <f t="shared" si="131"/>
        <v>-79.994880327659033</v>
      </c>
      <c r="AT159">
        <f t="shared" si="156"/>
        <v>-79203.765088675806</v>
      </c>
      <c r="AU159">
        <f t="shared" si="157"/>
        <v>-283670.35193531855</v>
      </c>
      <c r="AV159">
        <f t="shared" si="145"/>
        <v>-1.8430728562267458</v>
      </c>
      <c r="AW159">
        <f t="shared" si="146"/>
        <v>-153309.0671077017</v>
      </c>
      <c r="AX159">
        <f t="shared" si="147"/>
        <v>-65358.454629402251</v>
      </c>
      <c r="AY159">
        <f t="shared" si="155"/>
        <v>-2.7386059587090221</v>
      </c>
      <c r="BA159">
        <f t="shared" si="132"/>
        <v>1.7671964720041047</v>
      </c>
      <c r="BB159">
        <f t="shared" si="148"/>
        <v>4.9456967169475279</v>
      </c>
      <c r="BC159">
        <f t="shared" si="149"/>
        <v>0.89553310248227636</v>
      </c>
      <c r="BD159">
        <f t="shared" si="133"/>
        <v>-128.68973275487841</v>
      </c>
      <c r="BF159">
        <f t="shared" si="134"/>
        <v>-4.3034574491756477</v>
      </c>
      <c r="BG159">
        <f t="shared" si="135"/>
        <v>-124.51647858656769</v>
      </c>
      <c r="BH159">
        <f t="shared" si="150"/>
        <v>55.483521413432314</v>
      </c>
      <c r="BI159">
        <f t="shared" si="151"/>
        <v>55.483521413432314</v>
      </c>
      <c r="BJ159">
        <f t="shared" si="136"/>
        <v>0</v>
      </c>
      <c r="BK159">
        <f t="shared" si="152"/>
        <v>0</v>
      </c>
      <c r="BM159">
        <f t="shared" si="153"/>
        <v>-9.2491541661231746</v>
      </c>
      <c r="BN159">
        <f t="shared" si="137"/>
        <v>-175.82674583168929</v>
      </c>
      <c r="BQ159" s="56">
        <f t="shared" si="154"/>
        <v>21.847657517232662</v>
      </c>
      <c r="BR159" s="59"/>
      <c r="BS159" s="59"/>
      <c r="BT159" s="59">
        <v>3090.2950000000001</v>
      </c>
      <c r="BU159" s="59">
        <v>5.8544900000000002</v>
      </c>
      <c r="BV159" s="59">
        <v>-248.41800000000001</v>
      </c>
      <c r="BW159" s="61"/>
      <c r="BY159" s="59"/>
      <c r="BZ159" s="59"/>
      <c r="CA159" s="59"/>
      <c r="CC159" s="59"/>
    </row>
    <row r="160" spans="1:81" x14ac:dyDescent="0.2">
      <c r="A160">
        <f t="shared" si="106"/>
        <v>63000</v>
      </c>
      <c r="B160">
        <f t="shared" si="138"/>
        <v>63</v>
      </c>
      <c r="C160">
        <f t="shared" si="107"/>
        <v>1.0001155176124223</v>
      </c>
      <c r="D160">
        <f t="shared" si="108"/>
        <v>1.5199111372228982E-2</v>
      </c>
      <c r="F160">
        <f t="shared" si="109"/>
        <v>2.2611688276407454E-2</v>
      </c>
      <c r="G160">
        <f t="shared" si="110"/>
        <v>5.7280125725681863E-2</v>
      </c>
      <c r="H160">
        <f t="shared" si="111"/>
        <v>-3.0843125242743183</v>
      </c>
      <c r="J160">
        <f t="shared" si="112"/>
        <v>15</v>
      </c>
      <c r="M160">
        <f t="shared" si="113"/>
        <v>3.5821407476224775E-3</v>
      </c>
      <c r="N160">
        <f t="shared" si="114"/>
        <v>-1.5707963250000001</v>
      </c>
      <c r="O160">
        <f t="shared" si="115"/>
        <v>59.135177269209322</v>
      </c>
      <c r="P160">
        <f t="shared" si="116"/>
        <v>1.5538851123091377</v>
      </c>
      <c r="Q160">
        <f t="shared" si="117"/>
        <v>8.8552331231450303</v>
      </c>
      <c r="R160">
        <f t="shared" si="118"/>
        <v>1.4576273434135221</v>
      </c>
      <c r="S160">
        <f t="shared" si="119"/>
        <v>0.97050004359903108</v>
      </c>
      <c r="T160">
        <f t="shared" si="120"/>
        <v>-0.24350010087089555</v>
      </c>
      <c r="U160">
        <f t="shared" si="121"/>
        <v>0.96502995761801014</v>
      </c>
      <c r="V160">
        <f t="shared" si="122"/>
        <v>-0.26523869247437715</v>
      </c>
      <c r="X160">
        <f t="shared" si="139"/>
        <v>-4.4960136590754871</v>
      </c>
      <c r="Y160">
        <f t="shared" si="123"/>
        <v>-122.4488775126356</v>
      </c>
      <c r="Z160">
        <f t="shared" si="140"/>
        <v>57.551122487364395</v>
      </c>
      <c r="AC160">
        <v>1</v>
      </c>
      <c r="AD160">
        <f t="shared" si="124"/>
        <v>59.126721460443001</v>
      </c>
      <c r="AE160">
        <f t="shared" si="125"/>
        <v>-4.2128570283118828E-3</v>
      </c>
      <c r="AF160">
        <f t="shared" si="126"/>
        <v>1.5509037603402E-2</v>
      </c>
      <c r="AG160">
        <f t="shared" si="141"/>
        <v>3534.1153113501259</v>
      </c>
      <c r="AH160">
        <f t="shared" si="142"/>
        <v>-1024.4815271323303</v>
      </c>
      <c r="AJ160">
        <f t="shared" si="127"/>
        <v>18000</v>
      </c>
      <c r="AK160">
        <f t="shared" si="128"/>
        <v>4471.73292491352</v>
      </c>
      <c r="AL160">
        <v>1</v>
      </c>
      <c r="AM160">
        <f t="shared" si="129"/>
        <v>8.798588163179641</v>
      </c>
      <c r="AN160">
        <f t="shared" si="143"/>
        <v>731.29916478708833</v>
      </c>
      <c r="AO160">
        <f t="shared" si="144"/>
        <v>-1962.6672501253129</v>
      </c>
      <c r="AQ160">
        <f t="shared" si="130"/>
        <v>0.62984190968067011</v>
      </c>
      <c r="AR160">
        <f t="shared" si="131"/>
        <v>-79.360080619764446</v>
      </c>
      <c r="AT160">
        <f t="shared" si="156"/>
        <v>-79077.00264994867</v>
      </c>
      <c r="AU160">
        <f t="shared" si="157"/>
        <v>-281112.93742977147</v>
      </c>
      <c r="AV160">
        <f t="shared" si="145"/>
        <v>-1.8450098924475664</v>
      </c>
      <c r="AW160">
        <f t="shared" si="146"/>
        <v>-150860.07700654693</v>
      </c>
      <c r="AX160">
        <f t="shared" si="147"/>
        <v>-64554.253701856054</v>
      </c>
      <c r="AY160">
        <f t="shared" si="155"/>
        <v>-2.7372613733410871</v>
      </c>
      <c r="BA160">
        <f t="shared" si="132"/>
        <v>1.7796376676071166</v>
      </c>
      <c r="BB160">
        <f t="shared" si="148"/>
        <v>5.0066317880113873</v>
      </c>
      <c r="BC160">
        <f t="shared" si="149"/>
        <v>0.89225148089352069</v>
      </c>
      <c r="BD160">
        <f t="shared" si="133"/>
        <v>-128.87775582208798</v>
      </c>
      <c r="BF160">
        <f t="shared" si="134"/>
        <v>-4.3838799222402702</v>
      </c>
      <c r="BG160">
        <f t="shared" si="135"/>
        <v>-124.72500142930444</v>
      </c>
      <c r="BH160">
        <f t="shared" si="150"/>
        <v>55.274998570695558</v>
      </c>
      <c r="BI160">
        <f t="shared" si="151"/>
        <v>55.274998570695558</v>
      </c>
      <c r="BJ160">
        <f t="shared" si="136"/>
        <v>0</v>
      </c>
      <c r="BK160">
        <f t="shared" si="152"/>
        <v>0</v>
      </c>
      <c r="BM160">
        <f t="shared" si="153"/>
        <v>-9.3905117102516567</v>
      </c>
      <c r="BN160">
        <f t="shared" si="137"/>
        <v>-175.84724560721645</v>
      </c>
      <c r="BQ160" s="56">
        <f t="shared" si="154"/>
        <v>21.908592588296525</v>
      </c>
      <c r="BR160" s="59"/>
      <c r="BS160" s="59"/>
      <c r="BT160" s="59">
        <v>3162.2779999999998</v>
      </c>
      <c r="BU160" s="59">
        <v>5.6099300000000003</v>
      </c>
      <c r="BV160" s="59">
        <v>-248.626</v>
      </c>
      <c r="BW160" s="61"/>
      <c r="BY160" s="59"/>
      <c r="BZ160" s="59"/>
      <c r="CA160" s="59"/>
      <c r="CC160" s="59"/>
    </row>
    <row r="161" spans="1:81" x14ac:dyDescent="0.2">
      <c r="A161">
        <f t="shared" si="106"/>
        <v>63500</v>
      </c>
      <c r="B161">
        <f t="shared" si="138"/>
        <v>63.5</v>
      </c>
      <c r="C161">
        <f t="shared" si="107"/>
        <v>1.0001173583935501</v>
      </c>
      <c r="D161">
        <f t="shared" si="108"/>
        <v>1.5319720441687985E-2</v>
      </c>
      <c r="F161">
        <f t="shared" si="109"/>
        <v>2.2249617300955281E-2</v>
      </c>
      <c r="G161">
        <f t="shared" si="110"/>
        <v>5.680974093397799E-2</v>
      </c>
      <c r="H161">
        <f t="shared" si="111"/>
        <v>-3.0847829090660221</v>
      </c>
      <c r="J161">
        <f t="shared" si="112"/>
        <v>15</v>
      </c>
      <c r="M161">
        <f t="shared" si="113"/>
        <v>3.5539349149640328E-3</v>
      </c>
      <c r="N161">
        <f t="shared" si="114"/>
        <v>-1.5707963250000001</v>
      </c>
      <c r="O161">
        <f t="shared" si="115"/>
        <v>59.604370391576822</v>
      </c>
      <c r="P161">
        <f t="shared" si="116"/>
        <v>1.5540182463907024</v>
      </c>
      <c r="Q161">
        <f t="shared" si="117"/>
        <v>8.9246199844101746</v>
      </c>
      <c r="R161">
        <f t="shared" si="118"/>
        <v>1.4585109374374077</v>
      </c>
      <c r="S161">
        <f t="shared" si="119"/>
        <v>0.97005084208387826</v>
      </c>
      <c r="T161">
        <f t="shared" si="120"/>
        <v>-0.24535629379481252</v>
      </c>
      <c r="U161">
        <f t="shared" si="121"/>
        <v>0.96450200000763275</v>
      </c>
      <c r="V161">
        <f t="shared" si="122"/>
        <v>-0.26724531436654531</v>
      </c>
      <c r="X161">
        <f t="shared" si="139"/>
        <v>-4.5772058660339212</v>
      </c>
      <c r="Y161">
        <f t="shared" si="123"/>
        <v>-122.63198694215328</v>
      </c>
      <c r="Z161">
        <f t="shared" si="140"/>
        <v>57.368013057846724</v>
      </c>
      <c r="AC161">
        <v>1</v>
      </c>
      <c r="AD161">
        <f t="shared" si="124"/>
        <v>59.595981154573501</v>
      </c>
      <c r="AE161">
        <f t="shared" si="125"/>
        <v>-4.2799931348981067E-3</v>
      </c>
      <c r="AF161">
        <f t="shared" si="126"/>
        <v>1.5632125203429E-2</v>
      </c>
      <c r="AG161">
        <f t="shared" si="141"/>
        <v>3530.2494154513583</v>
      </c>
      <c r="AH161">
        <f t="shared" si="142"/>
        <v>-1030.5344316891835</v>
      </c>
      <c r="AJ161">
        <f t="shared" si="127"/>
        <v>18000</v>
      </c>
      <c r="AK161">
        <f t="shared" si="128"/>
        <v>4507.22286876204</v>
      </c>
      <c r="AL161">
        <v>1</v>
      </c>
      <c r="AM161">
        <f t="shared" si="129"/>
        <v>8.8684182279667816</v>
      </c>
      <c r="AN161">
        <f t="shared" si="143"/>
        <v>727.84407266425751</v>
      </c>
      <c r="AO161">
        <f t="shared" si="144"/>
        <v>-1947.6027723712398</v>
      </c>
      <c r="AQ161">
        <f t="shared" si="130"/>
        <v>0.61996280223186606</v>
      </c>
      <c r="AR161">
        <f t="shared" si="131"/>
        <v>-78.735275883446988</v>
      </c>
      <c r="AT161">
        <f t="shared" si="156"/>
        <v>-78950.789466258488</v>
      </c>
      <c r="AU161">
        <f t="shared" si="157"/>
        <v>-278594.05467700661</v>
      </c>
      <c r="AV161">
        <f t="shared" si="145"/>
        <v>-1.8469458685415354</v>
      </c>
      <c r="AW161">
        <f t="shared" si="146"/>
        <v>-148467.77314653117</v>
      </c>
      <c r="AX161">
        <f t="shared" si="147"/>
        <v>-63769.668815851241</v>
      </c>
      <c r="AY161">
        <f t="shared" si="155"/>
        <v>-2.7359009523646614</v>
      </c>
      <c r="BA161">
        <f t="shared" si="132"/>
        <v>1.7920446566880799</v>
      </c>
      <c r="BB161">
        <f t="shared" si="148"/>
        <v>5.0669765564279956</v>
      </c>
      <c r="BC161">
        <f t="shared" si="149"/>
        <v>0.88895508382312594</v>
      </c>
      <c r="BD161">
        <f t="shared" si="133"/>
        <v>-129.06662546203668</v>
      </c>
      <c r="BF161">
        <f t="shared" si="134"/>
        <v>-4.4637280520892419</v>
      </c>
      <c r="BG161">
        <f t="shared" si="135"/>
        <v>-124.93391174193683</v>
      </c>
      <c r="BH161">
        <f t="shared" si="150"/>
        <v>55.066088258063175</v>
      </c>
      <c r="BI161">
        <f t="shared" si="151"/>
        <v>55.066088258063175</v>
      </c>
      <c r="BJ161">
        <f t="shared" si="136"/>
        <v>0</v>
      </c>
      <c r="BK161">
        <f t="shared" si="152"/>
        <v>0</v>
      </c>
      <c r="BM161">
        <f t="shared" si="153"/>
        <v>-9.5307046085172367</v>
      </c>
      <c r="BN161">
        <f t="shared" si="137"/>
        <v>-175.86728627990013</v>
      </c>
      <c r="BQ161" s="56">
        <f t="shared" si="154"/>
        <v>21.968937356713134</v>
      </c>
      <c r="BR161" s="59"/>
      <c r="BS161" s="59"/>
      <c r="BT161" s="59">
        <v>3235.9369999999999</v>
      </c>
      <c r="BU161" s="59">
        <v>5.4320899999999996</v>
      </c>
      <c r="BV161" s="59">
        <v>-248.57499999999999</v>
      </c>
      <c r="BW161" s="61"/>
      <c r="BY161" s="59"/>
      <c r="BZ161" s="59"/>
      <c r="CA161" s="59"/>
      <c r="CC161" s="59"/>
    </row>
    <row r="162" spans="1:81" x14ac:dyDescent="0.2">
      <c r="A162">
        <f t="shared" si="106"/>
        <v>64000</v>
      </c>
      <c r="B162">
        <f t="shared" si="138"/>
        <v>64</v>
      </c>
      <c r="C162">
        <f t="shared" si="107"/>
        <v>1.0001192137228792</v>
      </c>
      <c r="D162">
        <f t="shared" si="108"/>
        <v>1.5440329065415681E-2</v>
      </c>
      <c r="F162">
        <f t="shared" si="109"/>
        <v>2.189623058701793E-2</v>
      </c>
      <c r="G162">
        <f t="shared" si="110"/>
        <v>5.634716632672495E-2</v>
      </c>
      <c r="H162">
        <f t="shared" si="111"/>
        <v>-3.0852454836732752</v>
      </c>
      <c r="J162">
        <f t="shared" si="112"/>
        <v>15</v>
      </c>
      <c r="M162">
        <f t="shared" si="113"/>
        <v>3.5261697984408768E-3</v>
      </c>
      <c r="N162">
        <f t="shared" si="114"/>
        <v>-1.5707963250000001</v>
      </c>
      <c r="O162">
        <f t="shared" si="115"/>
        <v>60.073564553910231</v>
      </c>
      <c r="P162">
        <f t="shared" si="116"/>
        <v>1.5541493008332286</v>
      </c>
      <c r="Q162">
        <f t="shared" si="117"/>
        <v>8.9940137059556662</v>
      </c>
      <c r="R162">
        <f t="shared" si="118"/>
        <v>1.4593808973120923</v>
      </c>
      <c r="S162">
        <f t="shared" si="119"/>
        <v>0.96959872014324411</v>
      </c>
      <c r="T162">
        <f t="shared" si="120"/>
        <v>-0.2472107628320068</v>
      </c>
      <c r="U162">
        <f t="shared" si="121"/>
        <v>0.96397074467666433</v>
      </c>
      <c r="V162">
        <f t="shared" si="122"/>
        <v>-0.26924973379576633</v>
      </c>
      <c r="X162">
        <f t="shared" si="139"/>
        <v>-4.6578311241254209</v>
      </c>
      <c r="Y162">
        <f t="shared" si="123"/>
        <v>-122.81532427708478</v>
      </c>
      <c r="Z162">
        <f t="shared" si="140"/>
        <v>57.184675722915216</v>
      </c>
      <c r="AC162">
        <v>1</v>
      </c>
      <c r="AD162">
        <f t="shared" si="124"/>
        <v>60.065240848703993</v>
      </c>
      <c r="AE162">
        <f t="shared" si="125"/>
        <v>-4.3476599616945003E-3</v>
      </c>
      <c r="AF162">
        <f t="shared" si="126"/>
        <v>1.5755212803455997E-2</v>
      </c>
      <c r="AG162">
        <f t="shared" si="141"/>
        <v>3526.3615078857174</v>
      </c>
      <c r="AH162">
        <f t="shared" si="142"/>
        <v>-1036.5725263141471</v>
      </c>
      <c r="AJ162">
        <f t="shared" si="127"/>
        <v>18000</v>
      </c>
      <c r="AK162">
        <f t="shared" si="128"/>
        <v>4542.7128126105599</v>
      </c>
      <c r="AL162">
        <v>1</v>
      </c>
      <c r="AM162">
        <f t="shared" si="129"/>
        <v>8.9382482927539204</v>
      </c>
      <c r="AN162">
        <f t="shared" si="143"/>
        <v>724.46830772385124</v>
      </c>
      <c r="AO162">
        <f t="shared" si="144"/>
        <v>-1932.7648020564745</v>
      </c>
      <c r="AQ162">
        <f t="shared" si="130"/>
        <v>0.61031431187061336</v>
      </c>
      <c r="AR162">
        <f t="shared" si="131"/>
        <v>-78.12023191943851</v>
      </c>
      <c r="AT162">
        <f t="shared" si="156"/>
        <v>-78825.097259887159</v>
      </c>
      <c r="AU162">
        <f t="shared" si="157"/>
        <v>-276112.81387591455</v>
      </c>
      <c r="AV162">
        <f t="shared" si="145"/>
        <v>-1.8488807454922298</v>
      </c>
      <c r="AW162">
        <f t="shared" si="146"/>
        <v>-146130.43118731046</v>
      </c>
      <c r="AX162">
        <f t="shared" si="147"/>
        <v>-63004.031815291048</v>
      </c>
      <c r="AY162">
        <f t="shared" si="155"/>
        <v>-2.734525052187136</v>
      </c>
      <c r="BA162">
        <f t="shared" si="132"/>
        <v>1.8044171381227223</v>
      </c>
      <c r="BB162">
        <f t="shared" si="148"/>
        <v>5.1267388663718272</v>
      </c>
      <c r="BC162">
        <f t="shared" si="149"/>
        <v>0.88564430669490624</v>
      </c>
      <c r="BD162">
        <f t="shared" si="133"/>
        <v>-129.25631901860888</v>
      </c>
      <c r="BF162">
        <f t="shared" si="134"/>
        <v>-4.543013378231465</v>
      </c>
      <c r="BG162">
        <f t="shared" si="135"/>
        <v>-125.14319850612446</v>
      </c>
      <c r="BH162">
        <f t="shared" si="150"/>
        <v>54.856801493875537</v>
      </c>
      <c r="BI162">
        <f t="shared" si="151"/>
        <v>54.856801493875537</v>
      </c>
      <c r="BJ162">
        <f t="shared" si="136"/>
        <v>0</v>
      </c>
      <c r="BK162">
        <f t="shared" si="152"/>
        <v>0</v>
      </c>
      <c r="BM162">
        <f t="shared" si="153"/>
        <v>-9.6697522446032931</v>
      </c>
      <c r="BN162">
        <f t="shared" si="137"/>
        <v>-175.88687948751559</v>
      </c>
      <c r="BQ162" s="56">
        <f t="shared" si="154"/>
        <v>22.028699666656962</v>
      </c>
      <c r="BR162" s="59"/>
      <c r="BS162" s="59"/>
      <c r="BT162" s="59">
        <v>3311.3110000000001</v>
      </c>
      <c r="BU162" s="59">
        <v>5.2356100000000003</v>
      </c>
      <c r="BV162" s="59">
        <v>-247.75799999999998</v>
      </c>
      <c r="BW162" s="61"/>
      <c r="BY162" s="59"/>
      <c r="BZ162" s="59"/>
      <c r="CA162" s="59"/>
      <c r="CC162" s="59"/>
    </row>
    <row r="163" spans="1:81" x14ac:dyDescent="0.2">
      <c r="A163">
        <f t="shared" si="106"/>
        <v>64500</v>
      </c>
      <c r="B163">
        <f t="shared" si="138"/>
        <v>64.5</v>
      </c>
      <c r="C163">
        <f t="shared" si="107"/>
        <v>1.0001210836003285</v>
      </c>
      <c r="D163">
        <f t="shared" si="108"/>
        <v>1.5560937239905707E-2</v>
      </c>
      <c r="F163">
        <f t="shared" si="109"/>
        <v>2.1551250873886412E-2</v>
      </c>
      <c r="G163">
        <f t="shared" si="110"/>
        <v>5.5892205697303569E-2</v>
      </c>
      <c r="H163">
        <f t="shared" si="111"/>
        <v>-3.0857004443026965</v>
      </c>
      <c r="J163">
        <f t="shared" si="112"/>
        <v>15</v>
      </c>
      <c r="M163">
        <f t="shared" si="113"/>
        <v>3.4988351488405597E-3</v>
      </c>
      <c r="N163">
        <f t="shared" si="114"/>
        <v>-1.5707963250000001</v>
      </c>
      <c r="O163">
        <f t="shared" si="115"/>
        <v>60.542759732030966</v>
      </c>
      <c r="P163">
        <f t="shared" si="116"/>
        <v>1.5542783239826139</v>
      </c>
      <c r="Q163">
        <f t="shared" si="117"/>
        <v>9.0634141302050004</v>
      </c>
      <c r="R163">
        <f t="shared" si="118"/>
        <v>1.4602375349038366</v>
      </c>
      <c r="S163">
        <f t="shared" si="119"/>
        <v>0.96914369118131227</v>
      </c>
      <c r="T163">
        <f t="shared" si="120"/>
        <v>-0.24906349764547414</v>
      </c>
      <c r="U163">
        <f t="shared" si="121"/>
        <v>0.96343620986715728</v>
      </c>
      <c r="V163">
        <f t="shared" si="122"/>
        <v>-0.27125193830648914</v>
      </c>
      <c r="X163">
        <f t="shared" si="139"/>
        <v>-4.7379003818311833</v>
      </c>
      <c r="Y163">
        <f t="shared" si="123"/>
        <v>-122.99887881488857</v>
      </c>
      <c r="Z163">
        <f t="shared" si="140"/>
        <v>57.00112118511143</v>
      </c>
      <c r="AC163">
        <v>1</v>
      </c>
      <c r="AD163">
        <f t="shared" si="124"/>
        <v>60.5345005428345</v>
      </c>
      <c r="AE163">
        <f t="shared" si="125"/>
        <v>-4.4158575087010609E-3</v>
      </c>
      <c r="AF163">
        <f t="shared" si="126"/>
        <v>1.5878300403483002E-2</v>
      </c>
      <c r="AG163">
        <f t="shared" si="141"/>
        <v>3522.4517619342951</v>
      </c>
      <c r="AH163">
        <f t="shared" si="142"/>
        <v>-1042.5955323495123</v>
      </c>
      <c r="AJ163">
        <f t="shared" si="127"/>
        <v>18000</v>
      </c>
      <c r="AK163">
        <f t="shared" si="128"/>
        <v>4578.2027564590799</v>
      </c>
      <c r="AL163">
        <v>1</v>
      </c>
      <c r="AM163">
        <f t="shared" si="129"/>
        <v>9.008078357541061</v>
      </c>
      <c r="AN163">
        <f t="shared" si="143"/>
        <v>721.16946995861463</v>
      </c>
      <c r="AO163">
        <f t="shared" si="144"/>
        <v>-1918.148337994475</v>
      </c>
      <c r="AQ163">
        <f t="shared" si="130"/>
        <v>0.60088931618795816</v>
      </c>
      <c r="AR163">
        <f t="shared" si="131"/>
        <v>-77.514721788246604</v>
      </c>
      <c r="AT163">
        <f t="shared" si="156"/>
        <v>-78699.898997207551</v>
      </c>
      <c r="AU163">
        <f t="shared" si="157"/>
        <v>-273668.35285535001</v>
      </c>
      <c r="AV163">
        <f t="shared" si="145"/>
        <v>-1.8508144852014616</v>
      </c>
      <c r="AW163">
        <f t="shared" si="146"/>
        <v>-143846.39157161565</v>
      </c>
      <c r="AX163">
        <f t="shared" si="147"/>
        <v>-62256.703022801616</v>
      </c>
      <c r="AY163">
        <f t="shared" si="155"/>
        <v>-2.733134019053467</v>
      </c>
      <c r="BA163">
        <f t="shared" si="132"/>
        <v>1.8167548128986883</v>
      </c>
      <c r="BB163">
        <f t="shared" si="148"/>
        <v>5.1859263877649999</v>
      </c>
      <c r="BC163">
        <f t="shared" si="149"/>
        <v>0.88231953385200534</v>
      </c>
      <c r="BD163">
        <f t="shared" si="133"/>
        <v>-129.4468144705645</v>
      </c>
      <c r="BF163">
        <f t="shared" si="134"/>
        <v>-4.6217471265653645</v>
      </c>
      <c r="BG163">
        <f t="shared" si="135"/>
        <v>-125.35285094263932</v>
      </c>
      <c r="BH163">
        <f t="shared" si="150"/>
        <v>54.647149057360679</v>
      </c>
      <c r="BI163">
        <f t="shared" si="151"/>
        <v>54.647149057360679</v>
      </c>
      <c r="BJ163">
        <f t="shared" si="136"/>
        <v>0</v>
      </c>
      <c r="BK163">
        <f t="shared" si="152"/>
        <v>0</v>
      </c>
      <c r="BM163">
        <f t="shared" si="153"/>
        <v>-9.8076735143303662</v>
      </c>
      <c r="BN163">
        <f t="shared" si="137"/>
        <v>-175.90603647207485</v>
      </c>
      <c r="BQ163" s="56">
        <f t="shared" si="154"/>
        <v>22.087887188050136</v>
      </c>
      <c r="BR163" s="59"/>
      <c r="BS163" s="59"/>
      <c r="BT163" s="59">
        <v>3388.442</v>
      </c>
      <c r="BU163" s="59">
        <v>5.0528199999999996</v>
      </c>
      <c r="BV163" s="59">
        <v>-247.756</v>
      </c>
      <c r="BW163" s="61"/>
      <c r="BY163" s="59"/>
      <c r="BZ163" s="59"/>
      <c r="CA163" s="59"/>
      <c r="CC163" s="59"/>
    </row>
    <row r="164" spans="1:81" x14ac:dyDescent="0.2">
      <c r="A164">
        <f t="shared" si="106"/>
        <v>65000</v>
      </c>
      <c r="B164">
        <f t="shared" si="138"/>
        <v>65</v>
      </c>
      <c r="C164">
        <f t="shared" si="107"/>
        <v>1.0001229680258161</v>
      </c>
      <c r="D164">
        <f t="shared" si="108"/>
        <v>1.5681544961651781E-2</v>
      </c>
      <c r="F164">
        <f t="shared" si="109"/>
        <v>2.1214411944324035E-2</v>
      </c>
      <c r="G164">
        <f t="shared" si="110"/>
        <v>5.5444669451753706E-2</v>
      </c>
      <c r="H164">
        <f t="shared" si="111"/>
        <v>-3.0861479805482466</v>
      </c>
      <c r="J164">
        <f t="shared" si="112"/>
        <v>15</v>
      </c>
      <c r="M164">
        <f t="shared" si="113"/>
        <v>3.4719210323110165E-3</v>
      </c>
      <c r="N164">
        <f t="shared" si="114"/>
        <v>-1.5707963250000001</v>
      </c>
      <c r="O164">
        <f t="shared" si="115"/>
        <v>61.011955902504155</v>
      </c>
      <c r="P164">
        <f t="shared" si="116"/>
        <v>1.5544053626978662</v>
      </c>
      <c r="Q164">
        <f t="shared" si="117"/>
        <v>9.1328211043563812</v>
      </c>
      <c r="R164">
        <f t="shared" si="118"/>
        <v>1.4610811526780951</v>
      </c>
      <c r="S164">
        <f t="shared" si="119"/>
        <v>0.96868576865390588</v>
      </c>
      <c r="T164">
        <f t="shared" si="120"/>
        <v>-0.25091448796515781</v>
      </c>
      <c r="U164">
        <f t="shared" si="121"/>
        <v>0.96289841387793462</v>
      </c>
      <c r="V164">
        <f t="shared" si="122"/>
        <v>-0.27325191554170775</v>
      </c>
      <c r="X164">
        <f t="shared" si="139"/>
        <v>-4.8174242857574949</v>
      </c>
      <c r="Y164">
        <f t="shared" si="123"/>
        <v>-123.1826401074467</v>
      </c>
      <c r="Z164">
        <f t="shared" si="140"/>
        <v>56.817359892553299</v>
      </c>
      <c r="AC164">
        <v>1</v>
      </c>
      <c r="AD164">
        <f t="shared" si="124"/>
        <v>61.003760236965</v>
      </c>
      <c r="AE164">
        <f t="shared" si="125"/>
        <v>-4.4845857759177894E-3</v>
      </c>
      <c r="AF164">
        <f t="shared" si="126"/>
        <v>1.600138800351E-2</v>
      </c>
      <c r="AG164">
        <f t="shared" si="141"/>
        <v>3518.5203512428357</v>
      </c>
      <c r="AH164">
        <f t="shared" si="142"/>
        <v>-1048.6031784105407</v>
      </c>
      <c r="AJ164">
        <f t="shared" si="127"/>
        <v>18000</v>
      </c>
      <c r="AK164">
        <f t="shared" si="128"/>
        <v>4613.6927003075998</v>
      </c>
      <c r="AL164">
        <v>1</v>
      </c>
      <c r="AM164">
        <f t="shared" si="129"/>
        <v>9.0779084223282016</v>
      </c>
      <c r="AN164">
        <f t="shared" si="143"/>
        <v>717.94524907041409</v>
      </c>
      <c r="AO164">
        <f t="shared" si="144"/>
        <v>-1903.7485229992303</v>
      </c>
      <c r="AQ164">
        <f t="shared" si="130"/>
        <v>0.59168096562333594</v>
      </c>
      <c r="AR164">
        <f t="shared" si="131"/>
        <v>-76.918525531033666</v>
      </c>
      <c r="AT164">
        <f t="shared" si="156"/>
        <v>-78575.168831505507</v>
      </c>
      <c r="AU164">
        <f t="shared" si="157"/>
        <v>-271259.83600969124</v>
      </c>
      <c r="AV164">
        <f t="shared" si="145"/>
        <v>-1.8527470504579857</v>
      </c>
      <c r="AW164">
        <f t="shared" si="146"/>
        <v>-141614.05663961443</v>
      </c>
      <c r="AX164">
        <f t="shared" si="147"/>
        <v>-61527.069800563193</v>
      </c>
      <c r="AY164">
        <f t="shared" si="155"/>
        <v>-2.7317281894393806</v>
      </c>
      <c r="BA164">
        <f t="shared" si="132"/>
        <v>1.8290573841016653</v>
      </c>
      <c r="BB164">
        <f t="shared" si="148"/>
        <v>5.2445466213682295</v>
      </c>
      <c r="BC164">
        <f t="shared" si="149"/>
        <v>0.87898113898139485</v>
      </c>
      <c r="BD164">
        <f t="shared" si="133"/>
        <v>-129.63809040721716</v>
      </c>
      <c r="BF164">
        <f t="shared" si="134"/>
        <v>-4.6999402207498306</v>
      </c>
      <c r="BG164">
        <f t="shared" si="135"/>
        <v>-125.56285850392983</v>
      </c>
      <c r="BH164">
        <f t="shared" si="150"/>
        <v>54.437141496070169</v>
      </c>
      <c r="BI164">
        <f t="shared" si="151"/>
        <v>54.437141496070169</v>
      </c>
      <c r="BJ164">
        <f t="shared" si="136"/>
        <v>0</v>
      </c>
      <c r="BK164">
        <f t="shared" si="152"/>
        <v>0</v>
      </c>
      <c r="BM164">
        <f t="shared" si="153"/>
        <v>-9.9444868421180601</v>
      </c>
      <c r="BN164">
        <f t="shared" si="137"/>
        <v>-175.92476809671268</v>
      </c>
      <c r="BQ164" s="56">
        <f t="shared" si="154"/>
        <v>22.146507421653364</v>
      </c>
      <c r="BR164" s="59"/>
      <c r="BS164" s="59"/>
      <c r="BT164" s="59">
        <v>3467.3690000000001</v>
      </c>
      <c r="BU164" s="59">
        <v>4.9028999999999998</v>
      </c>
      <c r="BV164" s="59">
        <v>-247.51300000000001</v>
      </c>
      <c r="BW164" s="61"/>
      <c r="BY164" s="59"/>
      <c r="BZ164" s="59"/>
      <c r="CA164" s="59"/>
      <c r="CC164" s="59"/>
    </row>
    <row r="165" spans="1:81" x14ac:dyDescent="0.2">
      <c r="A165">
        <f t="shared" si="106"/>
        <v>65500</v>
      </c>
      <c r="B165">
        <f t="shared" si="138"/>
        <v>65.5</v>
      </c>
      <c r="C165">
        <f t="shared" si="107"/>
        <v>1.0001248669992602</v>
      </c>
      <c r="D165">
        <f t="shared" si="108"/>
        <v>1.5802152227147696E-2</v>
      </c>
      <c r="F165">
        <f t="shared" si="109"/>
        <v>2.0885458097920331E-2</v>
      </c>
      <c r="G165">
        <f t="shared" si="110"/>
        <v>5.500437432917233E-2</v>
      </c>
      <c r="H165">
        <f t="shared" si="111"/>
        <v>-3.0865882756708278</v>
      </c>
      <c r="J165">
        <f t="shared" si="112"/>
        <v>15</v>
      </c>
      <c r="M165">
        <f t="shared" si="113"/>
        <v>3.44541781832391E-3</v>
      </c>
      <c r="N165">
        <f t="shared" si="114"/>
        <v>-1.5707963250000001</v>
      </c>
      <c r="O165">
        <f t="shared" si="115"/>
        <v>61.481153042610259</v>
      </c>
      <c r="P165">
        <f t="shared" si="116"/>
        <v>1.5545304624078251</v>
      </c>
      <c r="Q165">
        <f t="shared" si="117"/>
        <v>9.2022344802037761</v>
      </c>
      <c r="R165">
        <f t="shared" si="118"/>
        <v>1.4619120440496418</v>
      </c>
      <c r="S165">
        <f t="shared" si="119"/>
        <v>0.96822496606748609</v>
      </c>
      <c r="T165">
        <f t="shared" si="120"/>
        <v>-0.25276372358814692</v>
      </c>
      <c r="U165">
        <f t="shared" si="121"/>
        <v>0.96235737506304697</v>
      </c>
      <c r="V165">
        <f t="shared" si="122"/>
        <v>-0.27524965324316308</v>
      </c>
      <c r="X165">
        <f t="shared" si="139"/>
        <v>-4.8964131915336475</v>
      </c>
      <c r="Y165">
        <f t="shared" si="123"/>
        <v>-123.36659795379714</v>
      </c>
      <c r="Z165">
        <f t="shared" si="140"/>
        <v>56.63340204620286</v>
      </c>
      <c r="AC165">
        <v>1</v>
      </c>
      <c r="AD165">
        <f t="shared" si="124"/>
        <v>61.473019931095507</v>
      </c>
      <c r="AE165">
        <f t="shared" si="125"/>
        <v>-4.5538447633446848E-3</v>
      </c>
      <c r="AF165">
        <f t="shared" si="126"/>
        <v>1.6124475603537001E-2</v>
      </c>
      <c r="AG165">
        <f t="shared" si="141"/>
        <v>3514.5674498047724</v>
      </c>
      <c r="AH165">
        <f t="shared" si="142"/>
        <v>-1054.5952001679386</v>
      </c>
      <c r="AJ165">
        <f t="shared" si="127"/>
        <v>18000</v>
      </c>
      <c r="AK165">
        <f t="shared" si="128"/>
        <v>4649.1826441561197</v>
      </c>
      <c r="AL165">
        <v>1</v>
      </c>
      <c r="AM165">
        <f t="shared" si="129"/>
        <v>9.1477384871153404</v>
      </c>
      <c r="AN165">
        <f t="shared" si="143"/>
        <v>714.79342049292597</v>
      </c>
      <c r="AO165">
        <f t="shared" si="144"/>
        <v>-1889.5606388238382</v>
      </c>
      <c r="AQ165">
        <f t="shared" si="130"/>
        <v>0.58268267101736393</v>
      </c>
      <c r="AR165">
        <f t="shared" si="131"/>
        <v>-76.331429903274682</v>
      </c>
      <c r="AT165">
        <f t="shared" si="156"/>
        <v>-78450.88204882601</v>
      </c>
      <c r="AU165">
        <f t="shared" si="157"/>
        <v>-268886.45328317978</v>
      </c>
      <c r="AV165">
        <f t="shared" si="145"/>
        <v>-1.8546784049076379</v>
      </c>
      <c r="AW165">
        <f t="shared" si="146"/>
        <v>-139431.88789141638</v>
      </c>
      <c r="AX165">
        <f t="shared" si="147"/>
        <v>-60814.545194625454</v>
      </c>
      <c r="AY165">
        <f t="shared" si="155"/>
        <v>-2.7303078904269316</v>
      </c>
      <c r="BA165">
        <f t="shared" si="132"/>
        <v>1.8413245569034948</v>
      </c>
      <c r="BB165">
        <f t="shared" si="148"/>
        <v>5.3026069036937304</v>
      </c>
      <c r="BC165">
        <f t="shared" si="149"/>
        <v>0.87562948551929365</v>
      </c>
      <c r="BD165">
        <f t="shared" si="133"/>
        <v>-129.83012600520539</v>
      </c>
      <c r="BF165">
        <f t="shared" si="134"/>
        <v>-4.7776032930567549</v>
      </c>
      <c r="BG165">
        <f t="shared" si="135"/>
        <v>-125.77321086691157</v>
      </c>
      <c r="BH165">
        <f t="shared" si="150"/>
        <v>54.226789133088431</v>
      </c>
      <c r="BI165">
        <f t="shared" si="151"/>
        <v>54.226789133088431</v>
      </c>
      <c r="BJ165">
        <f t="shared" si="136"/>
        <v>0</v>
      </c>
      <c r="BK165">
        <f t="shared" si="152"/>
        <v>0</v>
      </c>
      <c r="BM165">
        <f t="shared" si="153"/>
        <v>-10.080210196750484</v>
      </c>
      <c r="BN165">
        <f t="shared" si="137"/>
        <v>-175.94308486170618</v>
      </c>
      <c r="BQ165" s="56">
        <f t="shared" si="154"/>
        <v>22.204567703978867</v>
      </c>
      <c r="BR165" s="59"/>
      <c r="BS165" s="59"/>
      <c r="BT165" s="59">
        <v>3548.134</v>
      </c>
      <c r="BU165" s="59">
        <v>4.6522600000000001</v>
      </c>
      <c r="BV165" s="59">
        <v>-246.726</v>
      </c>
      <c r="BW165" s="61"/>
      <c r="BY165" s="59"/>
      <c r="BZ165" s="59"/>
      <c r="CA165" s="59"/>
      <c r="CC165" s="59"/>
    </row>
    <row r="166" spans="1:81" x14ac:dyDescent="0.2">
      <c r="A166">
        <f t="shared" ref="A166:A200" si="158">A165+500</f>
        <v>66000</v>
      </c>
      <c r="B166">
        <f t="shared" si="138"/>
        <v>66</v>
      </c>
      <c r="C166">
        <f t="shared" si="107"/>
        <v>1.0001267805205778</v>
      </c>
      <c r="D166">
        <f t="shared" si="108"/>
        <v>1.592275903288733E-2</v>
      </c>
      <c r="F166">
        <f t="shared" si="109"/>
        <v>2.0564143653669591E-2</v>
      </c>
      <c r="G166">
        <f t="shared" si="110"/>
        <v>5.4571143136317717E-2</v>
      </c>
      <c r="H166">
        <f t="shared" si="111"/>
        <v>-3.0870215068636826</v>
      </c>
      <c r="J166">
        <f t="shared" si="112"/>
        <v>15</v>
      </c>
      <c r="M166">
        <f t="shared" si="113"/>
        <v>3.4193161681850921E-3</v>
      </c>
      <c r="N166">
        <f t="shared" si="114"/>
        <v>-1.5707963250000001</v>
      </c>
      <c r="O166">
        <f t="shared" si="115"/>
        <v>61.950351130317962</v>
      </c>
      <c r="P166">
        <f t="shared" si="116"/>
        <v>1.5546536671653053</v>
      </c>
      <c r="Q166">
        <f t="shared" si="117"/>
        <v>9.2716541139659423</v>
      </c>
      <c r="R166">
        <f t="shared" si="118"/>
        <v>1.4627304937172267</v>
      </c>
      <c r="S166">
        <f t="shared" si="119"/>
        <v>0.96776129697814828</v>
      </c>
      <c r="T166">
        <f t="shared" si="120"/>
        <v>-0.25461119437886887</v>
      </c>
      <c r="U166">
        <f t="shared" si="121"/>
        <v>0.96181311183023255</v>
      </c>
      <c r="V166">
        <f t="shared" si="122"/>
        <v>-0.27724513925153599</v>
      </c>
      <c r="X166">
        <f t="shared" si="139"/>
        <v>-4.9748771742195439</v>
      </c>
      <c r="Y166">
        <f t="shared" si="123"/>
        <v>-123.55074239308533</v>
      </c>
      <c r="Z166">
        <f t="shared" si="140"/>
        <v>56.449257606914671</v>
      </c>
      <c r="AC166">
        <v>1</v>
      </c>
      <c r="AD166">
        <f t="shared" si="124"/>
        <v>61.942279625226</v>
      </c>
      <c r="AE166">
        <f t="shared" si="125"/>
        <v>-4.623634470981749E-3</v>
      </c>
      <c r="AF166">
        <f t="shared" si="126"/>
        <v>1.6247563203564002E-2</v>
      </c>
      <c r="AG166">
        <f t="shared" si="141"/>
        <v>3510.5932319443255</v>
      </c>
      <c r="AH166">
        <f t="shared" si="142"/>
        <v>-1060.5713401399869</v>
      </c>
      <c r="AJ166">
        <f t="shared" si="127"/>
        <v>18000</v>
      </c>
      <c r="AK166">
        <f t="shared" si="128"/>
        <v>4684.6725880046406</v>
      </c>
      <c r="AL166">
        <v>1</v>
      </c>
      <c r="AM166">
        <f t="shared" si="129"/>
        <v>9.217568551902481</v>
      </c>
      <c r="AN166">
        <f t="shared" si="143"/>
        <v>711.71184161768065</v>
      </c>
      <c r="AO166">
        <f t="shared" si="144"/>
        <v>-1875.580101307092</v>
      </c>
      <c r="AQ166">
        <f t="shared" si="130"/>
        <v>0.57388809182209466</v>
      </c>
      <c r="AR166">
        <f t="shared" si="131"/>
        <v>-75.753228120516496</v>
      </c>
      <c r="AT166">
        <f t="shared" si="156"/>
        <v>-78327.015016662233</v>
      </c>
      <c r="AU166">
        <f t="shared" si="157"/>
        <v>-266547.41920045391</v>
      </c>
      <c r="AV166">
        <f t="shared" si="145"/>
        <v>-1.8566085130248284</v>
      </c>
      <c r="AW166">
        <f t="shared" si="146"/>
        <v>-137298.40338913503</v>
      </c>
      <c r="AX166">
        <f t="shared" si="147"/>
        <v>-60118.566657266601</v>
      </c>
      <c r="AY166">
        <f t="shared" si="155"/>
        <v>-2.7288734400633077</v>
      </c>
      <c r="BA166">
        <f t="shared" si="132"/>
        <v>1.8535560385521743</v>
      </c>
      <c r="BB166">
        <f t="shared" si="148"/>
        <v>5.3601144117474275</v>
      </c>
      <c r="BC166">
        <f t="shared" si="149"/>
        <v>0.87226492703847924</v>
      </c>
      <c r="BD166">
        <f t="shared" si="133"/>
        <v>-130.02290100630131</v>
      </c>
      <c r="BF166">
        <f t="shared" si="134"/>
        <v>-4.8547466947332945</v>
      </c>
      <c r="BG166">
        <f t="shared" si="135"/>
        <v>-125.98389792598249</v>
      </c>
      <c r="BH166">
        <f t="shared" si="150"/>
        <v>54.01610207401751</v>
      </c>
      <c r="BI166">
        <f t="shared" si="151"/>
        <v>54.01610207401751</v>
      </c>
      <c r="BJ166">
        <f t="shared" si="136"/>
        <v>0</v>
      </c>
      <c r="BK166">
        <f t="shared" si="152"/>
        <v>0</v>
      </c>
      <c r="BM166">
        <f t="shared" si="153"/>
        <v>-10.214861106480722</v>
      </c>
      <c r="BN166">
        <f t="shared" si="137"/>
        <v>-175.96099691968121</v>
      </c>
      <c r="BQ166" s="56">
        <f t="shared" si="154"/>
        <v>22.262075212032567</v>
      </c>
      <c r="BR166" s="59"/>
      <c r="BS166" s="59"/>
      <c r="BT166" s="59">
        <v>3630.7809999999999</v>
      </c>
      <c r="BU166" s="59">
        <v>4.4950999999999999</v>
      </c>
      <c r="BV166" s="59">
        <v>-246.21199999999999</v>
      </c>
      <c r="BW166" s="61"/>
      <c r="BY166" s="59"/>
      <c r="BZ166" s="59"/>
      <c r="CA166" s="59"/>
      <c r="CC166" s="59"/>
    </row>
    <row r="167" spans="1:81" x14ac:dyDescent="0.2">
      <c r="A167">
        <f t="shared" si="158"/>
        <v>66500</v>
      </c>
      <c r="B167">
        <f t="shared" si="138"/>
        <v>66.5</v>
      </c>
      <c r="C167">
        <f t="shared" si="107"/>
        <v>1.0001287085896853</v>
      </c>
      <c r="D167">
        <f t="shared" si="108"/>
        <v>1.6043365375364639E-2</v>
      </c>
      <c r="F167">
        <f t="shared" si="109"/>
        <v>2.0250232479926088E-2</v>
      </c>
      <c r="G167">
        <f t="shared" si="110"/>
        <v>5.4144804495578215E-2</v>
      </c>
      <c r="H167">
        <f t="shared" si="111"/>
        <v>-3.0874478455044221</v>
      </c>
      <c r="J167">
        <f t="shared" si="112"/>
        <v>15</v>
      </c>
      <c r="M167">
        <f t="shared" si="113"/>
        <v>3.3936070240633996E-3</v>
      </c>
      <c r="N167">
        <f t="shared" si="114"/>
        <v>-1.5707963250000001</v>
      </c>
      <c r="O167">
        <f t="shared" si="115"/>
        <v>62.419550144258345</v>
      </c>
      <c r="P167">
        <f t="shared" si="116"/>
        <v>1.5547750196988006</v>
      </c>
      <c r="Q167">
        <f t="shared" si="117"/>
        <v>9.3410798661229908</v>
      </c>
      <c r="R167">
        <f t="shared" si="118"/>
        <v>1.4635367779835526</v>
      </c>
      <c r="S167">
        <f t="shared" si="119"/>
        <v>0.96729477499062289</v>
      </c>
      <c r="T167">
        <f t="shared" si="120"/>
        <v>-0.25645689026927648</v>
      </c>
      <c r="U167">
        <f t="shared" si="121"/>
        <v>0.96126564263938141</v>
      </c>
      <c r="V167">
        <f t="shared" si="122"/>
        <v>-0.27923836150663023</v>
      </c>
      <c r="X167">
        <f t="shared" si="139"/>
        <v>-5.0528260382490267</v>
      </c>
      <c r="Y167">
        <f t="shared" si="123"/>
        <v>-123.73506369772986</v>
      </c>
      <c r="Z167">
        <f t="shared" si="140"/>
        <v>56.264936302270144</v>
      </c>
      <c r="AC167">
        <v>1</v>
      </c>
      <c r="AD167">
        <f t="shared" si="124"/>
        <v>62.4115393193565</v>
      </c>
      <c r="AE167">
        <f t="shared" si="125"/>
        <v>-4.693954898828981E-3</v>
      </c>
      <c r="AF167">
        <f t="shared" si="126"/>
        <v>1.6370650803591E-2</v>
      </c>
      <c r="AG167">
        <f t="shared" si="141"/>
        <v>3506.5978722996824</v>
      </c>
      <c r="AH167">
        <f t="shared" si="142"/>
        <v>-1066.5313474938007</v>
      </c>
      <c r="AJ167">
        <f t="shared" si="127"/>
        <v>18000</v>
      </c>
      <c r="AK167">
        <f t="shared" si="128"/>
        <v>4720.1625318531596</v>
      </c>
      <c r="AL167">
        <v>1</v>
      </c>
      <c r="AM167">
        <f t="shared" si="129"/>
        <v>9.2873986166896199</v>
      </c>
      <c r="AN167">
        <f t="shared" si="143"/>
        <v>708.6984482117133</v>
      </c>
      <c r="AO167">
        <f t="shared" si="144"/>
        <v>-1861.8024557183871</v>
      </c>
      <c r="AQ167">
        <f t="shared" si="130"/>
        <v>0.56529112492933864</v>
      </c>
      <c r="AR167">
        <f t="shared" si="131"/>
        <v>-75.18371961560203</v>
      </c>
      <c r="AT167">
        <f t="shared" si="156"/>
        <v>-78203.545135317021</v>
      </c>
      <c r="AU167">
        <f t="shared" si="157"/>
        <v>-264241.97194084316</v>
      </c>
      <c r="AV167">
        <f t="shared" si="145"/>
        <v>-1.8585373400853189</v>
      </c>
      <c r="AW167">
        <f t="shared" si="146"/>
        <v>-135212.17529047499</v>
      </c>
      <c r="AX167">
        <f t="shared" si="147"/>
        <v>-59438.5948423472</v>
      </c>
      <c r="AY167">
        <f t="shared" si="155"/>
        <v>-2.7274251477037423</v>
      </c>
      <c r="BA167">
        <f t="shared" si="132"/>
        <v>1.8657515383636367</v>
      </c>
      <c r="BB167">
        <f t="shared" si="148"/>
        <v>5.4170761676073411</v>
      </c>
      <c r="BC167">
        <f t="shared" si="149"/>
        <v>0.86888780761842344</v>
      </c>
      <c r="BD167">
        <f t="shared" si="133"/>
        <v>-130.21639569620328</v>
      </c>
      <c r="BF167">
        <f t="shared" si="134"/>
        <v>-4.9313805059001634</v>
      </c>
      <c r="BG167">
        <f t="shared" si="135"/>
        <v>-126.19490978625574</v>
      </c>
      <c r="BH167">
        <f t="shared" si="150"/>
        <v>53.805090213744265</v>
      </c>
      <c r="BI167">
        <f t="shared" si="151"/>
        <v>53.805090213744265</v>
      </c>
      <c r="BJ167">
        <f t="shared" si="136"/>
        <v>0</v>
      </c>
      <c r="BK167">
        <f t="shared" si="152"/>
        <v>0</v>
      </c>
      <c r="BM167">
        <f t="shared" si="153"/>
        <v>-10.348456673507505</v>
      </c>
      <c r="BN167">
        <f t="shared" si="137"/>
        <v>-175.9785140900525</v>
      </c>
      <c r="BQ167" s="56">
        <f t="shared" si="154"/>
        <v>22.31903696789248</v>
      </c>
      <c r="BR167" s="59"/>
      <c r="BS167" s="59"/>
      <c r="BT167" s="59">
        <v>3715.3519999999999</v>
      </c>
      <c r="BU167" s="59">
        <v>4.3437000000000001</v>
      </c>
      <c r="BV167" s="59">
        <v>-245.97</v>
      </c>
      <c r="BW167" s="61"/>
      <c r="BY167" s="59"/>
      <c r="BZ167" s="59"/>
      <c r="CA167" s="59"/>
      <c r="CC167" s="59"/>
    </row>
    <row r="168" spans="1:81" x14ac:dyDescent="0.2">
      <c r="A168">
        <f t="shared" si="158"/>
        <v>67000</v>
      </c>
      <c r="B168">
        <f t="shared" si="138"/>
        <v>67</v>
      </c>
      <c r="C168">
        <f t="shared" si="107"/>
        <v>1.0001306512064985</v>
      </c>
      <c r="D168">
        <f t="shared" si="108"/>
        <v>1.6163971251073658E-2</v>
      </c>
      <c r="F168">
        <f t="shared" si="109"/>
        <v>1.9943497550019024E-2</v>
      </c>
      <c r="G168">
        <f t="shared" si="110"/>
        <v>5.372519260552111E-2</v>
      </c>
      <c r="H168">
        <f t="shared" si="111"/>
        <v>-3.0878674573944789</v>
      </c>
      <c r="J168">
        <f t="shared" si="112"/>
        <v>15</v>
      </c>
      <c r="M168">
        <f t="shared" si="113"/>
        <v>3.3682815985106879E-3</v>
      </c>
      <c r="N168">
        <f t="shared" si="114"/>
        <v>-1.5707963250000001</v>
      </c>
      <c r="O168">
        <f t="shared" si="115"/>
        <v>62.888750063700165</v>
      </c>
      <c r="P168">
        <f t="shared" si="116"/>
        <v>1.5548945614618732</v>
      </c>
      <c r="Q168">
        <f t="shared" si="117"/>
        <v>9.4105116012601204</v>
      </c>
      <c r="R168">
        <f t="shared" si="118"/>
        <v>1.4643311650613156</v>
      </c>
      <c r="S168">
        <f t="shared" si="119"/>
        <v>0.96682541375727371</v>
      </c>
      <c r="T168">
        <f t="shared" si="120"/>
        <v>-0.25830080125902866</v>
      </c>
      <c r="U168">
        <f t="shared" si="121"/>
        <v>0.96071498600100258</v>
      </c>
      <c r="V168">
        <f t="shared" si="122"/>
        <v>-0.28122930804754626</v>
      </c>
      <c r="X168">
        <f t="shared" si="139"/>
        <v>-5.1302693269338606</v>
      </c>
      <c r="Y168">
        <f t="shared" si="123"/>
        <v>-123.91955236679792</v>
      </c>
      <c r="Z168">
        <f t="shared" si="140"/>
        <v>56.080447633202084</v>
      </c>
      <c r="AC168">
        <v>1</v>
      </c>
      <c r="AD168">
        <f t="shared" si="124"/>
        <v>62.880799013487007</v>
      </c>
      <c r="AE168">
        <f t="shared" si="125"/>
        <v>-4.7648060468863801E-3</v>
      </c>
      <c r="AF168">
        <f t="shared" si="126"/>
        <v>1.6493738403618001E-2</v>
      </c>
      <c r="AG168">
        <f t="shared" si="141"/>
        <v>3502.581545806238</v>
      </c>
      <c r="AH168">
        <f t="shared" si="142"/>
        <v>-1072.4749778552323</v>
      </c>
      <c r="AJ168">
        <f t="shared" si="127"/>
        <v>18000</v>
      </c>
      <c r="AK168">
        <f t="shared" si="128"/>
        <v>4755.6524757016796</v>
      </c>
      <c r="AL168">
        <v>1</v>
      </c>
      <c r="AM168">
        <f t="shared" si="129"/>
        <v>9.3572286814767605</v>
      </c>
      <c r="AN168">
        <f t="shared" si="143"/>
        <v>705.75125101583126</v>
      </c>
      <c r="AO168">
        <f t="shared" si="144"/>
        <v>-1848.2233722917613</v>
      </c>
      <c r="AQ168">
        <f t="shared" si="130"/>
        <v>0.55688589408030298</v>
      </c>
      <c r="AR168">
        <f t="shared" si="131"/>
        <v>-74.622709806760597</v>
      </c>
      <c r="AT168">
        <f t="shared" si="156"/>
        <v>-78080.450791777519</v>
      </c>
      <c r="AU168">
        <f t="shared" si="157"/>
        <v>-261969.3724541355</v>
      </c>
      <c r="AV168">
        <f t="shared" si="145"/>
        <v>-1.8604648521402172</v>
      </c>
      <c r="AW168">
        <f t="shared" si="146"/>
        <v>-133171.82750632276</v>
      </c>
      <c r="AX168">
        <f t="shared" si="147"/>
        <v>-58774.112468971485</v>
      </c>
      <c r="AY168">
        <f t="shared" si="155"/>
        <v>-2.7259633143393334</v>
      </c>
      <c r="BA168">
        <f t="shared" si="132"/>
        <v>1.8779107677152169</v>
      </c>
      <c r="BB168">
        <f t="shared" si="148"/>
        <v>5.473499042844808</v>
      </c>
      <c r="BC168">
        <f t="shared" si="149"/>
        <v>0.86549846219911619</v>
      </c>
      <c r="BD168">
        <f t="shared" si="133"/>
        <v>-130.41059088426346</v>
      </c>
      <c r="BF168">
        <f t="shared" si="134"/>
        <v>-5.0075145450107001</v>
      </c>
      <c r="BG168">
        <f t="shared" si="135"/>
        <v>-126.40623675700667</v>
      </c>
      <c r="BH168">
        <f t="shared" si="150"/>
        <v>53.593763242993333</v>
      </c>
      <c r="BI168">
        <f t="shared" si="151"/>
        <v>53.593763242993333</v>
      </c>
      <c r="BJ168">
        <f t="shared" si="136"/>
        <v>0</v>
      </c>
      <c r="BK168">
        <f t="shared" si="152"/>
        <v>0</v>
      </c>
      <c r="BM168">
        <f t="shared" si="153"/>
        <v>-10.481013587855511</v>
      </c>
      <c r="BN168">
        <f t="shared" si="137"/>
        <v>-175.99564587274321</v>
      </c>
      <c r="BQ168" s="56">
        <f t="shared" si="154"/>
        <v>22.375459843129946</v>
      </c>
      <c r="BR168" s="59"/>
      <c r="BS168" s="59"/>
      <c r="BT168" s="59">
        <v>3801.8939999999998</v>
      </c>
      <c r="BU168" s="59">
        <v>4.1437400000000002</v>
      </c>
      <c r="BV168" s="59">
        <v>-245.16899999999998</v>
      </c>
      <c r="BW168" s="61"/>
      <c r="BY168" s="59"/>
      <c r="BZ168" s="59"/>
      <c r="CA168" s="59"/>
      <c r="CC168" s="59"/>
    </row>
    <row r="169" spans="1:81" x14ac:dyDescent="0.2">
      <c r="A169">
        <f t="shared" si="158"/>
        <v>67500</v>
      </c>
      <c r="B169">
        <f t="shared" si="138"/>
        <v>67.5</v>
      </c>
      <c r="C169">
        <f t="shared" si="107"/>
        <v>1.0001326083709328</v>
      </c>
      <c r="D169">
        <f t="shared" si="108"/>
        <v>1.6284576656508502E-2</v>
      </c>
      <c r="F169">
        <f t="shared" si="109"/>
        <v>1.9643720521931012E-2</v>
      </c>
      <c r="G169">
        <f t="shared" si="110"/>
        <v>5.3312147013289034E-2</v>
      </c>
      <c r="H169">
        <f t="shared" si="111"/>
        <v>-3.0882805029867111</v>
      </c>
      <c r="J169">
        <f t="shared" si="112"/>
        <v>15</v>
      </c>
      <c r="M169">
        <f t="shared" si="113"/>
        <v>3.3433313644476458E-3</v>
      </c>
      <c r="N169">
        <f t="shared" si="114"/>
        <v>-1.5707963250000001</v>
      </c>
      <c r="O169">
        <f t="shared" si="115"/>
        <v>63.357950868526231</v>
      </c>
      <c r="P169">
        <f t="shared" si="116"/>
        <v>1.5550123326803491</v>
      </c>
      <c r="Q169">
        <f t="shared" si="117"/>
        <v>9.479949187918189</v>
      </c>
      <c r="R169">
        <f t="shared" si="118"/>
        <v>1.4651139153660071</v>
      </c>
      <c r="S169">
        <f t="shared" si="119"/>
        <v>0.96635322697709891</v>
      </c>
      <c r="T169">
        <f t="shared" si="120"/>
        <v>-0.2601429174156657</v>
      </c>
      <c r="U169">
        <f t="shared" si="121"/>
        <v>0.96016116047469668</v>
      </c>
      <c r="V169">
        <f t="shared" si="122"/>
        <v>-0.28321796701284502</v>
      </c>
      <c r="X169">
        <f t="shared" si="139"/>
        <v>-5.2072163315513524</v>
      </c>
      <c r="Y169">
        <f t="shared" si="123"/>
        <v>-124.10419911958486</v>
      </c>
      <c r="Z169">
        <f t="shared" si="140"/>
        <v>55.895800880415138</v>
      </c>
      <c r="AC169">
        <v>1</v>
      </c>
      <c r="AD169">
        <f t="shared" si="124"/>
        <v>63.350058707617499</v>
      </c>
      <c r="AE169">
        <f t="shared" si="125"/>
        <v>-4.836187915153947E-3</v>
      </c>
      <c r="AF169">
        <f t="shared" si="126"/>
        <v>1.6616826003644999E-2</v>
      </c>
      <c r="AG169">
        <f t="shared" si="141"/>
        <v>3498.5444276799153</v>
      </c>
      <c r="AH169">
        <f t="shared" si="142"/>
        <v>-1078.4019931269677</v>
      </c>
      <c r="AJ169">
        <f t="shared" si="127"/>
        <v>18000</v>
      </c>
      <c r="AK169">
        <f t="shared" si="128"/>
        <v>4791.1424195502004</v>
      </c>
      <c r="AL169">
        <v>1</v>
      </c>
      <c r="AM169">
        <f t="shared" si="129"/>
        <v>9.4270587462639011</v>
      </c>
      <c r="AN169">
        <f t="shared" si="143"/>
        <v>702.86833251320729</v>
      </c>
      <c r="AO169">
        <f t="shared" si="144"/>
        <v>-1834.8386419403541</v>
      </c>
      <c r="AQ169">
        <f t="shared" si="130"/>
        <v>0.54866673982223202</v>
      </c>
      <c r="AR169">
        <f t="shared" si="131"/>
        <v>-74.070009876001322</v>
      </c>
      <c r="AT169">
        <f t="shared" si="156"/>
        <v>-77957.711315955617</v>
      </c>
      <c r="AU169">
        <f t="shared" si="157"/>
        <v>-259728.90361566748</v>
      </c>
      <c r="AV169">
        <f t="shared" si="145"/>
        <v>-1.8623910159911239</v>
      </c>
      <c r="AW169">
        <f t="shared" si="146"/>
        <v>-131176.03347530129</v>
      </c>
      <c r="AX169">
        <f t="shared" si="147"/>
        <v>-58124.623249101824</v>
      </c>
      <c r="AY169">
        <f t="shared" si="155"/>
        <v>-2.7244882329105256</v>
      </c>
      <c r="BA169">
        <f t="shared" si="132"/>
        <v>1.8900334400407315</v>
      </c>
      <c r="BB169">
        <f t="shared" si="148"/>
        <v>5.5293897627949207</v>
      </c>
      <c r="BC169">
        <f t="shared" si="149"/>
        <v>0.86209721691940167</v>
      </c>
      <c r="BD169">
        <f t="shared" si="133"/>
        <v>-130.60546788410258</v>
      </c>
      <c r="BF169">
        <f t="shared" si="134"/>
        <v>-5.0831583778937954</v>
      </c>
      <c r="BG169">
        <f t="shared" si="135"/>
        <v>-126.61786934532844</v>
      </c>
      <c r="BH169">
        <f t="shared" si="150"/>
        <v>53.382130654671556</v>
      </c>
      <c r="BI169">
        <f t="shared" si="151"/>
        <v>53.382130654671556</v>
      </c>
      <c r="BJ169">
        <f t="shared" si="136"/>
        <v>0</v>
      </c>
      <c r="BK169">
        <f t="shared" si="152"/>
        <v>0</v>
      </c>
      <c r="BM169">
        <f t="shared" si="153"/>
        <v>-10.612548140688716</v>
      </c>
      <c r="BN169">
        <f t="shared" si="137"/>
        <v>-176.01240146122586</v>
      </c>
      <c r="BQ169" s="56">
        <f t="shared" si="154"/>
        <v>22.431350563080059</v>
      </c>
      <c r="BR169" s="59"/>
      <c r="BS169" s="59"/>
      <c r="BT169" s="59">
        <v>3890.451</v>
      </c>
      <c r="BU169" s="59">
        <v>3.9573</v>
      </c>
      <c r="BV169" s="59">
        <v>-244.768</v>
      </c>
      <c r="BW169" s="61"/>
      <c r="BY169" s="59"/>
      <c r="BZ169" s="59"/>
      <c r="CA169" s="59"/>
      <c r="CC169" s="59"/>
    </row>
    <row r="170" spans="1:81" x14ac:dyDescent="0.2">
      <c r="A170">
        <f t="shared" si="158"/>
        <v>68000</v>
      </c>
      <c r="B170">
        <f t="shared" si="138"/>
        <v>68</v>
      </c>
      <c r="C170">
        <f t="shared" si="107"/>
        <v>1.0001345800829029</v>
      </c>
      <c r="D170">
        <f t="shared" si="108"/>
        <v>1.6405181588163373E-2</v>
      </c>
      <c r="F170">
        <f t="shared" si="109"/>
        <v>1.9350691340555243E-2</v>
      </c>
      <c r="G170">
        <f t="shared" si="110"/>
        <v>5.2905512398160714E-2</v>
      </c>
      <c r="H170">
        <f t="shared" si="111"/>
        <v>-3.0886871376018394</v>
      </c>
      <c r="J170">
        <f t="shared" si="112"/>
        <v>15</v>
      </c>
      <c r="M170">
        <f t="shared" si="113"/>
        <v>3.3187480455914129E-3</v>
      </c>
      <c r="N170">
        <f t="shared" si="114"/>
        <v>-1.5707963250000001</v>
      </c>
      <c r="O170">
        <f t="shared" si="115"/>
        <v>63.827152539210857</v>
      </c>
      <c r="P170">
        <f t="shared" si="116"/>
        <v>1.555128372397433</v>
      </c>
      <c r="Q170">
        <f t="shared" si="117"/>
        <v>9.5493924984506986</v>
      </c>
      <c r="R170">
        <f t="shared" si="118"/>
        <v>1.4658852817961401</v>
      </c>
      <c r="S170">
        <f t="shared" si="119"/>
        <v>0.96587822839473236</v>
      </c>
      <c r="T170">
        <f t="shared" si="120"/>
        <v>-0.2619832288747786</v>
      </c>
      <c r="U170">
        <f t="shared" si="121"/>
        <v>0.95960418466763153</v>
      </c>
      <c r="V170">
        <f t="shared" si="122"/>
        <v>-0.28520432664070305</v>
      </c>
      <c r="X170">
        <f t="shared" si="139"/>
        <v>-5.2836761000375088</v>
      </c>
      <c r="Y170">
        <f t="shared" si="123"/>
        <v>-124.28899488939321</v>
      </c>
      <c r="Z170">
        <f t="shared" si="140"/>
        <v>55.711005110606791</v>
      </c>
      <c r="AC170">
        <v>1</v>
      </c>
      <c r="AD170">
        <f t="shared" si="124"/>
        <v>63.819318401747999</v>
      </c>
      <c r="AE170">
        <f t="shared" si="125"/>
        <v>-4.9081005036316827E-3</v>
      </c>
      <c r="AF170">
        <f t="shared" si="126"/>
        <v>1.6739913603672E-2</v>
      </c>
      <c r="AG170">
        <f t="shared" si="141"/>
        <v>3494.4866934005677</v>
      </c>
      <c r="AH170">
        <f t="shared" si="142"/>
        <v>-1084.3121613143776</v>
      </c>
      <c r="AJ170">
        <f t="shared" si="127"/>
        <v>18000</v>
      </c>
      <c r="AK170">
        <f t="shared" si="128"/>
        <v>4826.6323633987195</v>
      </c>
      <c r="AL170">
        <v>1</v>
      </c>
      <c r="AM170">
        <f t="shared" si="129"/>
        <v>9.4968888110510417</v>
      </c>
      <c r="AN170">
        <f t="shared" si="143"/>
        <v>700.04784385866219</v>
      </c>
      <c r="AO170">
        <f t="shared" si="144"/>
        <v>-1821.6441721430153</v>
      </c>
      <c r="AQ170">
        <f t="shared" si="130"/>
        <v>0.54062820997999672</v>
      </c>
      <c r="AR170">
        <f t="shared" si="131"/>
        <v>-73.525436557279562</v>
      </c>
      <c r="AT170">
        <f t="shared" si="156"/>
        <v>-77835.306939154878</v>
      </c>
      <c r="AU170">
        <f t="shared" si="157"/>
        <v>-257519.86941871198</v>
      </c>
      <c r="AV170">
        <f t="shared" si="145"/>
        <v>-1.8643157991663721</v>
      </c>
      <c r="AW170">
        <f t="shared" si="146"/>
        <v>-129223.51404869035</v>
      </c>
      <c r="AX170">
        <f t="shared" si="147"/>
        <v>-57489.650875079533</v>
      </c>
      <c r="AY170">
        <f t="shared" si="155"/>
        <v>-2.723000188606973</v>
      </c>
      <c r="BA170">
        <f t="shared" si="132"/>
        <v>1.9021192708270709</v>
      </c>
      <c r="BB170">
        <f t="shared" si="148"/>
        <v>5.5847549106821468</v>
      </c>
      <c r="BC170">
        <f t="shared" si="149"/>
        <v>0.85868438944060088</v>
      </c>
      <c r="BD170">
        <f t="shared" si="133"/>
        <v>-130.80100849506758</v>
      </c>
      <c r="BF170">
        <f t="shared" si="134"/>
        <v>-5.1583213264025325</v>
      </c>
      <c r="BG170">
        <f t="shared" si="135"/>
        <v>-126.82979824999065</v>
      </c>
      <c r="BH170">
        <f t="shared" si="150"/>
        <v>53.170201750009355</v>
      </c>
      <c r="BI170">
        <f t="shared" si="151"/>
        <v>53.170201750009355</v>
      </c>
      <c r="BJ170">
        <f t="shared" si="136"/>
        <v>0</v>
      </c>
      <c r="BK170">
        <f t="shared" si="152"/>
        <v>0</v>
      </c>
      <c r="BM170">
        <f t="shared" si="153"/>
        <v>-10.743076237084679</v>
      </c>
      <c r="BN170">
        <f t="shared" si="137"/>
        <v>-176.02878975492305</v>
      </c>
      <c r="BQ170" s="56">
        <f t="shared" si="154"/>
        <v>22.486715710967285</v>
      </c>
      <c r="BR170" s="59"/>
      <c r="BS170" s="59"/>
      <c r="BT170" s="59">
        <v>3981.0720000000001</v>
      </c>
      <c r="BU170" s="59">
        <v>3.8980899999999998</v>
      </c>
      <c r="BV170" s="59">
        <v>-244.315</v>
      </c>
      <c r="BW170" s="61"/>
      <c r="BY170" s="59"/>
      <c r="BZ170" s="59"/>
      <c r="CA170" s="59"/>
      <c r="CC170" s="59"/>
    </row>
    <row r="171" spans="1:81" x14ac:dyDescent="0.2">
      <c r="A171">
        <f t="shared" si="158"/>
        <v>68500</v>
      </c>
      <c r="B171">
        <f t="shared" si="138"/>
        <v>68.5</v>
      </c>
      <c r="C171">
        <f t="shared" si="107"/>
        <v>1.0001365663423223</v>
      </c>
      <c r="D171">
        <f t="shared" si="108"/>
        <v>1.6525786042532555E-2</v>
      </c>
      <c r="F171">
        <f t="shared" si="109"/>
        <v>1.9064207861149228E-2</v>
      </c>
      <c r="G171">
        <f t="shared" si="110"/>
        <v>5.2505138365637243E-2</v>
      </c>
      <c r="H171">
        <f t="shared" si="111"/>
        <v>-3.089087511634363</v>
      </c>
      <c r="J171">
        <f t="shared" si="112"/>
        <v>15</v>
      </c>
      <c r="M171">
        <f t="shared" si="113"/>
        <v>3.2945236073024251E-3</v>
      </c>
      <c r="N171">
        <f t="shared" si="114"/>
        <v>-1.5707963250000001</v>
      </c>
      <c r="O171">
        <f t="shared" si="115"/>
        <v>64.296355056798262</v>
      </c>
      <c r="P171">
        <f t="shared" si="116"/>
        <v>1.5552427185168489</v>
      </c>
      <c r="Q171">
        <f t="shared" si="117"/>
        <v>9.6188414088869632</v>
      </c>
      <c r="R171">
        <f t="shared" si="118"/>
        <v>1.4666455100015225</v>
      </c>
      <c r="S171">
        <f t="shared" si="119"/>
        <v>0.96540043179944712</v>
      </c>
      <c r="T171">
        <f t="shared" si="120"/>
        <v>-0.2638217258401731</v>
      </c>
      <c r="U171">
        <f t="shared" si="121"/>
        <v>0.95904407723302287</v>
      </c>
      <c r="V171">
        <f t="shared" si="122"/>
        <v>-0.28718837526905716</v>
      </c>
      <c r="X171">
        <f t="shared" si="139"/>
        <v>-5.3596574453060706</v>
      </c>
      <c r="Y171">
        <f t="shared" si="123"/>
        <v>-124.47393081750559</v>
      </c>
      <c r="Z171">
        <f t="shared" si="140"/>
        <v>55.52606918249441</v>
      </c>
      <c r="AC171">
        <v>1</v>
      </c>
      <c r="AD171">
        <f t="shared" si="124"/>
        <v>64.288578095878506</v>
      </c>
      <c r="AE171">
        <f t="shared" si="125"/>
        <v>-4.9805438123195845E-3</v>
      </c>
      <c r="AF171">
        <f t="shared" si="126"/>
        <v>1.6863001203699001E-2</v>
      </c>
      <c r="AG171">
        <f t="shared" si="141"/>
        <v>3490.4085186954576</v>
      </c>
      <c r="AH171">
        <f t="shared" si="142"/>
        <v>-1090.205256358729</v>
      </c>
      <c r="AJ171">
        <f t="shared" si="127"/>
        <v>18000</v>
      </c>
      <c r="AK171">
        <f t="shared" si="128"/>
        <v>4862.1223072472403</v>
      </c>
      <c r="AL171">
        <v>1</v>
      </c>
      <c r="AM171">
        <f t="shared" si="129"/>
        <v>9.5667188758381805</v>
      </c>
      <c r="AN171">
        <f t="shared" si="143"/>
        <v>697.28800195960548</v>
      </c>
      <c r="AO171">
        <f t="shared" si="144"/>
        <v>-1808.6359829952073</v>
      </c>
      <c r="AQ171">
        <f t="shared" si="130"/>
        <v>0.53276505061267976</v>
      </c>
      <c r="AR171">
        <f t="shared" si="131"/>
        <v>-72.988811933937129</v>
      </c>
      <c r="AT171">
        <f t="shared" si="156"/>
        <v>-77713.21875463528</v>
      </c>
      <c r="AU171">
        <f t="shared" si="157"/>
        <v>-255341.59420225699</v>
      </c>
      <c r="AV171">
        <f t="shared" si="145"/>
        <v>-1.8662391698983041</v>
      </c>
      <c r="AW171">
        <f t="shared" si="146"/>
        <v>-127313.03547953017</v>
      </c>
      <c r="AX171">
        <f t="shared" si="147"/>
        <v>-56868.738063288525</v>
      </c>
      <c r="AY171">
        <f t="shared" si="155"/>
        <v>-2.7214994591544506</v>
      </c>
      <c r="BA171">
        <f t="shared" si="132"/>
        <v>1.9141679776122393</v>
      </c>
      <c r="BB171">
        <f t="shared" si="148"/>
        <v>5.6396009316069717</v>
      </c>
      <c r="BC171">
        <f t="shared" si="149"/>
        <v>0.8552602892561465</v>
      </c>
      <c r="BD171">
        <f t="shared" si="133"/>
        <v>-130.99719498449096</v>
      </c>
      <c r="BF171">
        <f t="shared" si="134"/>
        <v>-5.2330124766889705</v>
      </c>
      <c r="BG171">
        <f t="shared" si="135"/>
        <v>-127.04201435549675</v>
      </c>
      <c r="BH171">
        <f t="shared" si="150"/>
        <v>52.957985644503253</v>
      </c>
      <c r="BI171">
        <f t="shared" si="151"/>
        <v>52.957985644503253</v>
      </c>
      <c r="BJ171">
        <f t="shared" si="136"/>
        <v>0</v>
      </c>
      <c r="BK171">
        <f t="shared" si="152"/>
        <v>0</v>
      </c>
      <c r="BM171">
        <f t="shared" si="153"/>
        <v>-10.87261340829594</v>
      </c>
      <c r="BN171">
        <f t="shared" si="137"/>
        <v>-176.04481937100581</v>
      </c>
      <c r="BQ171" s="56">
        <f t="shared" si="154"/>
        <v>22.541561731892109</v>
      </c>
      <c r="BR171" s="59"/>
      <c r="BS171" s="59"/>
      <c r="BT171" s="59">
        <v>4073.8029999999999</v>
      </c>
      <c r="BU171" s="59">
        <v>3.5600999999999998</v>
      </c>
      <c r="BV171" s="59">
        <v>-244.142</v>
      </c>
      <c r="BW171" s="61"/>
      <c r="BY171" s="59"/>
      <c r="BZ171" s="59"/>
      <c r="CA171" s="59"/>
      <c r="CC171" s="59"/>
    </row>
    <row r="172" spans="1:81" x14ac:dyDescent="0.2">
      <c r="A172">
        <f t="shared" si="158"/>
        <v>69000</v>
      </c>
      <c r="B172">
        <f t="shared" si="138"/>
        <v>69</v>
      </c>
      <c r="C172">
        <f t="shared" si="107"/>
        <v>1.0001385671491048</v>
      </c>
      <c r="D172">
        <f t="shared" si="108"/>
        <v>1.6646390016110416E-2</v>
      </c>
      <c r="F172">
        <f t="shared" si="109"/>
        <v>1.8784075492697908E-2</v>
      </c>
      <c r="G172">
        <f t="shared" si="110"/>
        <v>5.2110879251456986E-2</v>
      </c>
      <c r="H172">
        <f t="shared" si="111"/>
        <v>-3.0894817707485434</v>
      </c>
      <c r="J172">
        <f t="shared" si="112"/>
        <v>15</v>
      </c>
      <c r="M172">
        <f t="shared" si="113"/>
        <v>3.2706502478292189E-3</v>
      </c>
      <c r="N172">
        <f t="shared" si="114"/>
        <v>-1.5707963250000001</v>
      </c>
      <c r="O172">
        <f t="shared" si="115"/>
        <v>64.765558402881993</v>
      </c>
      <c r="P172">
        <f t="shared" si="116"/>
        <v>1.5553554078441045</v>
      </c>
      <c r="Q172">
        <f t="shared" si="117"/>
        <v>9.6882957988010983</v>
      </c>
      <c r="R172">
        <f t="shared" si="118"/>
        <v>1.467394838640165</v>
      </c>
      <c r="S172">
        <f t="shared" si="119"/>
        <v>0.96491985102415845</v>
      </c>
      <c r="T172">
        <f t="shared" si="120"/>
        <v>-0.26565839858402707</v>
      </c>
      <c r="U172">
        <f t="shared" si="121"/>
        <v>0.95848085686862061</v>
      </c>
      <c r="V172">
        <f t="shared" si="122"/>
        <v>-0.28917010133574078</v>
      </c>
      <c r="X172">
        <f t="shared" si="139"/>
        <v>-5.4351689532126688</v>
      </c>
      <c r="Y172">
        <f t="shared" si="123"/>
        <v>-124.65899824734682</v>
      </c>
      <c r="Z172">
        <f t="shared" si="140"/>
        <v>55.341001752653185</v>
      </c>
      <c r="AC172">
        <v>1</v>
      </c>
      <c r="AD172">
        <f t="shared" si="124"/>
        <v>64.757837790008992</v>
      </c>
      <c r="AE172">
        <f t="shared" si="125"/>
        <v>-5.053517841217655E-3</v>
      </c>
      <c r="AF172">
        <f t="shared" si="126"/>
        <v>1.6986088803725999E-2</v>
      </c>
      <c r="AG172">
        <f t="shared" si="141"/>
        <v>3486.3100795228188</v>
      </c>
      <c r="AH172">
        <f t="shared" si="142"/>
        <v>-1096.0810579773672</v>
      </c>
      <c r="AJ172">
        <f t="shared" si="127"/>
        <v>18000</v>
      </c>
      <c r="AK172">
        <f t="shared" si="128"/>
        <v>4897.6122510957603</v>
      </c>
      <c r="AL172">
        <v>1</v>
      </c>
      <c r="AM172">
        <f t="shared" si="129"/>
        <v>9.6365489406253211</v>
      </c>
      <c r="AN172">
        <f t="shared" si="143"/>
        <v>694.58708670016586</v>
      </c>
      <c r="AO172">
        <f t="shared" si="144"/>
        <v>-1795.8102034167512</v>
      </c>
      <c r="AQ172">
        <f t="shared" si="130"/>
        <v>0.52507219742714628</v>
      </c>
      <c r="AR172">
        <f t="shared" si="131"/>
        <v>-72.459963244946181</v>
      </c>
      <c r="AT172">
        <f t="shared" si="156"/>
        <v>-77591.428680154291</v>
      </c>
      <c r="AU172">
        <f t="shared" si="157"/>
        <v>-253193.4219123793</v>
      </c>
      <c r="AV172">
        <f t="shared" si="145"/>
        <v>-1.8681610971015321</v>
      </c>
      <c r="AW172">
        <f t="shared" si="146"/>
        <v>-125443.40751010949</v>
      </c>
      <c r="AX172">
        <f t="shared" si="147"/>
        <v>-56261.445650459777</v>
      </c>
      <c r="AY172">
        <f t="shared" si="155"/>
        <v>-2.7199863150894554</v>
      </c>
      <c r="BA172">
        <f t="shared" si="132"/>
        <v>1.9261792799847521</v>
      </c>
      <c r="BB172">
        <f t="shared" si="148"/>
        <v>5.6939341363989735</v>
      </c>
      <c r="BC172">
        <f t="shared" si="149"/>
        <v>0.85182521798792332</v>
      </c>
      <c r="BD172">
        <f t="shared" si="133"/>
        <v>-131.1940100707117</v>
      </c>
      <c r="BF172">
        <f t="shared" si="134"/>
        <v>-5.3072406871242492</v>
      </c>
      <c r="BG172">
        <f t="shared" si="135"/>
        <v>-127.254508726334</v>
      </c>
      <c r="BH172">
        <f t="shared" si="150"/>
        <v>52.745491273666005</v>
      </c>
      <c r="BI172">
        <f t="shared" si="151"/>
        <v>52.745491273666005</v>
      </c>
      <c r="BJ172">
        <f t="shared" si="136"/>
        <v>0</v>
      </c>
      <c r="BK172">
        <f t="shared" si="152"/>
        <v>0</v>
      </c>
      <c r="BM172">
        <f t="shared" si="153"/>
        <v>-11.001174823523224</v>
      </c>
      <c r="BN172">
        <f t="shared" si="137"/>
        <v>-176.0604986556223</v>
      </c>
      <c r="BQ172" s="56">
        <f t="shared" si="154"/>
        <v>22.595894936684111</v>
      </c>
      <c r="BR172" s="59"/>
      <c r="BS172" s="59"/>
      <c r="BT172" s="59">
        <v>4168.6940000000004</v>
      </c>
      <c r="BU172" s="59">
        <v>3.4098799999999998</v>
      </c>
      <c r="BV172" s="59">
        <v>-243.709</v>
      </c>
      <c r="BW172" s="61"/>
      <c r="BY172" s="59"/>
      <c r="BZ172" s="59"/>
      <c r="CA172" s="59"/>
      <c r="CC172" s="59"/>
    </row>
    <row r="173" spans="1:81" x14ac:dyDescent="0.2">
      <c r="A173">
        <f t="shared" si="158"/>
        <v>69500</v>
      </c>
      <c r="B173">
        <f t="shared" si="138"/>
        <v>69.5</v>
      </c>
      <c r="C173">
        <f t="shared" si="107"/>
        <v>1.0001405825031628</v>
      </c>
      <c r="D173">
        <f t="shared" si="108"/>
        <v>1.67669935053914E-2</v>
      </c>
      <c r="F173">
        <f t="shared" si="109"/>
        <v>1.8510106859986507E-2</v>
      </c>
      <c r="G173">
        <f t="shared" si="110"/>
        <v>5.1722593934980896E-2</v>
      </c>
      <c r="H173">
        <f t="shared" si="111"/>
        <v>-3.0898700560650192</v>
      </c>
      <c r="J173">
        <f t="shared" si="112"/>
        <v>15</v>
      </c>
      <c r="M173">
        <f t="shared" si="113"/>
        <v>3.2471203899311664E-3</v>
      </c>
      <c r="N173">
        <f t="shared" si="114"/>
        <v>-1.5707963250000001</v>
      </c>
      <c r="O173">
        <f t="shared" si="115"/>
        <v>65.23476255958505</v>
      </c>
      <c r="P173">
        <f t="shared" si="116"/>
        <v>1.555466476125978</v>
      </c>
      <c r="Q173">
        <f t="shared" si="117"/>
        <v>9.757755551186543</v>
      </c>
      <c r="R173">
        <f t="shared" si="118"/>
        <v>1.4681334996243802</v>
      </c>
      <c r="S173">
        <f t="shared" si="119"/>
        <v>0.96443649994443104</v>
      </c>
      <c r="T173">
        <f t="shared" si="120"/>
        <v>-0.26749323744704312</v>
      </c>
      <c r="U173">
        <f t="shared" si="121"/>
        <v>0.95791454231519846</v>
      </c>
      <c r="V173">
        <f t="shared" si="122"/>
        <v>-0.2911494933786104</v>
      </c>
      <c r="X173">
        <f t="shared" si="139"/>
        <v>-5.510218990182234</v>
      </c>
      <c r="Y173">
        <f t="shared" si="123"/>
        <v>-124.84418871882903</v>
      </c>
      <c r="Z173">
        <f t="shared" si="140"/>
        <v>55.155811281170969</v>
      </c>
      <c r="AC173">
        <v>1</v>
      </c>
      <c r="AD173">
        <f t="shared" si="124"/>
        <v>65.227097484139506</v>
      </c>
      <c r="AE173">
        <f t="shared" si="125"/>
        <v>-5.1270225903258934E-3</v>
      </c>
      <c r="AF173">
        <f t="shared" si="126"/>
        <v>1.7109176403753E-2</v>
      </c>
      <c r="AG173">
        <f t="shared" si="141"/>
        <v>3482.1915520555021</v>
      </c>
      <c r="AH173">
        <f t="shared" si="142"/>
        <v>-1101.9393515105126</v>
      </c>
      <c r="AJ173">
        <f t="shared" si="127"/>
        <v>18000</v>
      </c>
      <c r="AK173">
        <f t="shared" si="128"/>
        <v>4933.1021949442802</v>
      </c>
      <c r="AL173">
        <v>1</v>
      </c>
      <c r="AM173">
        <f t="shared" si="129"/>
        <v>9.7063790054124599</v>
      </c>
      <c r="AN173">
        <f t="shared" si="143"/>
        <v>691.9434383005746</v>
      </c>
      <c r="AO173">
        <f t="shared" si="144"/>
        <v>-1783.1630675093284</v>
      </c>
      <c r="AQ173">
        <f t="shared" si="130"/>
        <v>0.51754476762239932</v>
      </c>
      <c r="AR173">
        <f t="shared" si="131"/>
        <v>-71.938722699513505</v>
      </c>
      <c r="AT173">
        <f t="shared" si="156"/>
        <v>-77469.919422371255</v>
      </c>
      <c r="AU173">
        <f t="shared" si="157"/>
        <v>-251074.71539552079</v>
      </c>
      <c r="AV173">
        <f t="shared" si="145"/>
        <v>-1.8700815503521335</v>
      </c>
      <c r="AW173">
        <f t="shared" si="146"/>
        <v>-123613.48155239926</v>
      </c>
      <c r="AX173">
        <f t="shared" si="147"/>
        <v>-55667.351739357226</v>
      </c>
      <c r="AY173">
        <f t="shared" si="155"/>
        <v>-2.7184610200220964</v>
      </c>
      <c r="BA173">
        <f t="shared" si="132"/>
        <v>1.9381528995843345</v>
      </c>
      <c r="BB173">
        <f t="shared" si="148"/>
        <v>5.7477607053416921</v>
      </c>
      <c r="BC173">
        <f t="shared" si="149"/>
        <v>0.84837946966996292</v>
      </c>
      <c r="BD173">
        <f t="shared" si="133"/>
        <v>-131.3914369068207</v>
      </c>
      <c r="BF173">
        <f t="shared" si="134"/>
        <v>-5.3810145958821884</v>
      </c>
      <c r="BG173">
        <f t="shared" si="135"/>
        <v>-127.46727260141115</v>
      </c>
      <c r="BH173">
        <f t="shared" si="150"/>
        <v>52.532727398588847</v>
      </c>
      <c r="BI173">
        <f t="shared" si="151"/>
        <v>52.532727398588847</v>
      </c>
      <c r="BJ173">
        <f t="shared" si="136"/>
        <v>0</v>
      </c>
      <c r="BK173">
        <f t="shared" si="152"/>
        <v>0</v>
      </c>
      <c r="BM173">
        <f t="shared" si="153"/>
        <v>-11.128775301223879</v>
      </c>
      <c r="BN173">
        <f t="shared" si="137"/>
        <v>-176.07583569459044</v>
      </c>
      <c r="BQ173" s="56">
        <f t="shared" si="154"/>
        <v>22.649721505626829</v>
      </c>
      <c r="BR173" s="59"/>
      <c r="BS173" s="59"/>
      <c r="BT173" s="59">
        <v>4265.7950000000001</v>
      </c>
      <c r="BU173" s="59">
        <v>3.2244999999999999</v>
      </c>
      <c r="BV173" s="59">
        <v>-243.32400000000001</v>
      </c>
      <c r="BW173" s="61"/>
      <c r="BY173" s="59"/>
      <c r="BZ173" s="59"/>
      <c r="CA173" s="59"/>
      <c r="CC173" s="59"/>
    </row>
    <row r="174" spans="1:81" x14ac:dyDescent="0.2">
      <c r="A174">
        <f t="shared" si="158"/>
        <v>70000</v>
      </c>
      <c r="B174">
        <f t="shared" si="138"/>
        <v>70</v>
      </c>
      <c r="C174">
        <f t="shared" si="107"/>
        <v>1.0001426124044088</v>
      </c>
      <c r="D174">
        <f t="shared" si="108"/>
        <v>1.688759650687004E-2</v>
      </c>
      <c r="F174">
        <f t="shared" si="109"/>
        <v>1.824212148326464E-2</v>
      </c>
      <c r="G174">
        <f t="shared" si="110"/>
        <v>5.1340145661425571E-2</v>
      </c>
      <c r="H174">
        <f t="shared" si="111"/>
        <v>-3.0902525043385745</v>
      </c>
      <c r="J174">
        <f t="shared" si="112"/>
        <v>15</v>
      </c>
      <c r="M174">
        <f t="shared" si="113"/>
        <v>3.22392667286023E-3</v>
      </c>
      <c r="N174">
        <f t="shared" si="114"/>
        <v>-1.5707963250000001</v>
      </c>
      <c r="O174">
        <f t="shared" si="115"/>
        <v>65.703967509541073</v>
      </c>
      <c r="P174">
        <f t="shared" si="116"/>
        <v>1.5555759580883102</v>
      </c>
      <c r="Q174">
        <f t="shared" si="117"/>
        <v>9.8272205523358913</v>
      </c>
      <c r="R174">
        <f t="shared" si="118"/>
        <v>1.4688617183565975</v>
      </c>
      <c r="S174">
        <f t="shared" si="119"/>
        <v>0.9639503924774846</v>
      </c>
      <c r="T174">
        <f t="shared" si="120"/>
        <v>-0.26932623283859486</v>
      </c>
      <c r="U174">
        <f t="shared" si="121"/>
        <v>0.95734515235504902</v>
      </c>
      <c r="V174">
        <f t="shared" si="122"/>
        <v>-0.29312654003566263</v>
      </c>
      <c r="X174">
        <f t="shared" si="139"/>
        <v>-5.5848157105165956</v>
      </c>
      <c r="Y174">
        <f t="shared" si="123"/>
        <v>-125.0294939628757</v>
      </c>
      <c r="Z174">
        <f t="shared" si="140"/>
        <v>54.970506037124295</v>
      </c>
      <c r="AC174">
        <v>1</v>
      </c>
      <c r="AD174">
        <f t="shared" si="124"/>
        <v>65.696357178270006</v>
      </c>
      <c r="AE174">
        <f t="shared" si="125"/>
        <v>-5.2010580596442996E-3</v>
      </c>
      <c r="AF174">
        <f t="shared" si="126"/>
        <v>1.7232264003780001E-2</v>
      </c>
      <c r="AG174">
        <f t="shared" si="141"/>
        <v>3478.0531126647115</v>
      </c>
      <c r="AH174">
        <f t="shared" si="142"/>
        <v>-1107.7799277743384</v>
      </c>
      <c r="AJ174">
        <f t="shared" si="127"/>
        <v>18000</v>
      </c>
      <c r="AK174">
        <f t="shared" si="128"/>
        <v>4968.5921387928001</v>
      </c>
      <c r="AL174">
        <v>1</v>
      </c>
      <c r="AM174">
        <f t="shared" si="129"/>
        <v>9.7762090701996005</v>
      </c>
      <c r="AN174">
        <f t="shared" si="143"/>
        <v>689.35545480434644</v>
      </c>
      <c r="AO174">
        <f t="shared" si="144"/>
        <v>-1770.6909110570223</v>
      </c>
      <c r="AQ174">
        <f t="shared" si="130"/>
        <v>0.51017805214019696</v>
      </c>
      <c r="AR174">
        <f t="shared" si="131"/>
        <v>-71.424927299627569</v>
      </c>
      <c r="AT174">
        <f t="shared" si="156"/>
        <v>-77348.674443009368</v>
      </c>
      <c r="AU174">
        <f t="shared" si="157"/>
        <v>-248984.8557220723</v>
      </c>
      <c r="AV174">
        <f t="shared" si="145"/>
        <v>-1.8720004998677322</v>
      </c>
      <c r="AW174">
        <f t="shared" si="146"/>
        <v>-121822.14895632723</v>
      </c>
      <c r="AX174">
        <f t="shared" si="147"/>
        <v>-55086.050890808292</v>
      </c>
      <c r="AY174">
        <f t="shared" si="155"/>
        <v>-2.7169238308878354</v>
      </c>
      <c r="BA174">
        <f t="shared" si="132"/>
        <v>1.9500885601038429</v>
      </c>
      <c r="BB174">
        <f t="shared" si="148"/>
        <v>5.8010866917742252</v>
      </c>
      <c r="BC174">
        <f t="shared" si="149"/>
        <v>0.8449233310201032</v>
      </c>
      <c r="BD174">
        <f t="shared" si="133"/>
        <v>-131.58945906509598</v>
      </c>
      <c r="BF174">
        <f t="shared" si="134"/>
        <v>-5.4543426282033067</v>
      </c>
      <c r="BG174">
        <f t="shared" si="135"/>
        <v>-127.68029738867901</v>
      </c>
      <c r="BH174">
        <f t="shared" si="150"/>
        <v>52.319702611320992</v>
      </c>
      <c r="BI174">
        <f t="shared" si="151"/>
        <v>52.319702611320992</v>
      </c>
      <c r="BJ174">
        <f t="shared" si="136"/>
        <v>0</v>
      </c>
      <c r="BK174">
        <f t="shared" si="152"/>
        <v>0</v>
      </c>
      <c r="BM174">
        <f t="shared" si="153"/>
        <v>-11.255429319977534</v>
      </c>
      <c r="BN174">
        <f t="shared" si="137"/>
        <v>-176.09083832358303</v>
      </c>
      <c r="BQ174" s="56">
        <f t="shared" si="154"/>
        <v>22.703047492059362</v>
      </c>
      <c r="BR174" s="59"/>
      <c r="BS174" s="59"/>
      <c r="BT174" s="59">
        <v>4365.1580000000004</v>
      </c>
      <c r="BU174" s="59">
        <v>3.07782</v>
      </c>
      <c r="BV174" s="59">
        <v>-242.172</v>
      </c>
      <c r="BW174" s="61"/>
      <c r="BY174" s="59"/>
      <c r="BZ174" s="59"/>
      <c r="CA174" s="59"/>
      <c r="CC174" s="59"/>
    </row>
    <row r="175" spans="1:81" x14ac:dyDescent="0.2">
      <c r="A175">
        <f t="shared" si="158"/>
        <v>70500</v>
      </c>
      <c r="B175">
        <f t="shared" si="138"/>
        <v>70.5</v>
      </c>
      <c r="C175">
        <f t="shared" si="107"/>
        <v>1.0001446568527534</v>
      </c>
      <c r="D175">
        <f t="shared" si="108"/>
        <v>1.7008199017040961E-2</v>
      </c>
      <c r="F175">
        <f t="shared" si="109"/>
        <v>1.7979945474458137E-2</v>
      </c>
      <c r="G175">
        <f t="shared" si="110"/>
        <v>5.0963401872454885E-2</v>
      </c>
      <c r="H175">
        <f t="shared" si="111"/>
        <v>-3.0906292481275455</v>
      </c>
      <c r="J175">
        <f t="shared" si="112"/>
        <v>15</v>
      </c>
      <c r="M175">
        <f t="shared" si="113"/>
        <v>3.201061944683916E-3</v>
      </c>
      <c r="N175">
        <f t="shared" si="114"/>
        <v>-1.5707963250000001</v>
      </c>
      <c r="O175">
        <f t="shared" si="115"/>
        <v>66.173173235876263</v>
      </c>
      <c r="P175">
        <f t="shared" si="116"/>
        <v>1.5556838874721926</v>
      </c>
      <c r="Q175">
        <f t="shared" si="117"/>
        <v>9.896690691725718</v>
      </c>
      <c r="R175">
        <f t="shared" si="118"/>
        <v>1.469579713955389</v>
      </c>
      <c r="S175">
        <f t="shared" si="119"/>
        <v>0.96346154258120342</v>
      </c>
      <c r="T175">
        <f t="shared" si="120"/>
        <v>-0.27115737523686773</v>
      </c>
      <c r="U175">
        <f t="shared" si="121"/>
        <v>0.9567727058104859</v>
      </c>
      <c r="V175">
        <f t="shared" si="122"/>
        <v>-0.29510123004514272</v>
      </c>
      <c r="X175">
        <f t="shared" si="139"/>
        <v>-5.6589670633983342</v>
      </c>
      <c r="Y175">
        <f t="shared" si="123"/>
        <v>-125.21490589611864</v>
      </c>
      <c r="Z175">
        <f t="shared" si="140"/>
        <v>54.785094103881363</v>
      </c>
      <c r="AC175">
        <v>1</v>
      </c>
      <c r="AD175">
        <f t="shared" si="124"/>
        <v>66.165616872400491</v>
      </c>
      <c r="AE175">
        <f t="shared" si="125"/>
        <v>-5.2756242491728738E-3</v>
      </c>
      <c r="AF175">
        <f t="shared" si="126"/>
        <v>1.7355351603806999E-2</v>
      </c>
      <c r="AG175">
        <f t="shared" si="141"/>
        <v>3473.8949379038254</v>
      </c>
      <c r="AH175">
        <f t="shared" si="142"/>
        <v>-1113.6025829200044</v>
      </c>
      <c r="AJ175">
        <f t="shared" si="127"/>
        <v>18000</v>
      </c>
      <c r="AK175">
        <f t="shared" si="128"/>
        <v>5004.0820826413201</v>
      </c>
      <c r="AL175">
        <v>1</v>
      </c>
      <c r="AM175">
        <f t="shared" si="129"/>
        <v>9.8460391349867411</v>
      </c>
      <c r="AN175">
        <f t="shared" si="143"/>
        <v>686.82158968626993</v>
      </c>
      <c r="AO175">
        <f t="shared" si="144"/>
        <v>-1758.3901681634991</v>
      </c>
      <c r="AQ175">
        <f t="shared" si="130"/>
        <v>0.50296750829896386</v>
      </c>
      <c r="AR175">
        <f t="shared" si="131"/>
        <v>-70.918418670153912</v>
      </c>
      <c r="AT175">
        <f t="shared" si="156"/>
        <v>-77227.67792667578</v>
      </c>
      <c r="AU175">
        <f t="shared" si="157"/>
        <v>-246923.24153875839</v>
      </c>
      <c r="AV175">
        <f t="shared" si="145"/>
        <v>-1.8739179164884234</v>
      </c>
      <c r="AW175">
        <f t="shared" si="146"/>
        <v>-120068.33936110038</v>
      </c>
      <c r="AX175">
        <f t="shared" si="147"/>
        <v>-54517.153359250064</v>
      </c>
      <c r="AY175">
        <f t="shared" si="155"/>
        <v>-2.7153749981886248</v>
      </c>
      <c r="BA175">
        <f t="shared" si="132"/>
        <v>1.9619859872923457</v>
      </c>
      <c r="BB175">
        <f t="shared" si="148"/>
        <v>5.8539180255743863</v>
      </c>
      <c r="BC175">
        <f t="shared" si="149"/>
        <v>0.84145708170020139</v>
      </c>
      <c r="BD175">
        <f t="shared" si="133"/>
        <v>-131.78806052209339</v>
      </c>
      <c r="BF175">
        <f t="shared" si="134"/>
        <v>-5.5272330033554082</v>
      </c>
      <c r="BG175">
        <f t="shared" si="135"/>
        <v>-127.89357465992752</v>
      </c>
      <c r="BH175">
        <f t="shared" si="150"/>
        <v>52.106425340072477</v>
      </c>
      <c r="BI175">
        <f t="shared" si="151"/>
        <v>52.106425340072477</v>
      </c>
      <c r="BJ175">
        <f t="shared" si="136"/>
        <v>0</v>
      </c>
      <c r="BK175">
        <f t="shared" si="152"/>
        <v>0</v>
      </c>
      <c r="BM175">
        <f t="shared" si="153"/>
        <v>-11.381151028929795</v>
      </c>
      <c r="BN175">
        <f t="shared" si="137"/>
        <v>-176.10551413783415</v>
      </c>
      <c r="BQ175" s="56">
        <f t="shared" si="154"/>
        <v>22.755878825859522</v>
      </c>
      <c r="BR175" s="59"/>
      <c r="BS175" s="59"/>
      <c r="BT175" s="59">
        <v>4466.8360000000002</v>
      </c>
      <c r="BU175" s="59">
        <v>2.9233199999999999</v>
      </c>
      <c r="BV175" s="59">
        <v>-240.90300000000002</v>
      </c>
      <c r="BW175" s="61"/>
      <c r="BY175" s="59"/>
      <c r="BZ175" s="59"/>
      <c r="CA175" s="59"/>
      <c r="CC175" s="59"/>
    </row>
    <row r="176" spans="1:81" x14ac:dyDescent="0.2">
      <c r="A176">
        <f t="shared" si="158"/>
        <v>71000</v>
      </c>
      <c r="B176">
        <f t="shared" si="138"/>
        <v>71</v>
      </c>
      <c r="C176">
        <f t="shared" si="107"/>
        <v>1.0001467158481083</v>
      </c>
      <c r="D176">
        <f t="shared" si="108"/>
        <v>1.7128801032398867E-2</v>
      </c>
      <c r="F176">
        <f t="shared" si="109"/>
        <v>1.7723411248954449E-2</v>
      </c>
      <c r="G176">
        <f t="shared" si="110"/>
        <v>5.0592234044671773E-2</v>
      </c>
      <c r="H176">
        <f t="shared" si="111"/>
        <v>-3.0910004159553286</v>
      </c>
      <c r="J176">
        <f t="shared" si="112"/>
        <v>15</v>
      </c>
      <c r="M176">
        <f t="shared" si="113"/>
        <v>3.1785192549326209E-3</v>
      </c>
      <c r="N176">
        <f t="shared" si="114"/>
        <v>-1.5707963250000001</v>
      </c>
      <c r="O176">
        <f t="shared" si="115"/>
        <v>66.642379722191976</v>
      </c>
      <c r="P176">
        <f t="shared" si="116"/>
        <v>1.5557902970686253</v>
      </c>
      <c r="Q176">
        <f t="shared" si="117"/>
        <v>9.9661658619061892</v>
      </c>
      <c r="R176">
        <f t="shared" si="118"/>
        <v>1.4702876994721779</v>
      </c>
      <c r="S176">
        <f t="shared" si="119"/>
        <v>0.96296996425314718</v>
      </c>
      <c r="T176">
        <f t="shared" si="120"/>
        <v>-0.27298665518899451</v>
      </c>
      <c r="U176">
        <f t="shared" si="121"/>
        <v>0.95619722154234876</v>
      </c>
      <c r="V176">
        <f t="shared" si="122"/>
        <v>-0.29707355224564291</v>
      </c>
      <c r="X176">
        <f t="shared" si="139"/>
        <v>-5.732680799605947</v>
      </c>
      <c r="Y176">
        <f t="shared" si="123"/>
        <v>-125.40041661576257</v>
      </c>
      <c r="Z176">
        <f t="shared" si="140"/>
        <v>54.599583384237434</v>
      </c>
      <c r="AC176">
        <v>1</v>
      </c>
      <c r="AD176">
        <f t="shared" si="124"/>
        <v>66.634876566531005</v>
      </c>
      <c r="AE176">
        <f t="shared" si="125"/>
        <v>-5.3507211589116158E-3</v>
      </c>
      <c r="AF176">
        <f t="shared" si="126"/>
        <v>1.7478439203834E-2</v>
      </c>
      <c r="AG176">
        <f t="shared" si="141"/>
        <v>3469.7172044923132</v>
      </c>
      <c r="AH176">
        <f t="shared" si="142"/>
        <v>-1119.4071182983475</v>
      </c>
      <c r="AJ176">
        <f t="shared" si="127"/>
        <v>18000</v>
      </c>
      <c r="AK176">
        <f t="shared" si="128"/>
        <v>5039.57202648984</v>
      </c>
      <c r="AL176">
        <v>1</v>
      </c>
      <c r="AM176">
        <f t="shared" si="129"/>
        <v>9.9158691997738799</v>
      </c>
      <c r="AN176">
        <f t="shared" si="143"/>
        <v>684.34034957463393</v>
      </c>
      <c r="AO176">
        <f t="shared" si="144"/>
        <v>-1746.2573680197627</v>
      </c>
      <c r="AQ176">
        <f t="shared" si="130"/>
        <v>0.49590875278948676</v>
      </c>
      <c r="AR176">
        <f t="shared" si="131"/>
        <v>-70.419042896107115</v>
      </c>
      <c r="AT176">
        <f t="shared" si="156"/>
        <v>-77106.914750246986</v>
      </c>
      <c r="AU176">
        <f t="shared" si="157"/>
        <v>-244889.28844840406</v>
      </c>
      <c r="AV176">
        <f t="shared" si="145"/>
        <v>-1.8758337716584985</v>
      </c>
      <c r="AW176">
        <f t="shared" si="146"/>
        <v>-118351.01912507346</v>
      </c>
      <c r="AX176">
        <f t="shared" si="147"/>
        <v>-53960.284369152527</v>
      </c>
      <c r="AY176">
        <f t="shared" si="155"/>
        <v>-2.71381476622394</v>
      </c>
      <c r="BA176">
        <f t="shared" si="132"/>
        <v>1.973844908959302</v>
      </c>
      <c r="BB176">
        <f t="shared" si="148"/>
        <v>5.9062605165279809</v>
      </c>
      <c r="BC176">
        <f t="shared" si="149"/>
        <v>0.83798099456544151</v>
      </c>
      <c r="BD176">
        <f t="shared" si="133"/>
        <v>-131.98722564436244</v>
      </c>
      <c r="BF176">
        <f t="shared" si="134"/>
        <v>-5.5996937413056935</v>
      </c>
      <c r="BG176">
        <f t="shared" si="135"/>
        <v>-128.10709614575521</v>
      </c>
      <c r="BH176">
        <f t="shared" si="150"/>
        <v>51.892903854244793</v>
      </c>
      <c r="BI176">
        <f t="shared" si="151"/>
        <v>51.892903854244793</v>
      </c>
      <c r="BJ176">
        <f t="shared" si="136"/>
        <v>0</v>
      </c>
      <c r="BK176">
        <f t="shared" si="152"/>
        <v>0</v>
      </c>
      <c r="BM176">
        <f t="shared" si="153"/>
        <v>-11.505954257833672</v>
      </c>
      <c r="BN176">
        <f t="shared" si="137"/>
        <v>-176.1198705013928</v>
      </c>
      <c r="BQ176" s="56">
        <f t="shared" si="154"/>
        <v>22.808221316813118</v>
      </c>
      <c r="BR176" s="59"/>
      <c r="BS176" s="59"/>
      <c r="BT176" s="59">
        <v>4570.8819999999996</v>
      </c>
      <c r="BU176" s="59">
        <v>2.7266900000000001</v>
      </c>
      <c r="BV176" s="59">
        <v>-241.25200000000001</v>
      </c>
      <c r="BW176" s="61"/>
      <c r="BY176" s="59"/>
      <c r="BZ176" s="59"/>
      <c r="CA176" s="59"/>
      <c r="CC176" s="59"/>
    </row>
    <row r="177" spans="1:81" x14ac:dyDescent="0.2">
      <c r="A177">
        <f t="shared" si="158"/>
        <v>71500</v>
      </c>
      <c r="B177">
        <f t="shared" si="138"/>
        <v>71.5</v>
      </c>
      <c r="C177">
        <f t="shared" si="107"/>
        <v>1.0001487893903831</v>
      </c>
      <c r="D177">
        <f t="shared" si="108"/>
        <v>1.7249402549438551E-2</v>
      </c>
      <c r="F177">
        <f t="shared" si="109"/>
        <v>1.7472357252051901E-2</v>
      </c>
      <c r="G177">
        <f t="shared" si="110"/>
        <v>5.0226517535580495E-2</v>
      </c>
      <c r="H177">
        <f t="shared" si="111"/>
        <v>-3.0913661324644197</v>
      </c>
      <c r="J177">
        <f t="shared" si="112"/>
        <v>15</v>
      </c>
      <c r="M177">
        <f t="shared" si="113"/>
        <v>3.1562918475554701E-3</v>
      </c>
      <c r="N177">
        <f t="shared" si="114"/>
        <v>-1.5707963250000001</v>
      </c>
      <c r="O177">
        <f t="shared" si="115"/>
        <v>67.111586952548109</v>
      </c>
      <c r="P177">
        <f t="shared" si="116"/>
        <v>1.5558952187517217</v>
      </c>
      <c r="Q177">
        <f t="shared" si="117"/>
        <v>10.03564595839523</v>
      </c>
      <c r="R177">
        <f t="shared" si="118"/>
        <v>1.4709858820990691</v>
      </c>
      <c r="S177">
        <f t="shared" si="119"/>
        <v>0.96247567152956304</v>
      </c>
      <c r="T177">
        <f t="shared" si="120"/>
        <v>-0.27481406331118419</v>
      </c>
      <c r="U177">
        <f t="shared" si="121"/>
        <v>0.95561871844851587</v>
      </c>
      <c r="V177">
        <f t="shared" si="122"/>
        <v>-0.29904349557619292</v>
      </c>
      <c r="X177">
        <f t="shared" si="139"/>
        <v>-5.8059644779545945</v>
      </c>
      <c r="Y177">
        <f t="shared" si="123"/>
        <v>-125.58601839461333</v>
      </c>
      <c r="Z177">
        <f t="shared" si="140"/>
        <v>54.413981605386667</v>
      </c>
      <c r="AC177">
        <v>1</v>
      </c>
      <c r="AD177">
        <f t="shared" si="124"/>
        <v>67.104136260661505</v>
      </c>
      <c r="AE177">
        <f t="shared" si="125"/>
        <v>-5.4263487888605256E-3</v>
      </c>
      <c r="AF177">
        <f t="shared" si="126"/>
        <v>1.7601526803860998E-2</v>
      </c>
      <c r="AG177">
        <f t="shared" si="141"/>
        <v>3465.5200892997418</v>
      </c>
      <c r="AH177">
        <f t="shared" si="142"/>
        <v>-1125.1933403299481</v>
      </c>
      <c r="AJ177">
        <f t="shared" si="127"/>
        <v>18000</v>
      </c>
      <c r="AK177">
        <f t="shared" si="128"/>
        <v>5075.06197033836</v>
      </c>
      <c r="AL177">
        <v>1</v>
      </c>
      <c r="AM177">
        <f t="shared" si="129"/>
        <v>9.9856992645610205</v>
      </c>
      <c r="AN177">
        <f t="shared" si="143"/>
        <v>681.91029208152349</v>
      </c>
      <c r="AO177">
        <f t="shared" si="144"/>
        <v>-1734.2891317966998</v>
      </c>
      <c r="AQ177">
        <f t="shared" si="130"/>
        <v>0.48899755501222492</v>
      </c>
      <c r="AR177">
        <f t="shared" si="131"/>
        <v>-69.926650366748163</v>
      </c>
      <c r="AT177">
        <f t="shared" si="156"/>
        <v>-76986.370453732437</v>
      </c>
      <c r="AU177">
        <f t="shared" si="157"/>
        <v>-242882.4284157423</v>
      </c>
      <c r="AV177">
        <f t="shared" si="145"/>
        <v>-1.877748037408931</v>
      </c>
      <c r="AW177">
        <f t="shared" si="146"/>
        <v>-116669.18982993285</v>
      </c>
      <c r="AX177">
        <f t="shared" si="147"/>
        <v>-53415.083429858227</v>
      </c>
      <c r="AY177">
        <f t="shared" si="155"/>
        <v>-2.7122433733121896</v>
      </c>
      <c r="BA177">
        <f t="shared" si="132"/>
        <v>1.9856650549797865</v>
      </c>
      <c r="BB177">
        <f t="shared" si="148"/>
        <v>5.9581198575886551</v>
      </c>
      <c r="BC177">
        <f t="shared" si="149"/>
        <v>0.83449533590325853</v>
      </c>
      <c r="BD177">
        <f t="shared" si="133"/>
        <v>-132.18693917475696</v>
      </c>
      <c r="BF177">
        <f t="shared" si="134"/>
        <v>-5.6717326691187235</v>
      </c>
      <c r="BG177">
        <f t="shared" si="135"/>
        <v>-128.32085373070566</v>
      </c>
      <c r="BH177">
        <f t="shared" si="150"/>
        <v>51.679146269294336</v>
      </c>
      <c r="BI177">
        <f t="shared" si="151"/>
        <v>51.679146269294336</v>
      </c>
      <c r="BJ177">
        <f t="shared" si="136"/>
        <v>0</v>
      </c>
      <c r="BK177">
        <f t="shared" si="152"/>
        <v>0</v>
      </c>
      <c r="BM177">
        <f t="shared" si="153"/>
        <v>-11.629852526707376</v>
      </c>
      <c r="BN177">
        <f t="shared" si="137"/>
        <v>-176.13391455594873</v>
      </c>
      <c r="BQ177" s="56">
        <f t="shared" si="154"/>
        <v>22.860080657873787</v>
      </c>
      <c r="BR177" s="59"/>
      <c r="BS177" s="59"/>
      <c r="BT177" s="59">
        <v>4677.3509999999997</v>
      </c>
      <c r="BU177" s="59">
        <v>2.54392</v>
      </c>
      <c r="BV177" s="59">
        <v>-240.63800000000001</v>
      </c>
      <c r="BW177" s="61"/>
      <c r="BY177" s="59"/>
      <c r="BZ177" s="59"/>
      <c r="CA177" s="59"/>
      <c r="CC177" s="59"/>
    </row>
    <row r="178" spans="1:81" x14ac:dyDescent="0.2">
      <c r="A178">
        <f t="shared" si="158"/>
        <v>72000</v>
      </c>
      <c r="B178">
        <f t="shared" si="138"/>
        <v>72</v>
      </c>
      <c r="C178">
        <f t="shared" si="107"/>
        <v>1.0001508774794874</v>
      </c>
      <c r="D178">
        <f t="shared" si="108"/>
        <v>1.7370003564654887E-2</v>
      </c>
      <c r="F178">
        <f t="shared" si="109"/>
        <v>1.7226627699222449E-2</v>
      </c>
      <c r="G178">
        <f t="shared" si="110"/>
        <v>4.9866131436616085E-2</v>
      </c>
      <c r="H178">
        <f t="shared" si="111"/>
        <v>-3.0917265185633842</v>
      </c>
      <c r="J178">
        <f t="shared" si="112"/>
        <v>15</v>
      </c>
      <c r="M178">
        <f t="shared" si="113"/>
        <v>3.1343731541696677E-3</v>
      </c>
      <c r="N178">
        <f t="shared" si="114"/>
        <v>-1.5707963250000001</v>
      </c>
      <c r="O178">
        <f t="shared" si="115"/>
        <v>67.580794911447299</v>
      </c>
      <c r="P178">
        <f t="shared" si="116"/>
        <v>1.5559986835105311</v>
      </c>
      <c r="Q178">
        <f t="shared" si="117"/>
        <v>10.105130879577022</v>
      </c>
      <c r="R178">
        <f t="shared" si="118"/>
        <v>1.4716744633682264</v>
      </c>
      <c r="S178">
        <f t="shared" si="119"/>
        <v>0.961978678484401</v>
      </c>
      <c r="T178">
        <f t="shared" si="120"/>
        <v>-0.27663959028884622</v>
      </c>
      <c r="U178">
        <f t="shared" si="121"/>
        <v>0.95503721546242171</v>
      </c>
      <c r="V178">
        <f t="shared" si="122"/>
        <v>-0.30101104907634002</v>
      </c>
      <c r="X178">
        <f t="shared" si="139"/>
        <v>-5.8788254714757873</v>
      </c>
      <c r="Y178">
        <f t="shared" si="123"/>
        <v>-125.77170367626384</v>
      </c>
      <c r="Z178">
        <f t="shared" si="140"/>
        <v>54.22829632373616</v>
      </c>
      <c r="AC178">
        <v>1</v>
      </c>
      <c r="AD178">
        <f t="shared" si="124"/>
        <v>67.573395954791991</v>
      </c>
      <c r="AE178">
        <f t="shared" si="125"/>
        <v>-5.5025071390196025E-3</v>
      </c>
      <c r="AF178">
        <f t="shared" si="126"/>
        <v>1.7724614403888003E-2</v>
      </c>
      <c r="AG178">
        <f t="shared" si="141"/>
        <v>3461.3037693298788</v>
      </c>
      <c r="AH178">
        <f t="shared" si="142"/>
        <v>-1130.9610603803003</v>
      </c>
      <c r="AJ178">
        <f t="shared" si="127"/>
        <v>18000</v>
      </c>
      <c r="AK178">
        <f t="shared" si="128"/>
        <v>5110.5519141868799</v>
      </c>
      <c r="AL178">
        <v>1</v>
      </c>
      <c r="AM178">
        <f t="shared" si="129"/>
        <v>10.055529329348161</v>
      </c>
      <c r="AN178">
        <f t="shared" si="143"/>
        <v>679.53002373538538</v>
      </c>
      <c r="AO178">
        <f t="shared" si="144"/>
        <v>-1722.48216965694</v>
      </c>
      <c r="AQ178">
        <f t="shared" si="130"/>
        <v>0.48222983073732939</v>
      </c>
      <c r="AR178">
        <f t="shared" si="131"/>
        <v>-69.441095626175439</v>
      </c>
      <c r="AT178">
        <f t="shared" si="156"/>
        <v>-76866.03121253477</v>
      </c>
      <c r="AU178">
        <f t="shared" si="157"/>
        <v>-240902.10919799531</v>
      </c>
      <c r="AV178">
        <f t="shared" si="145"/>
        <v>-1.8796606863405867</v>
      </c>
      <c r="AW178">
        <f t="shared" si="146"/>
        <v>-115021.88685521948</v>
      </c>
      <c r="AX178">
        <f t="shared" si="147"/>
        <v>-52881.203686541572</v>
      </c>
      <c r="AY178">
        <f t="shared" si="155"/>
        <v>-2.7106610520029553</v>
      </c>
      <c r="BA178">
        <f t="shared" si="132"/>
        <v>1.9974461573006845</v>
      </c>
      <c r="BB178">
        <f t="shared" si="148"/>
        <v>6.0095016280323499</v>
      </c>
      <c r="BC178">
        <f t="shared" si="149"/>
        <v>0.83100036566236857</v>
      </c>
      <c r="BD178">
        <f t="shared" si="133"/>
        <v>-132.38718621931258</v>
      </c>
      <c r="BF178">
        <f t="shared" si="134"/>
        <v>-5.7433574270936782</v>
      </c>
      <c r="BG178">
        <f t="shared" si="135"/>
        <v>-128.53483944856595</v>
      </c>
      <c r="BH178">
        <f t="shared" si="150"/>
        <v>51.465160551434053</v>
      </c>
      <c r="BI178">
        <f t="shared" si="151"/>
        <v>51.465160551434053</v>
      </c>
      <c r="BJ178">
        <f t="shared" si="136"/>
        <v>0</v>
      </c>
      <c r="BK178">
        <f t="shared" si="152"/>
        <v>0</v>
      </c>
      <c r="BM178">
        <f t="shared" si="153"/>
        <v>-11.752859055126031</v>
      </c>
      <c r="BN178">
        <f t="shared" si="137"/>
        <v>-176.14765322925339</v>
      </c>
      <c r="BQ178" s="56">
        <f t="shared" si="154"/>
        <v>22.911462428317488</v>
      </c>
      <c r="BR178" s="59"/>
      <c r="BS178" s="59"/>
      <c r="BT178" s="59">
        <v>4786.3010000000004</v>
      </c>
      <c r="BU178" s="59">
        <v>2.5307499999999998</v>
      </c>
      <c r="BV178" s="59">
        <v>-240.03100000000001</v>
      </c>
      <c r="BW178" s="61"/>
      <c r="BY178" s="59"/>
      <c r="BZ178" s="59"/>
      <c r="CA178" s="59"/>
      <c r="CC178" s="59"/>
    </row>
    <row r="179" spans="1:81" x14ac:dyDescent="0.2">
      <c r="A179">
        <f t="shared" si="158"/>
        <v>72500</v>
      </c>
      <c r="B179">
        <f t="shared" si="138"/>
        <v>72.5</v>
      </c>
      <c r="C179">
        <f t="shared" si="107"/>
        <v>1.0001529801153304</v>
      </c>
      <c r="D179">
        <f t="shared" si="108"/>
        <v>1.7490604074542841E-2</v>
      </c>
      <c r="F179">
        <f t="shared" si="109"/>
        <v>1.6986072329393215E-2</v>
      </c>
      <c r="G179">
        <f t="shared" si="110"/>
        <v>4.9510958432863093E-2</v>
      </c>
      <c r="H179">
        <f t="shared" si="111"/>
        <v>-3.0920816915671372</v>
      </c>
      <c r="J179">
        <f t="shared" si="112"/>
        <v>15</v>
      </c>
      <c r="M179">
        <f t="shared" si="113"/>
        <v>3.1127567875891874E-3</v>
      </c>
      <c r="N179">
        <f t="shared" si="114"/>
        <v>-1.5707963250000001</v>
      </c>
      <c r="O179">
        <f t="shared" si="115"/>
        <v>68.050003583819489</v>
      </c>
      <c r="P179">
        <f t="shared" si="116"/>
        <v>1.5561007214795437</v>
      </c>
      <c r="Q179">
        <f t="shared" si="117"/>
        <v>10.174620526604617</v>
      </c>
      <c r="R179">
        <f t="shared" si="118"/>
        <v>1.4723536393431889</v>
      </c>
      <c r="S179">
        <f t="shared" si="119"/>
        <v>0.96147899922832891</v>
      </c>
      <c r="T179">
        <f t="shared" si="120"/>
        <v>-0.27846322687670866</v>
      </c>
      <c r="U179">
        <f t="shared" si="121"/>
        <v>0.95445273155158095</v>
      </c>
      <c r="V179">
        <f t="shared" si="122"/>
        <v>-0.30297620188622143</v>
      </c>
      <c r="X179">
        <f t="shared" si="139"/>
        <v>-5.9512709733486835</v>
      </c>
      <c r="Y179">
        <f t="shared" si="123"/>
        <v>-125.95746507043252</v>
      </c>
      <c r="Z179">
        <f t="shared" si="140"/>
        <v>54.042534929567481</v>
      </c>
      <c r="AC179">
        <v>1</v>
      </c>
      <c r="AD179">
        <f t="shared" si="124"/>
        <v>68.042655648922505</v>
      </c>
      <c r="AE179">
        <f t="shared" si="125"/>
        <v>-5.5791962093888472E-3</v>
      </c>
      <c r="AF179">
        <f t="shared" si="126"/>
        <v>1.7847702003915E-2</v>
      </c>
      <c r="AG179">
        <f t="shared" si="141"/>
        <v>3457.0684217049034</v>
      </c>
      <c r="AH179">
        <f t="shared" si="142"/>
        <v>-1136.71009463984</v>
      </c>
      <c r="AJ179">
        <f t="shared" si="127"/>
        <v>18000</v>
      </c>
      <c r="AK179">
        <f t="shared" si="128"/>
        <v>5146.0418580353999</v>
      </c>
      <c r="AL179">
        <v>1</v>
      </c>
      <c r="AM179">
        <f t="shared" si="129"/>
        <v>10.125359394135302</v>
      </c>
      <c r="AN179">
        <f t="shared" si="143"/>
        <v>677.1981980104091</v>
      </c>
      <c r="AO179">
        <f t="shared" si="144"/>
        <v>-1710.8332778807942</v>
      </c>
      <c r="AQ179">
        <f t="shared" si="130"/>
        <v>0.47560163606962808</v>
      </c>
      <c r="AR179">
        <f t="shared" si="131"/>
        <v>-68.962237230096065</v>
      </c>
      <c r="AT179">
        <f t="shared" si="156"/>
        <v>-76745.8838110301</v>
      </c>
      <c r="AU179">
        <f t="shared" si="157"/>
        <v>-238947.7937990349</v>
      </c>
      <c r="AV179">
        <f t="shared" si="145"/>
        <v>-1.8815716916081222</v>
      </c>
      <c r="AW179">
        <f t="shared" si="146"/>
        <v>-113408.17801945025</v>
      </c>
      <c r="AX179">
        <f t="shared" si="147"/>
        <v>-52358.311305143136</v>
      </c>
      <c r="AY179">
        <f t="shared" si="155"/>
        <v>-2.709068029280493</v>
      </c>
      <c r="BA179">
        <f t="shared" si="132"/>
        <v>2.0091879499478309</v>
      </c>
      <c r="BB179">
        <f t="shared" si="148"/>
        <v>6.0604112965105683</v>
      </c>
      <c r="BC179">
        <f t="shared" si="149"/>
        <v>0.82749633767237074</v>
      </c>
      <c r="BD179">
        <f t="shared" si="133"/>
        <v>-132.58795223466456</v>
      </c>
      <c r="BF179">
        <f t="shared" si="134"/>
        <v>-5.8145754746534362</v>
      </c>
      <c r="BG179">
        <f t="shared" si="135"/>
        <v>-128.74904547782162</v>
      </c>
      <c r="BH179">
        <f t="shared" si="150"/>
        <v>51.250954522178375</v>
      </c>
      <c r="BI179">
        <f t="shared" si="151"/>
        <v>51.250954522178375</v>
      </c>
      <c r="BJ179">
        <f t="shared" si="136"/>
        <v>0</v>
      </c>
      <c r="BK179">
        <f t="shared" si="152"/>
        <v>0</v>
      </c>
      <c r="BM179">
        <f t="shared" si="153"/>
        <v>-11.874986771164002</v>
      </c>
      <c r="BN179">
        <f t="shared" si="137"/>
        <v>-176.1610932431571</v>
      </c>
      <c r="BQ179" s="56">
        <f t="shared" si="154"/>
        <v>22.962372096795704</v>
      </c>
      <c r="BR179" s="59"/>
      <c r="BS179" s="59"/>
      <c r="BT179" s="59">
        <v>4897.7879999999996</v>
      </c>
      <c r="BU179" s="59">
        <v>2.1795599999999999</v>
      </c>
      <c r="BV179" s="59">
        <v>-239.48099999999999</v>
      </c>
      <c r="BW179" s="61"/>
      <c r="BY179" s="59"/>
      <c r="BZ179" s="59"/>
      <c r="CA179" s="59"/>
      <c r="CC179" s="59"/>
    </row>
    <row r="180" spans="1:81" x14ac:dyDescent="0.2">
      <c r="A180">
        <f t="shared" si="158"/>
        <v>73000</v>
      </c>
      <c r="B180">
        <f t="shared" si="138"/>
        <v>73</v>
      </c>
      <c r="C180">
        <f t="shared" si="107"/>
        <v>1.0001550972978199</v>
      </c>
      <c r="D180">
        <f t="shared" si="108"/>
        <v>1.7611204075597468E-2</v>
      </c>
      <c r="F180">
        <f t="shared" si="109"/>
        <v>1.6750546170503006E-2</v>
      </c>
      <c r="G180">
        <f t="shared" si="110"/>
        <v>4.9160884669108222E-2</v>
      </c>
      <c r="H180">
        <f t="shared" si="111"/>
        <v>-3.0924317653308919</v>
      </c>
      <c r="J180">
        <f t="shared" si="112"/>
        <v>15</v>
      </c>
      <c r="M180">
        <f t="shared" si="113"/>
        <v>3.0914365356193986E-3</v>
      </c>
      <c r="N180">
        <f t="shared" si="114"/>
        <v>-1.5707963250000001</v>
      </c>
      <c r="O180">
        <f t="shared" si="115"/>
        <v>68.519212955007461</v>
      </c>
      <c r="P180">
        <f t="shared" si="116"/>
        <v>1.5562013619679458</v>
      </c>
      <c r="Q180">
        <f t="shared" si="117"/>
        <v>10.244114803306495</v>
      </c>
      <c r="R180">
        <f t="shared" si="118"/>
        <v>1.4730236008025062</v>
      </c>
      <c r="S180">
        <f t="shared" si="119"/>
        <v>0.96097664790775417</v>
      </c>
      <c r="T180">
        <f t="shared" si="120"/>
        <v>-0.28028496389893082</v>
      </c>
      <c r="U180">
        <f t="shared" si="121"/>
        <v>0.95386528571611828</v>
      </c>
      <c r="V180">
        <f t="shared" si="122"/>
        <v>-0.3049389432466264</v>
      </c>
      <c r="X180">
        <f t="shared" si="139"/>
        <v>-6.0233080025949945</v>
      </c>
      <c r="Y180">
        <f t="shared" si="123"/>
        <v>-126.14329534845068</v>
      </c>
      <c r="Z180">
        <f t="shared" si="140"/>
        <v>53.856704651549322</v>
      </c>
      <c r="AC180">
        <v>1</v>
      </c>
      <c r="AD180">
        <f t="shared" si="124"/>
        <v>68.511915343053005</v>
      </c>
      <c r="AE180">
        <f t="shared" si="125"/>
        <v>-5.6564159999682607E-3</v>
      </c>
      <c r="AF180">
        <f t="shared" si="126"/>
        <v>1.7970789603941998E-2</v>
      </c>
      <c r="AG180">
        <f t="shared" si="141"/>
        <v>3452.8142236496906</v>
      </c>
      <c r="AH180">
        <f t="shared" si="142"/>
        <v>-1142.4402640085777</v>
      </c>
      <c r="AJ180">
        <f t="shared" si="127"/>
        <v>18000</v>
      </c>
      <c r="AK180">
        <f t="shared" si="128"/>
        <v>5181.5318018839198</v>
      </c>
      <c r="AL180">
        <v>1</v>
      </c>
      <c r="AM180">
        <f t="shared" si="129"/>
        <v>10.195189458922441</v>
      </c>
      <c r="AN180">
        <f t="shared" si="143"/>
        <v>674.91351344759573</v>
      </c>
      <c r="AO180">
        <f t="shared" si="144"/>
        <v>-1699.3393361013168</v>
      </c>
      <c r="AQ180">
        <f t="shared" si="130"/>
        <v>0.46910916170192801</v>
      </c>
      <c r="AR180">
        <f t="shared" si="131"/>
        <v>-68.489937608481497</v>
      </c>
      <c r="AT180">
        <f t="shared" si="156"/>
        <v>-76625.915617395818</v>
      </c>
      <c r="AU180">
        <f t="shared" si="157"/>
        <v>-237018.95994598838</v>
      </c>
      <c r="AV180">
        <f t="shared" si="145"/>
        <v>-1.8834810269045388</v>
      </c>
      <c r="AW180">
        <f t="shared" si="146"/>
        <v>-111827.16228431981</v>
      </c>
      <c r="AX180">
        <f t="shared" si="147"/>
        <v>-51846.084889275662</v>
      </c>
      <c r="AY180">
        <f t="shared" si="155"/>
        <v>-2.7074645267589008</v>
      </c>
      <c r="BA180">
        <f t="shared" si="132"/>
        <v>2.0208901690340051</v>
      </c>
      <c r="BB180">
        <f t="shared" si="148"/>
        <v>6.1108542240060508</v>
      </c>
      <c r="BC180">
        <f t="shared" si="149"/>
        <v>0.82398349985436203</v>
      </c>
      <c r="BD180">
        <f t="shared" si="133"/>
        <v>-132.78922301598038</v>
      </c>
      <c r="BF180">
        <f t="shared" si="134"/>
        <v>-5.8853940959976372</v>
      </c>
      <c r="BG180">
        <f t="shared" si="135"/>
        <v>-128.9634641372642</v>
      </c>
      <c r="BH180">
        <f t="shared" si="150"/>
        <v>51.036535862735803</v>
      </c>
      <c r="BI180">
        <f t="shared" si="151"/>
        <v>51.036535862735803</v>
      </c>
      <c r="BJ180">
        <f t="shared" si="136"/>
        <v>0</v>
      </c>
      <c r="BK180">
        <f t="shared" si="152"/>
        <v>0</v>
      </c>
      <c r="BM180">
        <f t="shared" si="153"/>
        <v>-11.996248320003687</v>
      </c>
      <c r="BN180">
        <f t="shared" si="137"/>
        <v>-176.17424112128381</v>
      </c>
      <c r="BQ180" s="56">
        <f t="shared" si="154"/>
        <v>23.012815024291186</v>
      </c>
      <c r="BR180" s="59"/>
      <c r="BS180" s="59"/>
      <c r="BT180" s="59">
        <v>5011.8720000000003</v>
      </c>
      <c r="BU180" s="59">
        <v>2.08934</v>
      </c>
      <c r="BV180" s="59">
        <v>-238.50700000000001</v>
      </c>
      <c r="BW180" s="61"/>
      <c r="BY180" s="59"/>
      <c r="BZ180" s="59"/>
      <c r="CA180" s="59"/>
      <c r="CC180" s="59"/>
    </row>
    <row r="181" spans="1:81" x14ac:dyDescent="0.2">
      <c r="A181">
        <f t="shared" si="158"/>
        <v>73500</v>
      </c>
      <c r="B181">
        <f t="shared" si="138"/>
        <v>73.5</v>
      </c>
      <c r="C181">
        <f t="shared" si="107"/>
        <v>1.0001572290268639</v>
      </c>
      <c r="D181">
        <f t="shared" si="108"/>
        <v>1.7731803564313912E-2</v>
      </c>
      <c r="F181">
        <f t="shared" si="109"/>
        <v>1.6519909316637958E-2</v>
      </c>
      <c r="G181">
        <f t="shared" si="110"/>
        <v>4.8815799621893287E-2</v>
      </c>
      <c r="H181">
        <f t="shared" si="111"/>
        <v>-3.0927768503781068</v>
      </c>
      <c r="J181">
        <f t="shared" si="112"/>
        <v>15</v>
      </c>
      <c r="M181">
        <f t="shared" si="113"/>
        <v>3.0704063551049809E-3</v>
      </c>
      <c r="N181">
        <f t="shared" si="114"/>
        <v>-1.5707963250000001</v>
      </c>
      <c r="O181">
        <f t="shared" si="115"/>
        <v>68.988423010752669</v>
      </c>
      <c r="P181">
        <f t="shared" si="116"/>
        <v>1.5563006334876768</v>
      </c>
      <c r="Q181">
        <f t="shared" si="117"/>
        <v>10.313613616096877</v>
      </c>
      <c r="R181">
        <f t="shared" si="118"/>
        <v>1.4736845334160487</v>
      </c>
      <c r="S181">
        <f t="shared" si="119"/>
        <v>0.96047163870384211</v>
      </c>
      <c r="T181">
        <f t="shared" si="120"/>
        <v>-0.28210479224921059</v>
      </c>
      <c r="U181">
        <f t="shared" si="121"/>
        <v>0.95327489698730483</v>
      </c>
      <c r="V181">
        <f t="shared" si="122"/>
        <v>-0.30689926249905092</v>
      </c>
      <c r="X181">
        <f t="shared" si="139"/>
        <v>-6.0949434095486534</v>
      </c>
      <c r="Y181">
        <f t="shared" si="123"/>
        <v>-126.3291874388932</v>
      </c>
      <c r="Z181">
        <f t="shared" si="140"/>
        <v>53.6708125611068</v>
      </c>
      <c r="AC181">
        <v>1</v>
      </c>
      <c r="AD181">
        <f t="shared" si="124"/>
        <v>68.98117503718349</v>
      </c>
      <c r="AE181">
        <f t="shared" si="125"/>
        <v>-5.7341665107578403E-3</v>
      </c>
      <c r="AF181">
        <f t="shared" si="126"/>
        <v>1.8093877203968999E-2</v>
      </c>
      <c r="AG181">
        <f t="shared" si="141"/>
        <v>3448.541352476228</v>
      </c>
      <c r="AH181">
        <f t="shared" si="142"/>
        <v>-1148.1513939851279</v>
      </c>
      <c r="AJ181">
        <f t="shared" si="127"/>
        <v>18000</v>
      </c>
      <c r="AK181">
        <f t="shared" si="128"/>
        <v>5217.0217457324406</v>
      </c>
      <c r="AL181">
        <v>1</v>
      </c>
      <c r="AM181">
        <f t="shared" si="129"/>
        <v>10.265019523709581</v>
      </c>
      <c r="AN181">
        <f t="shared" si="143"/>
        <v>672.67471186268676</v>
      </c>
      <c r="AO181">
        <f t="shared" si="144"/>
        <v>-1687.9973046437567</v>
      </c>
      <c r="AQ181">
        <f t="shared" si="130"/>
        <v>0.46274872744099954</v>
      </c>
      <c r="AR181">
        <f t="shared" si="131"/>
        <v>-68.024062933826926</v>
      </c>
      <c r="AT181">
        <f t="shared" si="156"/>
        <v>-76506.114559619426</v>
      </c>
      <c r="AU181">
        <f t="shared" si="157"/>
        <v>-235115.09958722378</v>
      </c>
      <c r="AV181">
        <f t="shared" si="145"/>
        <v>-1.8853886664463584</v>
      </c>
      <c r="AW181">
        <f t="shared" si="146"/>
        <v>-110277.96851867017</v>
      </c>
      <c r="AX181">
        <f t="shared" si="147"/>
        <v>-51344.214927229114</v>
      </c>
      <c r="AY181">
        <f t="shared" si="155"/>
        <v>-2.7058507608693354</v>
      </c>
      <c r="BA181">
        <f t="shared" si="132"/>
        <v>2.032552552767775</v>
      </c>
      <c r="BB181">
        <f t="shared" si="148"/>
        <v>6.1608356666947639</v>
      </c>
      <c r="BC181">
        <f t="shared" si="149"/>
        <v>0.82046209442297702</v>
      </c>
      <c r="BD181">
        <f t="shared" si="133"/>
        <v>-132.99098468538375</v>
      </c>
      <c r="BF181">
        <f t="shared" si="134"/>
        <v>-5.9558204055307726</v>
      </c>
      <c r="BG181">
        <f t="shared" si="135"/>
        <v>-129.17808788174585</v>
      </c>
      <c r="BH181">
        <f t="shared" si="150"/>
        <v>50.821912118254147</v>
      </c>
      <c r="BI181">
        <f t="shared" si="151"/>
        <v>50.821912118254147</v>
      </c>
      <c r="BJ181">
        <f t="shared" si="136"/>
        <v>0</v>
      </c>
      <c r="BK181">
        <f t="shared" si="152"/>
        <v>0</v>
      </c>
      <c r="BM181">
        <f t="shared" si="153"/>
        <v>-12.116656072225535</v>
      </c>
      <c r="BN181">
        <f t="shared" si="137"/>
        <v>-176.1871031963621</v>
      </c>
      <c r="BQ181" s="56">
        <f t="shared" si="154"/>
        <v>23.062796466979904</v>
      </c>
      <c r="BR181" s="59"/>
      <c r="BS181" s="59"/>
      <c r="BT181" s="59">
        <v>5128.6139999999996</v>
      </c>
      <c r="BU181" s="59">
        <v>1.7954699999999999</v>
      </c>
      <c r="BV181" s="59">
        <v>-237.881</v>
      </c>
      <c r="BW181" s="61"/>
      <c r="BY181" s="59"/>
      <c r="BZ181" s="59"/>
      <c r="CA181" s="59"/>
      <c r="CC181" s="59"/>
    </row>
    <row r="182" spans="1:81" x14ac:dyDescent="0.2">
      <c r="A182">
        <f t="shared" si="158"/>
        <v>74000</v>
      </c>
      <c r="B182">
        <f t="shared" si="138"/>
        <v>74</v>
      </c>
      <c r="C182">
        <f t="shared" si="107"/>
        <v>1.0001593753023692</v>
      </c>
      <c r="D182">
        <f t="shared" si="108"/>
        <v>1.7852402537187409E-2</v>
      </c>
      <c r="F182">
        <f t="shared" si="109"/>
        <v>1.6294026716094544E-2</v>
      </c>
      <c r="G182">
        <f t="shared" si="110"/>
        <v>4.8475595977255009E-2</v>
      </c>
      <c r="H182">
        <f t="shared" si="111"/>
        <v>-3.0931170540227453</v>
      </c>
      <c r="J182">
        <f t="shared" si="112"/>
        <v>15</v>
      </c>
      <c r="M182">
        <f t="shared" si="113"/>
        <v>3.0496603662191362E-3</v>
      </c>
      <c r="N182">
        <f t="shared" si="114"/>
        <v>-1.5707963250000001</v>
      </c>
      <c r="O182">
        <f t="shared" si="115"/>
        <v>69.457633737181879</v>
      </c>
      <c r="P182">
        <f t="shared" si="116"/>
        <v>1.5563985637803535</v>
      </c>
      <c r="Q182">
        <f t="shared" si="117"/>
        <v>10.383116873889596</v>
      </c>
      <c r="R182">
        <f t="shared" si="118"/>
        <v>1.4743366179143262</v>
      </c>
      <c r="S182">
        <f t="shared" si="119"/>
        <v>0.95996398583154219</v>
      </c>
      <c r="T182">
        <f t="shared" si="120"/>
        <v>-0.2839227028908855</v>
      </c>
      <c r="U182">
        <f t="shared" si="121"/>
        <v>0.95268158442610174</v>
      </c>
      <c r="V182">
        <f t="shared" si="122"/>
        <v>-0.30885714908574202</v>
      </c>
      <c r="X182">
        <f t="shared" si="139"/>
        <v>-6.1661838811110314</v>
      </c>
      <c r="Y182">
        <f t="shared" si="123"/>
        <v>-126.51513442334762</v>
      </c>
      <c r="Z182">
        <f t="shared" si="140"/>
        <v>53.484865576652382</v>
      </c>
      <c r="AC182">
        <v>1</v>
      </c>
      <c r="AD182">
        <f t="shared" si="124"/>
        <v>69.450434731314004</v>
      </c>
      <c r="AE182">
        <f t="shared" si="125"/>
        <v>-5.8124477417575886E-3</v>
      </c>
      <c r="AF182">
        <f t="shared" si="126"/>
        <v>1.8216964803996E-2</v>
      </c>
      <c r="AG182">
        <f t="shared" si="141"/>
        <v>3444.2499855681185</v>
      </c>
      <c r="AH182">
        <f t="shared" si="142"/>
        <v>-1153.8433145599129</v>
      </c>
      <c r="AJ182">
        <f t="shared" si="127"/>
        <v>18000</v>
      </c>
      <c r="AK182">
        <f t="shared" si="128"/>
        <v>5252.5116895809597</v>
      </c>
      <c r="AL182">
        <v>1</v>
      </c>
      <c r="AM182">
        <f t="shared" si="129"/>
        <v>10.33484958849672</v>
      </c>
      <c r="AN182">
        <f t="shared" si="143"/>
        <v>670.48057663641202</v>
      </c>
      <c r="AO182">
        <f t="shared" si="144"/>
        <v>-1676.8042219649076</v>
      </c>
      <c r="AQ182">
        <f t="shared" si="130"/>
        <v>0.45651677699155446</v>
      </c>
      <c r="AR182">
        <f t="shared" si="131"/>
        <v>-67.564482994750051</v>
      </c>
      <c r="AT182">
        <f t="shared" si="156"/>
        <v>-76386.469102624498</v>
      </c>
      <c r="AU182">
        <f t="shared" si="157"/>
        <v>-233235.7184107014</v>
      </c>
      <c r="AV182">
        <f t="shared" si="145"/>
        <v>-1.8872945849593963</v>
      </c>
      <c r="AW182">
        <f t="shared" si="146"/>
        <v>-108759.75431911112</v>
      </c>
      <c r="AX182">
        <f t="shared" si="147"/>
        <v>-50852.403267324305</v>
      </c>
      <c r="AY182">
        <f t="shared" si="155"/>
        <v>-2.7042269430396471</v>
      </c>
      <c r="BA182">
        <f t="shared" si="132"/>
        <v>2.0441748414631031</v>
      </c>
      <c r="BB182">
        <f t="shared" si="148"/>
        <v>6.2103607787175008</v>
      </c>
      <c r="BC182">
        <f t="shared" si="149"/>
        <v>0.81693235808025078</v>
      </c>
      <c r="BD182">
        <f t="shared" si="133"/>
        <v>-133.19322368084698</v>
      </c>
      <c r="BF182">
        <f t="shared" si="134"/>
        <v>-6.0258613530761753</v>
      </c>
      <c r="BG182">
        <f t="shared" si="135"/>
        <v>-129.39290929807694</v>
      </c>
      <c r="BH182">
        <f t="shared" si="150"/>
        <v>50.607090701923056</v>
      </c>
      <c r="BI182">
        <f t="shared" si="151"/>
        <v>50.607090701923056</v>
      </c>
      <c r="BJ182">
        <f t="shared" si="136"/>
        <v>0</v>
      </c>
      <c r="BK182">
        <f t="shared" si="152"/>
        <v>0</v>
      </c>
      <c r="BM182">
        <f t="shared" si="153"/>
        <v>-12.236222131793674</v>
      </c>
      <c r="BN182">
        <f t="shared" si="137"/>
        <v>-176.19968561722996</v>
      </c>
      <c r="BQ182" s="56">
        <f t="shared" si="154"/>
        <v>23.112321579002636</v>
      </c>
      <c r="BR182" s="59"/>
      <c r="BS182" s="59"/>
      <c r="BT182" s="59">
        <v>5248.0749999999998</v>
      </c>
      <c r="BU182" s="59">
        <v>1.6024099999999999</v>
      </c>
      <c r="BV182" s="59">
        <v>-238.28</v>
      </c>
      <c r="BW182" s="61"/>
      <c r="BY182" s="59"/>
      <c r="BZ182" s="59"/>
      <c r="CA182" s="59"/>
      <c r="CC182" s="59"/>
    </row>
    <row r="183" spans="1:81" x14ac:dyDescent="0.2">
      <c r="A183">
        <f t="shared" si="158"/>
        <v>74500</v>
      </c>
      <c r="B183">
        <f t="shared" si="138"/>
        <v>74.5</v>
      </c>
      <c r="C183">
        <f t="shared" si="107"/>
        <v>1.000161536124242</v>
      </c>
      <c r="D183">
        <f t="shared" si="108"/>
        <v>1.7973000990713275E-2</v>
      </c>
      <c r="F183">
        <f t="shared" si="109"/>
        <v>1.607276796975932E-2</v>
      </c>
      <c r="G183">
        <f t="shared" si="110"/>
        <v>4.8140169513856607E-2</v>
      </c>
      <c r="H183">
        <f t="shared" si="111"/>
        <v>-3.0934524804861434</v>
      </c>
      <c r="J183">
        <f t="shared" si="112"/>
        <v>15</v>
      </c>
      <c r="M183">
        <f t="shared" si="113"/>
        <v>3.0291928469827665E-3</v>
      </c>
      <c r="N183">
        <f t="shared" si="114"/>
        <v>-1.5707963250000001</v>
      </c>
      <c r="O183">
        <f t="shared" si="115"/>
        <v>69.926845120794169</v>
      </c>
      <c r="P183">
        <f t="shared" si="116"/>
        <v>1.5564951798431086</v>
      </c>
      <c r="Q183">
        <f t="shared" si="117"/>
        <v>10.452624488015397</v>
      </c>
      <c r="R183">
        <f t="shared" si="118"/>
        <v>1.4749800302511415</v>
      </c>
      <c r="S183">
        <f t="shared" si="119"/>
        <v>0.95945370353861303</v>
      </c>
      <c r="T183">
        <f t="shared" si="120"/>
        <v>-0.28573868685702924</v>
      </c>
      <c r="U183">
        <f t="shared" si="121"/>
        <v>0.95208536712170933</v>
      </c>
      <c r="V183">
        <f t="shared" si="122"/>
        <v>-0.31081259254973481</v>
      </c>
      <c r="X183">
        <f t="shared" si="139"/>
        <v>-6.2370359458017068</v>
      </c>
      <c r="Y183">
        <f t="shared" si="123"/>
        <v>-126.70112953231859</v>
      </c>
      <c r="Z183">
        <f t="shared" si="140"/>
        <v>53.298870467681411</v>
      </c>
      <c r="AC183">
        <v>1</v>
      </c>
      <c r="AD183">
        <f t="shared" si="124"/>
        <v>69.919694425444504</v>
      </c>
      <c r="AE183">
        <f t="shared" si="125"/>
        <v>-5.8912596929675048E-3</v>
      </c>
      <c r="AF183">
        <f t="shared" si="126"/>
        <v>1.8340052404023002E-2</v>
      </c>
      <c r="AG183">
        <f t="shared" si="141"/>
        <v>3439.9403003651878</v>
      </c>
      <c r="AH183">
        <f t="shared" si="142"/>
        <v>-1159.5158601123314</v>
      </c>
      <c r="AJ183">
        <f t="shared" si="127"/>
        <v>18000</v>
      </c>
      <c r="AK183">
        <f t="shared" si="128"/>
        <v>5288.0016334294796</v>
      </c>
      <c r="AL183">
        <v>1</v>
      </c>
      <c r="AM183">
        <f t="shared" si="129"/>
        <v>10.404679653283861</v>
      </c>
      <c r="AN183">
        <f t="shared" si="143"/>
        <v>668.32993108277424</v>
      </c>
      <c r="AO183">
        <f t="shared" si="144"/>
        <v>-1665.7572021880665</v>
      </c>
      <c r="AQ183">
        <f t="shared" si="130"/>
        <v>0.45040987298441582</v>
      </c>
      <c r="AR183">
        <f t="shared" si="131"/>
        <v>-67.111071074677952</v>
      </c>
      <c r="AT183">
        <f t="shared" si="156"/>
        <v>-76266.968226453551</v>
      </c>
      <c r="AU183">
        <f t="shared" si="157"/>
        <v>-231380.33538173378</v>
      </c>
      <c r="AV183">
        <f t="shared" si="145"/>
        <v>-1.8891987576650966</v>
      </c>
      <c r="AW183">
        <f t="shared" si="146"/>
        <v>-107271.70488435321</v>
      </c>
      <c r="AX183">
        <f t="shared" si="147"/>
        <v>-50370.362619976673</v>
      </c>
      <c r="AY183">
        <f t="shared" si="155"/>
        <v>-2.7025932798667727</v>
      </c>
      <c r="BA183">
        <f t="shared" si="132"/>
        <v>2.0557567775496963</v>
      </c>
      <c r="BB183">
        <f t="shared" si="148"/>
        <v>6.2594346148645794</v>
      </c>
      <c r="BC183">
        <f t="shared" si="149"/>
        <v>0.81339452220167607</v>
      </c>
      <c r="BD183">
        <f t="shared" si="133"/>
        <v>-133.39592674553091</v>
      </c>
      <c r="BF183">
        <f t="shared" si="134"/>
        <v>-6.0955237288858886</v>
      </c>
      <c r="BG183">
        <f t="shared" si="135"/>
        <v>-129.60792110106181</v>
      </c>
      <c r="BH183">
        <f t="shared" si="150"/>
        <v>50.392078898938195</v>
      </c>
      <c r="BI183">
        <f t="shared" si="151"/>
        <v>50.392078898938195</v>
      </c>
      <c r="BJ183">
        <f t="shared" si="136"/>
        <v>0</v>
      </c>
      <c r="BK183">
        <f t="shared" si="152"/>
        <v>0</v>
      </c>
      <c r="BM183">
        <f t="shared" si="153"/>
        <v>-12.354958343750468</v>
      </c>
      <c r="BN183">
        <f t="shared" si="137"/>
        <v>-176.21199435553092</v>
      </c>
      <c r="BQ183" s="56">
        <f t="shared" si="154"/>
        <v>23.161395415149716</v>
      </c>
      <c r="BR183" s="59"/>
      <c r="BS183" s="59"/>
      <c r="BT183" s="59">
        <v>5370.3180000000002</v>
      </c>
      <c r="BU183" s="59">
        <v>1.48515</v>
      </c>
      <c r="BV183" s="59">
        <v>-237.34699999999998</v>
      </c>
      <c r="BW183" s="61"/>
      <c r="BY183" s="59"/>
      <c r="BZ183" s="59"/>
      <c r="CA183" s="59"/>
      <c r="CC183" s="59"/>
    </row>
    <row r="184" spans="1:81" x14ac:dyDescent="0.2">
      <c r="A184">
        <f t="shared" si="158"/>
        <v>75000</v>
      </c>
      <c r="B184">
        <f t="shared" si="138"/>
        <v>75</v>
      </c>
      <c r="C184">
        <f t="shared" si="107"/>
        <v>1.0001637114923883</v>
      </c>
      <c r="D184">
        <f t="shared" si="108"/>
        <v>1.8093598921386921E-2</v>
      </c>
      <c r="F184">
        <f t="shared" si="109"/>
        <v>1.5856007139233182E-2</v>
      </c>
      <c r="G184">
        <f t="shared" si="110"/>
        <v>4.7809418991233914E-2</v>
      </c>
      <c r="H184">
        <f t="shared" si="111"/>
        <v>-3.0937832310087665</v>
      </c>
      <c r="J184">
        <f t="shared" si="112"/>
        <v>15</v>
      </c>
      <c r="M184">
        <f t="shared" si="113"/>
        <v>3.008998228002881E-3</v>
      </c>
      <c r="N184">
        <f t="shared" si="114"/>
        <v>-1.5707963250000001</v>
      </c>
      <c r="O184">
        <f t="shared" si="115"/>
        <v>70.396057148448548</v>
      </c>
      <c r="P184">
        <f t="shared" si="116"/>
        <v>1.5565905079533968</v>
      </c>
      <c r="Q184">
        <f t="shared" si="117"/>
        <v>10.522136372142487</v>
      </c>
      <c r="R184">
        <f t="shared" si="118"/>
        <v>1.4756149417598772</v>
      </c>
      <c r="S184">
        <f t="shared" si="119"/>
        <v>0.9589408061046526</v>
      </c>
      <c r="T184">
        <f t="shared" si="120"/>
        <v>-0.28755273525054187</v>
      </c>
      <c r="U184">
        <f t="shared" si="121"/>
        <v>0.95148626419012416</v>
      </c>
      <c r="V184">
        <f t="shared" si="122"/>
        <v>-0.3127655825348794</v>
      </c>
      <c r="X184">
        <f t="shared" si="139"/>
        <v>-6.3075059786142855</v>
      </c>
      <c r="Y184">
        <f t="shared" si="123"/>
        <v>-126.88716614126112</v>
      </c>
      <c r="Z184">
        <f t="shared" si="140"/>
        <v>53.112833858738881</v>
      </c>
      <c r="AC184">
        <v>1</v>
      </c>
      <c r="AD184">
        <f t="shared" si="124"/>
        <v>70.38895411957499</v>
      </c>
      <c r="AE184">
        <f t="shared" si="125"/>
        <v>-5.9706023643875889E-3</v>
      </c>
      <c r="AF184">
        <f t="shared" si="126"/>
        <v>1.8463140004049999E-2</v>
      </c>
      <c r="AG184">
        <f t="shared" si="141"/>
        <v>3435.6124743482092</v>
      </c>
      <c r="AH184">
        <f t="shared" si="142"/>
        <v>-1165.1688693117194</v>
      </c>
      <c r="AJ184">
        <f t="shared" si="127"/>
        <v>18000</v>
      </c>
      <c r="AK184">
        <f t="shared" si="128"/>
        <v>5323.4915772780005</v>
      </c>
      <c r="AL184">
        <v>1</v>
      </c>
      <c r="AM184">
        <f t="shared" si="129"/>
        <v>10.474509718071001</v>
      </c>
      <c r="AN184">
        <f t="shared" si="143"/>
        <v>666.22163689134231</v>
      </c>
      <c r="AO184">
        <f t="shared" si="144"/>
        <v>-1654.853432729534</v>
      </c>
      <c r="AQ184">
        <f t="shared" si="130"/>
        <v>0.44442469223590064</v>
      </c>
      <c r="AR184">
        <f t="shared" si="131"/>
        <v>-66.663703835385093</v>
      </c>
      <c r="AT184">
        <f t="shared" si="156"/>
        <v>-76147.601405452951</v>
      </c>
      <c r="AU184">
        <f t="shared" si="157"/>
        <v>-229548.48229925032</v>
      </c>
      <c r="AV184">
        <f t="shared" si="145"/>
        <v>-1.8911011602674075</v>
      </c>
      <c r="AW184">
        <f t="shared" si="146"/>
        <v>-105813.03194048682</v>
      </c>
      <c r="AX184">
        <f t="shared" si="147"/>
        <v>-49897.816084937673</v>
      </c>
      <c r="AY184">
        <f t="shared" si="155"/>
        <v>-2.7009499732822229</v>
      </c>
      <c r="BA184">
        <f t="shared" si="132"/>
        <v>2.0672981055840376</v>
      </c>
      <c r="BB184">
        <f t="shared" si="148"/>
        <v>6.3080621331767794</v>
      </c>
      <c r="BC184">
        <f t="shared" si="149"/>
        <v>0.80984881301481537</v>
      </c>
      <c r="BD184">
        <f t="shared" si="133"/>
        <v>-133.59908091755094</v>
      </c>
      <c r="BF184">
        <f t="shared" si="134"/>
        <v>-6.1648141684559281</v>
      </c>
      <c r="BG184">
        <f t="shared" si="135"/>
        <v>-129.82311612966802</v>
      </c>
      <c r="BH184">
        <f t="shared" si="150"/>
        <v>50.176883870331977</v>
      </c>
      <c r="BI184">
        <f t="shared" si="151"/>
        <v>50.176883870331977</v>
      </c>
      <c r="BJ184">
        <f t="shared" si="136"/>
        <v>0</v>
      </c>
      <c r="BK184">
        <f t="shared" si="152"/>
        <v>0</v>
      </c>
      <c r="BM184">
        <f t="shared" si="153"/>
        <v>-12.472876301632708</v>
      </c>
      <c r="BN184">
        <f t="shared" si="137"/>
        <v>-176.22403521211709</v>
      </c>
      <c r="BQ184" s="56">
        <f t="shared" si="154"/>
        <v>23.210022933461918</v>
      </c>
      <c r="BR184" s="59"/>
      <c r="BS184" s="59"/>
      <c r="BT184" s="59">
        <v>5495.4089999999997</v>
      </c>
      <c r="BU184" s="59">
        <v>1.35836</v>
      </c>
      <c r="BV184" s="59">
        <v>-235.61199999999999</v>
      </c>
      <c r="BW184" s="61"/>
      <c r="BY184" s="59"/>
      <c r="BZ184" s="59"/>
      <c r="CA184" s="59"/>
      <c r="CC184" s="59"/>
    </row>
    <row r="185" spans="1:81" x14ac:dyDescent="0.2">
      <c r="A185">
        <f t="shared" si="158"/>
        <v>75500</v>
      </c>
      <c r="B185">
        <f t="shared" si="138"/>
        <v>75.5</v>
      </c>
      <c r="C185">
        <f t="shared" si="107"/>
        <v>1.000165901406713</v>
      </c>
      <c r="D185">
        <f t="shared" si="108"/>
        <v>1.8214196325703858E-2</v>
      </c>
      <c r="F185">
        <f t="shared" si="109"/>
        <v>1.5643622564163347E-2</v>
      </c>
      <c r="G185">
        <f t="shared" si="110"/>
        <v>4.7483246042894854E-2</v>
      </c>
      <c r="H185">
        <f t="shared" si="111"/>
        <v>-3.0941094039571055</v>
      </c>
      <c r="J185">
        <f t="shared" si="112"/>
        <v>15</v>
      </c>
      <c r="M185">
        <f t="shared" si="113"/>
        <v>2.9890710874200806E-3</v>
      </c>
      <c r="N185">
        <f t="shared" si="114"/>
        <v>-1.5707963250000001</v>
      </c>
      <c r="O185">
        <f t="shared" si="115"/>
        <v>70.865269807352078</v>
      </c>
      <c r="P185">
        <f t="shared" si="116"/>
        <v>1.5566845736928152</v>
      </c>
      <c r="Q185">
        <f t="shared" si="117"/>
        <v>10.591652442200173</v>
      </c>
      <c r="R185">
        <f t="shared" si="118"/>
        <v>1.4762415193037042</v>
      </c>
      <c r="S185">
        <f t="shared" si="119"/>
        <v>0.95842530784012847</v>
      </c>
      <c r="T185">
        <f t="shared" si="120"/>
        <v>-0.28936483924423523</v>
      </c>
      <c r="U185">
        <f t="shared" si="121"/>
        <v>0.95088429477270231</v>
      </c>
      <c r="V185">
        <f t="shared" si="122"/>
        <v>-0.31471610878586037</v>
      </c>
      <c r="X185">
        <f t="shared" si="139"/>
        <v>-6.3776002056863561</v>
      </c>
      <c r="Y185">
        <f t="shared" si="123"/>
        <v>-127.07323776674102</v>
      </c>
      <c r="Z185">
        <f t="shared" si="140"/>
        <v>52.926762233258984</v>
      </c>
      <c r="AC185">
        <v>1</v>
      </c>
      <c r="AD185">
        <f t="shared" si="124"/>
        <v>70.858213813705504</v>
      </c>
      <c r="AE185">
        <f t="shared" si="125"/>
        <v>-6.0504757560178408E-3</v>
      </c>
      <c r="AF185">
        <f t="shared" si="126"/>
        <v>1.8586227604077001E-2</v>
      </c>
      <c r="AG185">
        <f t="shared" si="141"/>
        <v>3431.2666850237265</v>
      </c>
      <c r="AH185">
        <f t="shared" si="142"/>
        <v>-1170.8021850219029</v>
      </c>
      <c r="AJ185">
        <f t="shared" si="127"/>
        <v>18000</v>
      </c>
      <c r="AK185">
        <f t="shared" si="128"/>
        <v>5358.9815211265195</v>
      </c>
      <c r="AL185">
        <v>1</v>
      </c>
      <c r="AM185">
        <f t="shared" si="129"/>
        <v>10.54433978285814</v>
      </c>
      <c r="AN185">
        <f t="shared" si="143"/>
        <v>664.1545926397522</v>
      </c>
      <c r="AO185">
        <f t="shared" si="144"/>
        <v>-1644.0901720127617</v>
      </c>
      <c r="AQ185">
        <f t="shared" si="130"/>
        <v>0.43855802122620824</v>
      </c>
      <c r="AR185">
        <f t="shared" si="131"/>
        <v>-66.222261205157437</v>
      </c>
      <c r="AT185">
        <f t="shared" si="156"/>
        <v>-76028.358588406103</v>
      </c>
      <c r="AU185">
        <f t="shared" si="157"/>
        <v>-227739.7033697064</v>
      </c>
      <c r="AV185">
        <f t="shared" si="145"/>
        <v>-1.8930017689401704</v>
      </c>
      <c r="AW185">
        <f t="shared" si="146"/>
        <v>-104382.97271459769</v>
      </c>
      <c r="AX185">
        <f t="shared" si="147"/>
        <v>-49434.496702278127</v>
      </c>
      <c r="AY185">
        <f t="shared" si="155"/>
        <v>-2.6992972207109642</v>
      </c>
      <c r="BA185">
        <f t="shared" si="132"/>
        <v>2.0787985722610713</v>
      </c>
      <c r="BB185">
        <f t="shared" si="148"/>
        <v>6.3562481974656269</v>
      </c>
      <c r="BC185">
        <f t="shared" si="149"/>
        <v>0.80629545177079387</v>
      </c>
      <c r="BD185">
        <f t="shared" si="133"/>
        <v>-133.80267352015136</v>
      </c>
      <c r="BF185">
        <f t="shared" si="134"/>
        <v>-6.2337391571560161</v>
      </c>
      <c r="BG185">
        <f t="shared" si="135"/>
        <v>-130.0384873433255</v>
      </c>
      <c r="BH185">
        <f t="shared" si="150"/>
        <v>49.9615126566745</v>
      </c>
      <c r="BI185">
        <f t="shared" si="151"/>
        <v>49.9615126566745</v>
      </c>
      <c r="BJ185">
        <f t="shared" si="136"/>
        <v>0</v>
      </c>
      <c r="BK185">
        <f t="shared" si="152"/>
        <v>0</v>
      </c>
      <c r="BM185">
        <f t="shared" si="153"/>
        <v>-12.589987354621643</v>
      </c>
      <c r="BN185">
        <f t="shared" si="137"/>
        <v>-176.23581382317414</v>
      </c>
      <c r="BQ185" s="56">
        <f t="shared" si="154"/>
        <v>23.258208997750764</v>
      </c>
      <c r="BR185" s="59"/>
      <c r="BS185" s="59"/>
      <c r="BT185" s="59">
        <v>5623.4129999999996</v>
      </c>
      <c r="BU185" s="59">
        <v>1.07298</v>
      </c>
      <c r="BV185" s="59">
        <v>-235.13800000000001</v>
      </c>
      <c r="BW185" s="61"/>
      <c r="BY185" s="59"/>
      <c r="BZ185" s="59"/>
      <c r="CA185" s="59"/>
      <c r="CC185" s="59"/>
    </row>
    <row r="186" spans="1:81" x14ac:dyDescent="0.2">
      <c r="A186">
        <f t="shared" si="158"/>
        <v>76000</v>
      </c>
      <c r="B186">
        <f t="shared" si="138"/>
        <v>76</v>
      </c>
      <c r="C186">
        <f t="shared" si="107"/>
        <v>1.0001681058671208</v>
      </c>
      <c r="D186">
        <f t="shared" si="108"/>
        <v>1.8334793200159676E-2</v>
      </c>
      <c r="F186">
        <f t="shared" si="109"/>
        <v>1.5435496688279505E-2</v>
      </c>
      <c r="G186">
        <f t="shared" si="110"/>
        <v>4.7161555074026286E-2</v>
      </c>
      <c r="H186">
        <f t="shared" si="111"/>
        <v>-3.0944310949259739</v>
      </c>
      <c r="J186">
        <f t="shared" si="112"/>
        <v>15</v>
      </c>
      <c r="M186">
        <f t="shared" si="113"/>
        <v>2.969406146055475E-3</v>
      </c>
      <c r="N186">
        <f t="shared" si="114"/>
        <v>-1.5707963250000001</v>
      </c>
      <c r="O186">
        <f t="shared" si="115"/>
        <v>71.334483085048333</v>
      </c>
      <c r="P186">
        <f t="shared" si="116"/>
        <v>1.5567774019699847</v>
      </c>
      <c r="Q186">
        <f t="shared" si="117"/>
        <v>10.6611726163055</v>
      </c>
      <c r="R186">
        <f t="shared" si="118"/>
        <v>1.476859925419989</v>
      </c>
      <c r="S186">
        <f t="shared" si="119"/>
        <v>0.95790722308541487</v>
      </c>
      <c r="T186">
        <f t="shared" si="120"/>
        <v>-0.29117499008091219</v>
      </c>
      <c r="U186">
        <f t="shared" si="121"/>
        <v>0.95027947803473078</v>
      </c>
      <c r="V186">
        <f t="shared" si="122"/>
        <v>-0.31666416114820678</v>
      </c>
      <c r="X186">
        <f t="shared" si="139"/>
        <v>-6.4473247087920456</v>
      </c>
      <c r="Y186">
        <f t="shared" si="123"/>
        <v>-127.25933806271566</v>
      </c>
      <c r="Z186">
        <f t="shared" si="140"/>
        <v>52.740661937284344</v>
      </c>
      <c r="AC186">
        <v>1</v>
      </c>
      <c r="AD186">
        <f t="shared" si="124"/>
        <v>71.327473507836004</v>
      </c>
      <c r="AE186">
        <f t="shared" si="125"/>
        <v>-6.1308798678582606E-3</v>
      </c>
      <c r="AF186">
        <f t="shared" si="126"/>
        <v>1.8709315204104002E-2</v>
      </c>
      <c r="AG186">
        <f t="shared" si="141"/>
        <v>3426.9031099089921</v>
      </c>
      <c r="AH186">
        <f t="shared" si="142"/>
        <v>-1176.4156542091876</v>
      </c>
      <c r="AJ186">
        <f t="shared" si="127"/>
        <v>18000</v>
      </c>
      <c r="AK186">
        <f t="shared" si="128"/>
        <v>5394.4714649750404</v>
      </c>
      <c r="AL186">
        <v>1</v>
      </c>
      <c r="AM186">
        <f t="shared" si="129"/>
        <v>10.614169847645281</v>
      </c>
      <c r="AN186">
        <f t="shared" si="143"/>
        <v>662.12773237283602</v>
      </c>
      <c r="AO186">
        <f t="shared" si="144"/>
        <v>-1633.4647472664587</v>
      </c>
      <c r="AQ186">
        <f t="shared" si="130"/>
        <v>0.43280675178532785</v>
      </c>
      <c r="AR186">
        <f t="shared" si="131"/>
        <v>-65.78662627136984</v>
      </c>
      <c r="AT186">
        <f t="shared" si="156"/>
        <v>-75909.230179566119</v>
      </c>
      <c r="AU186">
        <f t="shared" si="157"/>
        <v>-225953.55479782561</v>
      </c>
      <c r="AV186">
        <f t="shared" si="145"/>
        <v>-1.8949005603149986</v>
      </c>
      <c r="AW186">
        <f t="shared" si="146"/>
        <v>-102980.78895426012</v>
      </c>
      <c r="AX186">
        <f t="shared" si="147"/>
        <v>-48980.147025769271</v>
      </c>
      <c r="AY186">
        <f t="shared" si="155"/>
        <v>-2.6976352152240013</v>
      </c>
      <c r="BA186">
        <f t="shared" si="132"/>
        <v>2.0902579264264913</v>
      </c>
      <c r="BB186">
        <f t="shared" si="148"/>
        <v>6.4039975797559574</v>
      </c>
      <c r="BC186">
        <f t="shared" si="149"/>
        <v>0.80273465490900264</v>
      </c>
      <c r="BD186">
        <f t="shared" si="133"/>
        <v>-134.00669215226856</v>
      </c>
      <c r="BF186">
        <f t="shared" si="134"/>
        <v>-6.3023050346823153</v>
      </c>
      <c r="BG186">
        <f t="shared" si="135"/>
        <v>-130.25402781835069</v>
      </c>
      <c r="BH186">
        <f t="shared" si="150"/>
        <v>49.745972181649307</v>
      </c>
      <c r="BI186">
        <f t="shared" si="151"/>
        <v>49.745972181649307</v>
      </c>
      <c r="BJ186">
        <f t="shared" si="136"/>
        <v>0</v>
      </c>
      <c r="BK186">
        <f t="shared" si="152"/>
        <v>0</v>
      </c>
      <c r="BM186">
        <f t="shared" si="153"/>
        <v>-12.706302614438272</v>
      </c>
      <c r="BN186">
        <f t="shared" si="137"/>
        <v>-176.24733566608217</v>
      </c>
      <c r="BQ186" s="56">
        <f t="shared" si="154"/>
        <v>23.305958380041094</v>
      </c>
      <c r="BR186" s="59"/>
      <c r="BS186" s="59"/>
      <c r="BT186" s="59">
        <v>5754.3990000000003</v>
      </c>
      <c r="BU186" s="59">
        <v>0.86915299999999995</v>
      </c>
      <c r="BV186" s="59">
        <v>-234.68899999999999</v>
      </c>
      <c r="BW186" s="61"/>
      <c r="BY186" s="59"/>
      <c r="BZ186" s="59"/>
      <c r="CA186" s="59"/>
      <c r="CC186" s="59"/>
    </row>
    <row r="187" spans="1:81" x14ac:dyDescent="0.2">
      <c r="A187">
        <f t="shared" si="158"/>
        <v>76500</v>
      </c>
      <c r="B187">
        <f t="shared" si="138"/>
        <v>76.5</v>
      </c>
      <c r="C187">
        <f t="shared" si="107"/>
        <v>1.0001703248735152</v>
      </c>
      <c r="D187">
        <f t="shared" si="108"/>
        <v>1.8455389541250072E-2</v>
      </c>
      <c r="F187">
        <f t="shared" si="109"/>
        <v>1.5231515893661519E-2</v>
      </c>
      <c r="G187">
        <f t="shared" si="110"/>
        <v>4.6844253163576557E-2</v>
      </c>
      <c r="H187">
        <f t="shared" si="111"/>
        <v>-3.0947483968364238</v>
      </c>
      <c r="J187">
        <f t="shared" si="112"/>
        <v>15</v>
      </c>
      <c r="M187">
        <f t="shared" si="113"/>
        <v>2.9499982627479225E-3</v>
      </c>
      <c r="N187">
        <f t="shared" si="114"/>
        <v>-1.5707963250000001</v>
      </c>
      <c r="O187">
        <f t="shared" si="115"/>
        <v>71.803696969406516</v>
      </c>
      <c r="P187">
        <f t="shared" si="116"/>
        <v>1.5568690170425332</v>
      </c>
      <c r="Q187">
        <f t="shared" si="117"/>
        <v>10.730696814692697</v>
      </c>
      <c r="R187">
        <f t="shared" si="118"/>
        <v>1.4774703184591531</v>
      </c>
      <c r="S187">
        <f t="shared" si="119"/>
        <v>0.95738656620982865</v>
      </c>
      <c r="T187">
        <f t="shared" si="120"/>
        <v>-0.29298317907344107</v>
      </c>
      <c r="U187">
        <f t="shared" si="121"/>
        <v>0.9496718331640055</v>
      </c>
      <c r="V187">
        <f t="shared" si="122"/>
        <v>-0.31860972956829431</v>
      </c>
      <c r="X187">
        <f t="shared" si="139"/>
        <v>-6.5166854296652765</v>
      </c>
      <c r="Y187">
        <f t="shared" si="123"/>
        <v>-127.44546081693309</v>
      </c>
      <c r="Z187">
        <f t="shared" si="140"/>
        <v>52.554539183066908</v>
      </c>
      <c r="AC187">
        <v>1</v>
      </c>
      <c r="AD187">
        <f t="shared" si="124"/>
        <v>71.796733201966504</v>
      </c>
      <c r="AE187">
        <f t="shared" si="125"/>
        <v>-6.2118146999088474E-3</v>
      </c>
      <c r="AF187">
        <f t="shared" si="126"/>
        <v>1.8832402804130999E-2</v>
      </c>
      <c r="AG187">
        <f t="shared" si="141"/>
        <v>3422.5219265170226</v>
      </c>
      <c r="AH187">
        <f t="shared" si="142"/>
        <v>-1182.0091278536113</v>
      </c>
      <c r="AJ187">
        <f t="shared" si="127"/>
        <v>18000</v>
      </c>
      <c r="AK187">
        <f t="shared" si="128"/>
        <v>5429.9614088235603</v>
      </c>
      <c r="AL187">
        <v>1</v>
      </c>
      <c r="AM187">
        <f t="shared" si="129"/>
        <v>10.683999912432421</v>
      </c>
      <c r="AN187">
        <f t="shared" si="143"/>
        <v>660.14002424499677</v>
      </c>
      <c r="AO187">
        <f t="shared" si="144"/>
        <v>-1622.9745524031218</v>
      </c>
      <c r="AQ187">
        <f t="shared" si="130"/>
        <v>0.42716787697565145</v>
      </c>
      <c r="AR187">
        <f t="shared" si="131"/>
        <v>-65.35668517727467</v>
      </c>
      <c r="AT187">
        <f t="shared" si="156"/>
        <v>-75790.207020540576</v>
      </c>
      <c r="AU187">
        <f t="shared" si="157"/>
        <v>-224189.60439340372</v>
      </c>
      <c r="AV187">
        <f t="shared" si="145"/>
        <v>-1.8967975114696229</v>
      </c>
      <c r="AW187">
        <f t="shared" si="146"/>
        <v>-101605.76599058579</v>
      </c>
      <c r="AX187">
        <f t="shared" si="147"/>
        <v>-48534.518717400802</v>
      </c>
      <c r="AY187">
        <f t="shared" si="155"/>
        <v>-2.6959641456849299</v>
      </c>
      <c r="BA187">
        <f t="shared" si="132"/>
        <v>2.1016759190896006</v>
      </c>
      <c r="BB187">
        <f t="shared" si="148"/>
        <v>6.4513149626535915</v>
      </c>
      <c r="BC187">
        <f t="shared" si="149"/>
        <v>0.79916663421530698</v>
      </c>
      <c r="BD187">
        <f t="shared" si="133"/>
        <v>-134.21112467946625</v>
      </c>
      <c r="BF187">
        <f t="shared" si="134"/>
        <v>-6.3705179993411623</v>
      </c>
      <c r="BG187">
        <f t="shared" si="135"/>
        <v>-130.46973074449227</v>
      </c>
      <c r="BH187">
        <f t="shared" si="150"/>
        <v>49.530269255507733</v>
      </c>
      <c r="BI187">
        <f t="shared" si="151"/>
        <v>49.530269255507733</v>
      </c>
      <c r="BJ187">
        <f t="shared" si="136"/>
        <v>0</v>
      </c>
      <c r="BK187">
        <f t="shared" si="152"/>
        <v>0</v>
      </c>
      <c r="BM187">
        <f t="shared" si="153"/>
        <v>-12.821832961994753</v>
      </c>
      <c r="BN187">
        <f t="shared" si="137"/>
        <v>-176.25860606502602</v>
      </c>
      <c r="BQ187" s="56">
        <f t="shared" si="154"/>
        <v>23.353275762938729</v>
      </c>
      <c r="BR187" s="59"/>
      <c r="BS187" s="59"/>
      <c r="BT187" s="59">
        <v>5888.4369999999999</v>
      </c>
      <c r="BU187" s="59">
        <v>0.80323599999999995</v>
      </c>
      <c r="BV187" s="59">
        <v>-233.95400000000001</v>
      </c>
      <c r="BW187" s="61"/>
      <c r="BY187" s="59"/>
      <c r="BZ187" s="59"/>
      <c r="CA187" s="59"/>
      <c r="CC187" s="59"/>
    </row>
    <row r="188" spans="1:81" x14ac:dyDescent="0.2">
      <c r="A188">
        <f t="shared" si="158"/>
        <v>77000</v>
      </c>
      <c r="B188">
        <f t="shared" si="138"/>
        <v>77</v>
      </c>
      <c r="C188">
        <f t="shared" si="107"/>
        <v>1.0001725584257997</v>
      </c>
      <c r="D188">
        <f t="shared" si="108"/>
        <v>1.8575985345470818E-2</v>
      </c>
      <c r="F188">
        <f t="shared" si="109"/>
        <v>1.5031570342794766E-2</v>
      </c>
      <c r="G188">
        <f t="shared" si="110"/>
        <v>4.6531249970495479E-2</v>
      </c>
      <c r="H188">
        <f t="shared" si="111"/>
        <v>-3.0950614000295049</v>
      </c>
      <c r="J188">
        <f t="shared" si="112"/>
        <v>15</v>
      </c>
      <c r="M188">
        <f t="shared" si="113"/>
        <v>2.9308424298729362E-3</v>
      </c>
      <c r="N188">
        <f t="shared" si="114"/>
        <v>-1.5707963250000001</v>
      </c>
      <c r="O188">
        <f t="shared" si="115"/>
        <v>72.272911448610827</v>
      </c>
      <c r="P188">
        <f t="shared" si="116"/>
        <v>1.5569594425382249</v>
      </c>
      <c r="Q188">
        <f t="shared" si="117"/>
        <v>10.800224959645336</v>
      </c>
      <c r="R188">
        <f t="shared" si="118"/>
        <v>1.4780728527182356</v>
      </c>
      <c r="S188">
        <f t="shared" si="119"/>
        <v>0.95686335161067126</v>
      </c>
      <c r="T188">
        <f t="shared" si="120"/>
        <v>-0.29478939760482459</v>
      </c>
      <c r="U188">
        <f t="shared" si="121"/>
        <v>0.94906137936941692</v>
      </c>
      <c r="V188">
        <f t="shared" si="122"/>
        <v>-0.32055280409333825</v>
      </c>
      <c r="X188">
        <f t="shared" si="139"/>
        <v>-6.585688174161338</v>
      </c>
      <c r="Y188">
        <f t="shared" si="123"/>
        <v>-127.63159994744467</v>
      </c>
      <c r="Z188">
        <f t="shared" si="140"/>
        <v>52.36840005255533</v>
      </c>
      <c r="AC188">
        <v>1</v>
      </c>
      <c r="AD188">
        <f t="shared" si="124"/>
        <v>72.265992896096989</v>
      </c>
      <c r="AE188">
        <f t="shared" si="125"/>
        <v>-6.293280252169603E-3</v>
      </c>
      <c r="AF188">
        <f t="shared" si="126"/>
        <v>1.8955490404158001E-2</v>
      </c>
      <c r="AG188">
        <f t="shared" si="141"/>
        <v>3418.1233123417555</v>
      </c>
      <c r="AH188">
        <f t="shared" si="142"/>
        <v>-1187.5824608633156</v>
      </c>
      <c r="AJ188">
        <f t="shared" si="127"/>
        <v>18000</v>
      </c>
      <c r="AK188">
        <f t="shared" si="128"/>
        <v>5465.4513526720802</v>
      </c>
      <c r="AL188">
        <v>1</v>
      </c>
      <c r="AM188">
        <f t="shared" si="129"/>
        <v>10.753829977219562</v>
      </c>
      <c r="AN188">
        <f t="shared" si="143"/>
        <v>658.19046922264795</v>
      </c>
      <c r="AO188">
        <f t="shared" si="144"/>
        <v>-1612.6170459746413</v>
      </c>
      <c r="AQ188">
        <f t="shared" si="130"/>
        <v>0.42163848716110808</v>
      </c>
      <c r="AR188">
        <f t="shared" si="131"/>
        <v>-64.93232702281064</v>
      </c>
      <c r="AT188">
        <f t="shared" si="156"/>
        <v>-75671.280372985129</v>
      </c>
      <c r="AU188">
        <f t="shared" si="157"/>
        <v>-222447.43119344505</v>
      </c>
      <c r="AV188">
        <f t="shared" si="145"/>
        <v>-1.8986925999166808</v>
      </c>
      <c r="AW188">
        <f t="shared" si="146"/>
        <v>-100257.21184264032</v>
      </c>
      <c r="AX188">
        <f t="shared" si="147"/>
        <v>-48097.372161855346</v>
      </c>
      <c r="AY188">
        <f t="shared" si="155"/>
        <v>-2.6942841968907345</v>
      </c>
      <c r="BA188">
        <f t="shared" si="132"/>
        <v>2.1130523034366968</v>
      </c>
      <c r="BB188">
        <f t="shared" si="148"/>
        <v>6.4982049416407905</v>
      </c>
      <c r="BC188">
        <f t="shared" si="149"/>
        <v>0.79559159697405368</v>
      </c>
      <c r="BD188">
        <f t="shared" si="133"/>
        <v>-134.4159592252262</v>
      </c>
      <c r="BF188">
        <f t="shared" si="134"/>
        <v>-6.4383841121715859</v>
      </c>
      <c r="BG188">
        <f t="shared" si="135"/>
        <v>-130.68558942159368</v>
      </c>
      <c r="BH188">
        <f t="shared" si="150"/>
        <v>49.314410578406324</v>
      </c>
      <c r="BI188">
        <f t="shared" si="151"/>
        <v>49.314410578406324</v>
      </c>
      <c r="BJ188">
        <f t="shared" si="136"/>
        <v>0</v>
      </c>
      <c r="BK188">
        <f t="shared" si="152"/>
        <v>0</v>
      </c>
      <c r="BM188">
        <f t="shared" si="153"/>
        <v>-12.936589053812376</v>
      </c>
      <c r="BN188">
        <f t="shared" si="137"/>
        <v>-176.26963019636747</v>
      </c>
      <c r="BQ188" s="56">
        <f t="shared" si="154"/>
        <v>23.400165741925928</v>
      </c>
      <c r="BR188" s="59"/>
      <c r="BS188" s="59"/>
      <c r="BT188" s="59">
        <v>6025.5959999999995</v>
      </c>
      <c r="BU188" s="59">
        <v>0.76992799999999995</v>
      </c>
      <c r="BV188" s="59">
        <v>-234.14699999999999</v>
      </c>
      <c r="BW188" s="61"/>
      <c r="BY188" s="59"/>
      <c r="BZ188" s="59"/>
      <c r="CA188" s="59"/>
      <c r="CC188" s="59"/>
    </row>
    <row r="189" spans="1:81" x14ac:dyDescent="0.2">
      <c r="A189">
        <f t="shared" si="158"/>
        <v>77500</v>
      </c>
      <c r="B189">
        <f t="shared" si="138"/>
        <v>77.5</v>
      </c>
      <c r="C189">
        <f t="shared" si="107"/>
        <v>1.0001748065238765</v>
      </c>
      <c r="D189">
        <f t="shared" si="108"/>
        <v>1.8696580609317792E-2</v>
      </c>
      <c r="F189">
        <f t="shared" si="109"/>
        <v>1.4835553827996079E-2</v>
      </c>
      <c r="G189">
        <f t="shared" si="110"/>
        <v>4.6222457643925616E-2</v>
      </c>
      <c r="H189">
        <f t="shared" si="111"/>
        <v>-3.0953701923560746</v>
      </c>
      <c r="J189">
        <f t="shared" si="112"/>
        <v>15</v>
      </c>
      <c r="M189">
        <f t="shared" si="113"/>
        <v>2.9119337690350464E-3</v>
      </c>
      <c r="N189">
        <f t="shared" si="114"/>
        <v>-1.5707963250000001</v>
      </c>
      <c r="O189">
        <f t="shared" si="115"/>
        <v>72.742126511150317</v>
      </c>
      <c r="P189">
        <f t="shared" si="116"/>
        <v>1.5570487014752694</v>
      </c>
      <c r="Q189">
        <f t="shared" si="117"/>
        <v>10.869756975431073</v>
      </c>
      <c r="R189">
        <f t="shared" si="118"/>
        <v>1.4786676785693882</v>
      </c>
      <c r="S189">
        <f t="shared" si="119"/>
        <v>0.95633759371227223</v>
      </c>
      <c r="T189">
        <f t="shared" si="120"/>
        <v>-0.29659363712826298</v>
      </c>
      <c r="U189">
        <f t="shared" si="121"/>
        <v>0.94844813587954457</v>
      </c>
      <c r="V189">
        <f t="shared" si="122"/>
        <v>-0.32249337487137891</v>
      </c>
      <c r="X189">
        <f t="shared" si="139"/>
        <v>-6.6543386162640816</v>
      </c>
      <c r="Y189">
        <f t="shared" si="123"/>
        <v>-127.81774949922719</v>
      </c>
      <c r="Z189">
        <f t="shared" si="140"/>
        <v>52.18225050077281</v>
      </c>
      <c r="AC189">
        <v>1</v>
      </c>
      <c r="AD189">
        <f t="shared" si="124"/>
        <v>72.735252590227503</v>
      </c>
      <c r="AE189">
        <f t="shared" si="125"/>
        <v>-6.3752765246405264E-3</v>
      </c>
      <c r="AF189">
        <f t="shared" si="126"/>
        <v>1.9078578004185002E-2</v>
      </c>
      <c r="AG189">
        <f t="shared" si="141"/>
        <v>3413.7074448433386</v>
      </c>
      <c r="AH189">
        <f t="shared" si="142"/>
        <v>-1193.1355119918821</v>
      </c>
      <c r="AJ189">
        <f t="shared" si="127"/>
        <v>18000</v>
      </c>
      <c r="AK189">
        <f t="shared" si="128"/>
        <v>5500.9412965206002</v>
      </c>
      <c r="AL189">
        <v>1</v>
      </c>
      <c r="AM189">
        <f t="shared" si="129"/>
        <v>10.823660042006701</v>
      </c>
      <c r="AN189">
        <f t="shared" si="143"/>
        <v>656.27809984370253</v>
      </c>
      <c r="AO189">
        <f t="shared" si="144"/>
        <v>-1602.3897492017663</v>
      </c>
      <c r="AQ189">
        <f t="shared" si="130"/>
        <v>0.41621576625322565</v>
      </c>
      <c r="AR189">
        <f t="shared" si="131"/>
        <v>-64.513443769249974</v>
      </c>
      <c r="AT189">
        <f t="shared" si="156"/>
        <v>-75552.441902063758</v>
      </c>
      <c r="AU189">
        <f t="shared" si="157"/>
        <v>-220726.62509893838</v>
      </c>
      <c r="AV189">
        <f t="shared" si="145"/>
        <v>-1.9005858035929339</v>
      </c>
      <c r="AW189">
        <f t="shared" si="146"/>
        <v>-98934.456361158635</v>
      </c>
      <c r="AX189">
        <f t="shared" si="147"/>
        <v>-47668.476099830361</v>
      </c>
      <c r="AY189">
        <f t="shared" si="155"/>
        <v>-2.692595549707077</v>
      </c>
      <c r="BA189">
        <f t="shared" si="132"/>
        <v>2.1243868348449602</v>
      </c>
      <c r="BB189">
        <f t="shared" si="148"/>
        <v>6.5446720273021555</v>
      </c>
      <c r="BC189">
        <f t="shared" si="149"/>
        <v>0.7920097461141431</v>
      </c>
      <c r="BD189">
        <f t="shared" si="133"/>
        <v>-134.62118416257888</v>
      </c>
      <c r="BF189">
        <f t="shared" si="134"/>
        <v>-6.5059093009137214</v>
      </c>
      <c r="BG189">
        <f t="shared" si="135"/>
        <v>-130.90159725636946</v>
      </c>
      <c r="BH189">
        <f t="shared" si="150"/>
        <v>49.098402743630544</v>
      </c>
      <c r="BI189">
        <f t="shared" si="151"/>
        <v>49.098402743630544</v>
      </c>
      <c r="BJ189">
        <f t="shared" si="136"/>
        <v>0</v>
      </c>
      <c r="BK189">
        <f t="shared" si="152"/>
        <v>0</v>
      </c>
      <c r="BM189">
        <f t="shared" si="153"/>
        <v>-13.050581328215877</v>
      </c>
      <c r="BN189">
        <f t="shared" si="137"/>
        <v>-176.28041309379057</v>
      </c>
      <c r="BQ189" s="56">
        <f t="shared" si="154"/>
        <v>23.44663282758729</v>
      </c>
      <c r="BR189" s="59"/>
      <c r="BS189" s="59"/>
      <c r="BT189" s="59">
        <v>6165.95</v>
      </c>
      <c r="BU189" s="59">
        <v>0.46947800000000001</v>
      </c>
      <c r="BV189" s="59">
        <v>-232.05599999999998</v>
      </c>
      <c r="BW189" s="61"/>
      <c r="BY189" s="59"/>
      <c r="BZ189" s="59"/>
      <c r="CA189" s="59"/>
      <c r="CC189" s="59"/>
    </row>
    <row r="190" spans="1:81" x14ac:dyDescent="0.2">
      <c r="A190">
        <f t="shared" si="158"/>
        <v>78000</v>
      </c>
      <c r="B190">
        <f t="shared" si="138"/>
        <v>78</v>
      </c>
      <c r="C190">
        <f t="shared" si="107"/>
        <v>1.0001770691676477</v>
      </c>
      <c r="D190">
        <f t="shared" si="108"/>
        <v>1.8817175329286964E-2</v>
      </c>
      <c r="F190">
        <f t="shared" si="109"/>
        <v>1.4643363627818297E-2</v>
      </c>
      <c r="G190">
        <f t="shared" si="110"/>
        <v>4.591779073715066E-2</v>
      </c>
      <c r="H190">
        <f t="shared" si="111"/>
        <v>-3.0956748592628496</v>
      </c>
      <c r="J190">
        <f t="shared" si="112"/>
        <v>15</v>
      </c>
      <c r="M190">
        <f t="shared" si="113"/>
        <v>2.8932675269258473E-3</v>
      </c>
      <c r="N190">
        <f t="shared" si="114"/>
        <v>-1.5707963250000001</v>
      </c>
      <c r="O190">
        <f t="shared" si="115"/>
        <v>73.211342145809084</v>
      </c>
      <c r="P190">
        <f t="shared" si="116"/>
        <v>1.5571368162818513</v>
      </c>
      <c r="Q190">
        <f t="shared" si="117"/>
        <v>10.939292788238886</v>
      </c>
      <c r="R190">
        <f t="shared" si="118"/>
        <v>1.4792549425835295</v>
      </c>
      <c r="S190">
        <f t="shared" si="119"/>
        <v>0.95580930696503807</v>
      </c>
      <c r="T190">
        <f t="shared" si="120"/>
        <v>-0.29839588916721255</v>
      </c>
      <c r="U190">
        <f t="shared" si="121"/>
        <v>0.94783212194125732</v>
      </c>
      <c r="V190">
        <f t="shared" si="122"/>
        <v>-0.3244314321512578</v>
      </c>
      <c r="X190">
        <f t="shared" si="139"/>
        <v>-6.7226423019455197</v>
      </c>
      <c r="Y190">
        <f t="shared" si="123"/>
        <v>-128.00390364091197</v>
      </c>
      <c r="Z190">
        <f t="shared" si="140"/>
        <v>51.996096359088028</v>
      </c>
      <c r="AC190">
        <v>1</v>
      </c>
      <c r="AD190">
        <f t="shared" si="124"/>
        <v>73.204512284358003</v>
      </c>
      <c r="AE190">
        <f t="shared" si="125"/>
        <v>-6.4578035173216168E-3</v>
      </c>
      <c r="AF190">
        <f t="shared" si="126"/>
        <v>1.9201665604212E-2</v>
      </c>
      <c r="AG190">
        <f t="shared" si="141"/>
        <v>3409.2745014335173</v>
      </c>
      <c r="AH190">
        <f t="shared" si="142"/>
        <v>-1198.6681437585019</v>
      </c>
      <c r="AJ190">
        <f t="shared" si="127"/>
        <v>18000</v>
      </c>
      <c r="AK190">
        <f t="shared" si="128"/>
        <v>5536.4312403691201</v>
      </c>
      <c r="AL190">
        <v>1</v>
      </c>
      <c r="AM190">
        <f t="shared" si="129"/>
        <v>10.893490106793841</v>
      </c>
      <c r="AN190">
        <f t="shared" si="143"/>
        <v>654.40197903127546</v>
      </c>
      <c r="AO190">
        <f t="shared" si="144"/>
        <v>-1592.2902440743906</v>
      </c>
      <c r="AQ190">
        <f t="shared" si="130"/>
        <v>0.41089698812507702</v>
      </c>
      <c r="AR190">
        <f t="shared" si="131"/>
        <v>-64.099930147512012</v>
      </c>
      <c r="AT190">
        <f t="shared" si="156"/>
        <v>-75433.683660637194</v>
      </c>
      <c r="AU190">
        <f t="shared" si="157"/>
        <v>-219026.78652561415</v>
      </c>
      <c r="AV190">
        <f t="shared" si="145"/>
        <v>-1.9024771008488881</v>
      </c>
      <c r="AW190">
        <f t="shared" si="146"/>
        <v>-97636.850409608611</v>
      </c>
      <c r="AX190">
        <f t="shared" si="147"/>
        <v>-47247.6072791681</v>
      </c>
      <c r="AY190">
        <f t="shared" si="155"/>
        <v>-2.6908983811983234</v>
      </c>
      <c r="BA190">
        <f t="shared" si="132"/>
        <v>2.1356792708967869</v>
      </c>
      <c r="BB190">
        <f t="shared" si="148"/>
        <v>6.5907206474833284</v>
      </c>
      <c r="BC190">
        <f t="shared" si="149"/>
        <v>0.78842128034943526</v>
      </c>
      <c r="BD190">
        <f t="shared" si="133"/>
        <v>-134.82678810605876</v>
      </c>
      <c r="BF190">
        <f t="shared" si="134"/>
        <v>-6.5730993638301696</v>
      </c>
      <c r="BG190">
        <f t="shared" si="135"/>
        <v>-131.11774775929109</v>
      </c>
      <c r="BH190">
        <f t="shared" si="150"/>
        <v>48.882252240708908</v>
      </c>
      <c r="BI190">
        <f t="shared" si="151"/>
        <v>48.882252240708908</v>
      </c>
      <c r="BJ190">
        <f t="shared" si="136"/>
        <v>0</v>
      </c>
      <c r="BK190">
        <f t="shared" si="152"/>
        <v>0</v>
      </c>
      <c r="BM190">
        <f t="shared" si="153"/>
        <v>-13.163820011313497</v>
      </c>
      <c r="BN190">
        <f t="shared" si="137"/>
        <v>-176.29095965323233</v>
      </c>
      <c r="BQ190" s="56">
        <f t="shared" si="154"/>
        <v>23.492681447768465</v>
      </c>
      <c r="BR190" s="59"/>
      <c r="BS190" s="59"/>
      <c r="BT190" s="59">
        <v>6309.5730000000003</v>
      </c>
      <c r="BU190" s="59">
        <v>0.36985299999999999</v>
      </c>
      <c r="BV190" s="59">
        <v>-231.369</v>
      </c>
      <c r="BW190" s="61"/>
      <c r="BY190" s="59"/>
      <c r="BZ190" s="59"/>
      <c r="CA190" s="59"/>
      <c r="CC190" s="59"/>
    </row>
    <row r="191" spans="1:81" x14ac:dyDescent="0.2">
      <c r="A191">
        <f t="shared" si="158"/>
        <v>78500</v>
      </c>
      <c r="B191">
        <f t="shared" si="138"/>
        <v>78.5</v>
      </c>
      <c r="C191">
        <f t="shared" si="107"/>
        <v>1.0001793463570146</v>
      </c>
      <c r="D191">
        <f t="shared" si="108"/>
        <v>1.89377695018744E-2</v>
      </c>
      <c r="F191">
        <f t="shared" si="109"/>
        <v>1.4454900370064848E-2</v>
      </c>
      <c r="G191">
        <f t="shared" si="110"/>
        <v>4.5617166125117493E-2</v>
      </c>
      <c r="H191">
        <f t="shared" si="111"/>
        <v>-3.0959754838748825</v>
      </c>
      <c r="J191">
        <f t="shared" si="112"/>
        <v>15</v>
      </c>
      <c r="M191">
        <f t="shared" si="113"/>
        <v>2.8748390713403322E-3</v>
      </c>
      <c r="N191">
        <f t="shared" si="114"/>
        <v>-1.5707963250000001</v>
      </c>
      <c r="O191">
        <f t="shared" si="115"/>
        <v>73.680558341656976</v>
      </c>
      <c r="P191">
        <f t="shared" si="116"/>
        <v>1.5572238088149148</v>
      </c>
      <c r="Q191">
        <f t="shared" si="117"/>
        <v>11.008832326118625</v>
      </c>
      <c r="R191">
        <f t="shared" si="118"/>
        <v>1.479834787649366</v>
      </c>
      <c r="S191">
        <f t="shared" si="119"/>
        <v>0.95527850584450069</v>
      </c>
      <c r="T191">
        <f t="shared" si="120"/>
        <v>-0.30019614531543815</v>
      </c>
      <c r="U191">
        <f t="shared" si="121"/>
        <v>0.94721335681832308</v>
      </c>
      <c r="V191">
        <f t="shared" si="122"/>
        <v>-0.3263669662825866</v>
      </c>
      <c r="X191">
        <f t="shared" si="139"/>
        <v>-6.7906046528844595</v>
      </c>
      <c r="Y191">
        <f t="shared" si="123"/>
        <v>-128.19005666161567</v>
      </c>
      <c r="Z191">
        <f t="shared" si="140"/>
        <v>51.809943338384329</v>
      </c>
      <c r="AC191">
        <v>1</v>
      </c>
      <c r="AD191">
        <f t="shared" si="124"/>
        <v>73.673771978488489</v>
      </c>
      <c r="AE191">
        <f t="shared" si="125"/>
        <v>-6.5408612302128742E-3</v>
      </c>
      <c r="AF191">
        <f t="shared" si="126"/>
        <v>1.9324753204239001E-2</v>
      </c>
      <c r="AG191">
        <f t="shared" si="141"/>
        <v>3404.8246594611542</v>
      </c>
      <c r="AH191">
        <f t="shared" si="142"/>
        <v>-1204.1802223708448</v>
      </c>
      <c r="AJ191">
        <f t="shared" si="127"/>
        <v>18000</v>
      </c>
      <c r="AK191">
        <f t="shared" si="128"/>
        <v>5571.9211842176401</v>
      </c>
      <c r="AL191">
        <v>1</v>
      </c>
      <c r="AM191">
        <f t="shared" si="129"/>
        <v>10.96332017158098</v>
      </c>
      <c r="AN191">
        <f t="shared" si="143"/>
        <v>652.56119895891777</v>
      </c>
      <c r="AO191">
        <f t="shared" si="144"/>
        <v>-1582.3161715197332</v>
      </c>
      <c r="AQ191">
        <f t="shared" si="130"/>
        <v>0.40567951318458417</v>
      </c>
      <c r="AR191">
        <f t="shared" si="131"/>
        <v>-63.691683569979716</v>
      </c>
      <c r="AT191">
        <f t="shared" si="156"/>
        <v>-75314.998074142582</v>
      </c>
      <c r="AU191">
        <f t="shared" si="157"/>
        <v>-217347.52606806168</v>
      </c>
      <c r="AV191">
        <f t="shared" si="145"/>
        <v>-1.9043664704388017</v>
      </c>
      <c r="AW191">
        <f t="shared" si="146"/>
        <v>-96363.765080757817</v>
      </c>
      <c r="AX191">
        <f t="shared" si="147"/>
        <v>-46834.550122817556</v>
      </c>
      <c r="AY191">
        <f t="shared" si="155"/>
        <v>-2.6891928647525272</v>
      </c>
      <c r="BA191">
        <f t="shared" si="132"/>
        <v>2.1469293713945627</v>
      </c>
      <c r="BB191">
        <f t="shared" si="148"/>
        <v>6.6363551493850306</v>
      </c>
      <c r="BC191">
        <f t="shared" si="149"/>
        <v>0.78482639431372547</v>
      </c>
      <c r="BD191">
        <f t="shared" si="133"/>
        <v>-135.03275990397083</v>
      </c>
      <c r="BF191">
        <f t="shared" si="134"/>
        <v>-6.6399599733866266</v>
      </c>
      <c r="BG191">
        <f t="shared" si="135"/>
        <v>-131.33403454157903</v>
      </c>
      <c r="BH191">
        <f t="shared" si="150"/>
        <v>48.66596545842097</v>
      </c>
      <c r="BI191">
        <f t="shared" si="151"/>
        <v>48.66596545842097</v>
      </c>
      <c r="BJ191">
        <f t="shared" si="136"/>
        <v>0</v>
      </c>
      <c r="BK191">
        <f t="shared" si="152"/>
        <v>0</v>
      </c>
      <c r="BM191">
        <f t="shared" si="153"/>
        <v>-13.276315122771656</v>
      </c>
      <c r="BN191">
        <f t="shared" si="137"/>
        <v>-176.30127463760826</v>
      </c>
      <c r="BQ191" s="56">
        <f t="shared" si="154"/>
        <v>23.538315949670164</v>
      </c>
      <c r="BR191" s="59"/>
      <c r="BS191" s="59"/>
      <c r="BT191" s="59">
        <v>6456.5420000000004</v>
      </c>
      <c r="BU191" s="59">
        <v>0.12767600000000001</v>
      </c>
      <c r="BV191" s="59">
        <v>-230.779</v>
      </c>
      <c r="BW191" s="61"/>
      <c r="BY191" s="59"/>
      <c r="BZ191" s="59"/>
      <c r="CA191" s="59"/>
      <c r="CC191" s="59"/>
    </row>
    <row r="192" spans="1:81" x14ac:dyDescent="0.2">
      <c r="A192">
        <f t="shared" si="158"/>
        <v>79000</v>
      </c>
      <c r="B192">
        <f t="shared" si="138"/>
        <v>79</v>
      </c>
      <c r="C192">
        <f t="shared" si="107"/>
        <v>1.000181638091878</v>
      </c>
      <c r="D192">
        <f t="shared" si="108"/>
        <v>1.9058363123576255E-2</v>
      </c>
      <c r="F192">
        <f t="shared" si="109"/>
        <v>1.4270067901067593E-2</v>
      </c>
      <c r="G192">
        <f t="shared" si="110"/>
        <v>4.5320502925358795E-2</v>
      </c>
      <c r="H192">
        <f t="shared" si="111"/>
        <v>-3.0962721470746413</v>
      </c>
      <c r="J192">
        <f t="shared" si="112"/>
        <v>15</v>
      </c>
      <c r="M192">
        <f t="shared" si="113"/>
        <v>2.8566438873445076E-3</v>
      </c>
      <c r="N192">
        <f t="shared" si="114"/>
        <v>-1.5707963250000001</v>
      </c>
      <c r="O192">
        <f t="shared" si="115"/>
        <v>74.149775088040457</v>
      </c>
      <c r="P192">
        <f t="shared" si="116"/>
        <v>1.5573097003782337</v>
      </c>
      <c r="Q192">
        <f t="shared" si="117"/>
        <v>11.078375518922886</v>
      </c>
      <c r="R192">
        <f t="shared" si="118"/>
        <v>1.4804073530879809</v>
      </c>
      <c r="S192">
        <f t="shared" si="119"/>
        <v>0.95474520485037451</v>
      </c>
      <c r="T192">
        <f t="shared" si="120"/>
        <v>-0.30199439723706084</v>
      </c>
      <c r="U192">
        <f t="shared" si="121"/>
        <v>0.94659185979002658</v>
      </c>
      <c r="V192">
        <f t="shared" si="122"/>
        <v>-0.32829996771570663</v>
      </c>
      <c r="X192">
        <f t="shared" si="139"/>
        <v>-6.8582309700502098</v>
      </c>
      <c r="Y192">
        <f t="shared" si="123"/>
        <v>-128.37620296787085</v>
      </c>
      <c r="Z192">
        <f t="shared" si="140"/>
        <v>51.623797032129147</v>
      </c>
      <c r="AC192">
        <v>1</v>
      </c>
      <c r="AD192">
        <f t="shared" si="124"/>
        <v>74.143031672619003</v>
      </c>
      <c r="AE192">
        <f t="shared" si="125"/>
        <v>-6.6244496633143003E-3</v>
      </c>
      <c r="AF192">
        <f t="shared" si="126"/>
        <v>1.9447840804265999E-2</v>
      </c>
      <c r="AG192">
        <f t="shared" si="141"/>
        <v>3400.3580961978719</v>
      </c>
      <c r="AH192">
        <f t="shared" si="142"/>
        <v>-1209.6716176505099</v>
      </c>
      <c r="AJ192">
        <f t="shared" si="127"/>
        <v>18000</v>
      </c>
      <c r="AK192">
        <f t="shared" si="128"/>
        <v>5607.41112806616</v>
      </c>
      <c r="AL192">
        <v>1</v>
      </c>
      <c r="AM192">
        <f t="shared" si="129"/>
        <v>11.033150236368121</v>
      </c>
      <c r="AN192">
        <f t="shared" si="143"/>
        <v>650.75487996484196</v>
      </c>
      <c r="AO192">
        <f t="shared" si="144"/>
        <v>-1572.4652296356442</v>
      </c>
      <c r="AQ192">
        <f t="shared" si="130"/>
        <v>0.40056078509913878</v>
      </c>
      <c r="AR192">
        <f t="shared" si="131"/>
        <v>-63.288604045663931</v>
      </c>
      <c r="AT192">
        <f t="shared" si="156"/>
        <v>-75196.377926129659</v>
      </c>
      <c r="AU192">
        <f t="shared" si="157"/>
        <v>-215688.46417661296</v>
      </c>
      <c r="AV192">
        <f t="shared" si="145"/>
        <v>-1.9062538915110643</v>
      </c>
      <c r="AW192">
        <f t="shared" si="146"/>
        <v>-95114.590947001765</v>
      </c>
      <c r="AX192">
        <f t="shared" si="147"/>
        <v>-46429.096412711158</v>
      </c>
      <c r="AY192">
        <f t="shared" si="155"/>
        <v>-2.6874791702015943</v>
      </c>
      <c r="BA192">
        <f t="shared" si="132"/>
        <v>2.1581368983758256</v>
      </c>
      <c r="BB192">
        <f t="shared" si="148"/>
        <v>6.6815798015946095</v>
      </c>
      <c r="BC192">
        <f t="shared" si="149"/>
        <v>0.78122527869053005</v>
      </c>
      <c r="BD192">
        <f t="shared" si="133"/>
        <v>-135.23908863095431</v>
      </c>
      <c r="BF192">
        <f t="shared" si="134"/>
        <v>-6.7064966797981249</v>
      </c>
      <c r="BG192">
        <f t="shared" si="135"/>
        <v>-131.55045131229735</v>
      </c>
      <c r="BH192">
        <f t="shared" si="150"/>
        <v>48.449548687702645</v>
      </c>
      <c r="BI192">
        <f t="shared" si="151"/>
        <v>48.449548687702645</v>
      </c>
      <c r="BJ192">
        <f t="shared" si="136"/>
        <v>0</v>
      </c>
      <c r="BK192">
        <f t="shared" si="152"/>
        <v>0</v>
      </c>
      <c r="BM192">
        <f t="shared" si="153"/>
        <v>-13.388076481392734</v>
      </c>
      <c r="BN192">
        <f t="shared" si="137"/>
        <v>-176.31136268134307</v>
      </c>
      <c r="BQ192" s="56">
        <f t="shared" si="154"/>
        <v>23.583540601879744</v>
      </c>
      <c r="BR192" s="59"/>
      <c r="BS192" s="59"/>
      <c r="BT192" s="59">
        <v>6606.9340000000002</v>
      </c>
      <c r="BU192" s="59">
        <v>3.6938100000000001E-2</v>
      </c>
      <c r="BV192" s="59">
        <v>-229.60900000000001</v>
      </c>
      <c r="BW192" s="61"/>
      <c r="BY192" s="59"/>
      <c r="BZ192" s="59"/>
      <c r="CA192" s="59"/>
      <c r="CC192" s="59"/>
    </row>
    <row r="193" spans="1:81" x14ac:dyDescent="0.2">
      <c r="A193">
        <f t="shared" si="158"/>
        <v>79500</v>
      </c>
      <c r="B193">
        <f t="shared" si="138"/>
        <v>79.5</v>
      </c>
      <c r="C193">
        <f t="shared" si="107"/>
        <v>1.0001839443721376</v>
      </c>
      <c r="D193">
        <f t="shared" si="108"/>
        <v>1.9178956190888795E-2</v>
      </c>
      <c r="F193">
        <f t="shared" si="109"/>
        <v>1.4088773160901511E-2</v>
      </c>
      <c r="G193">
        <f t="shared" si="110"/>
        <v>4.5027722422152479E-2</v>
      </c>
      <c r="H193">
        <f t="shared" si="111"/>
        <v>-3.0965649275778477</v>
      </c>
      <c r="J193">
        <f t="shared" si="112"/>
        <v>15</v>
      </c>
      <c r="M193">
        <f t="shared" si="113"/>
        <v>2.8386775735876235E-3</v>
      </c>
      <c r="N193">
        <f t="shared" si="114"/>
        <v>-1.5707963250000001</v>
      </c>
      <c r="O193">
        <f t="shared" si="115"/>
        <v>74.618992374573935</v>
      </c>
      <c r="P193">
        <f t="shared" si="116"/>
        <v>1.5573945117397996</v>
      </c>
      <c r="Q193">
        <f t="shared" si="117"/>
        <v>11.147922298250997</v>
      </c>
      <c r="R193">
        <f t="shared" si="118"/>
        <v>1.4809727747631831</v>
      </c>
      <c r="S193">
        <f t="shared" si="119"/>
        <v>0.95420941850561258</v>
      </c>
      <c r="T193">
        <f t="shared" si="120"/>
        <v>-0.30379063666660022</v>
      </c>
      <c r="U193">
        <f t="shared" si="121"/>
        <v>0.94596765014979456</v>
      </c>
      <c r="V193">
        <f t="shared" si="122"/>
        <v>-0.33023042700164168</v>
      </c>
      <c r="X193">
        <f t="shared" si="139"/>
        <v>-6.9255264371573944</v>
      </c>
      <c r="Y193">
        <f t="shared" si="123"/>
        <v>-128.56233708065216</v>
      </c>
      <c r="Z193">
        <f t="shared" si="140"/>
        <v>51.437662919347844</v>
      </c>
      <c r="AC193">
        <v>1</v>
      </c>
      <c r="AD193">
        <f t="shared" si="124"/>
        <v>74.612291366749503</v>
      </c>
      <c r="AE193">
        <f t="shared" si="125"/>
        <v>-6.7085688166258943E-3</v>
      </c>
      <c r="AF193">
        <f t="shared" si="126"/>
        <v>1.9570928404293E-2</v>
      </c>
      <c r="AG193">
        <f t="shared" si="141"/>
        <v>3395.874988823793</v>
      </c>
      <c r="AH193">
        <f t="shared" si="142"/>
        <v>-1215.1422029609234</v>
      </c>
      <c r="AJ193">
        <f t="shared" si="127"/>
        <v>18000</v>
      </c>
      <c r="AK193">
        <f t="shared" si="128"/>
        <v>5642.90107191468</v>
      </c>
      <c r="AL193">
        <v>1</v>
      </c>
      <c r="AM193">
        <f t="shared" si="129"/>
        <v>11.102980301155261</v>
      </c>
      <c r="AN193">
        <f t="shared" si="143"/>
        <v>648.98216951274935</v>
      </c>
      <c r="AO193">
        <f t="shared" si="144"/>
        <v>-1562.7351719863796</v>
      </c>
      <c r="AQ193">
        <f t="shared" si="130"/>
        <v>0.39553832766395064</v>
      </c>
      <c r="AR193">
        <f t="shared" si="131"/>
        <v>-62.890594098568151</v>
      </c>
      <c r="AT193">
        <f t="shared" si="156"/>
        <v>-75077.816344420149</v>
      </c>
      <c r="AU193">
        <f t="shared" si="157"/>
        <v>-214049.23084642988</v>
      </c>
      <c r="AV193">
        <f t="shared" si="145"/>
        <v>-1.9081393435989278</v>
      </c>
      <c r="AW193">
        <f t="shared" si="146"/>
        <v>-93888.737342805733</v>
      </c>
      <c r="AX193">
        <f t="shared" si="147"/>
        <v>-46031.044988695474</v>
      </c>
      <c r="AY193">
        <f t="shared" si="155"/>
        <v>-2.6857574639368345</v>
      </c>
      <c r="BA193">
        <f t="shared" si="132"/>
        <v>2.1693016161287826</v>
      </c>
      <c r="BB193">
        <f t="shared" si="148"/>
        <v>6.726398796057298</v>
      </c>
      <c r="BC193">
        <f t="shared" si="149"/>
        <v>0.77761812033790667</v>
      </c>
      <c r="BD193">
        <f t="shared" si="133"/>
        <v>-135.44576358083114</v>
      </c>
      <c r="BF193">
        <f t="shared" si="134"/>
        <v>-6.7727149144467429</v>
      </c>
      <c r="BG193">
        <f t="shared" si="135"/>
        <v>-131.76699187554738</v>
      </c>
      <c r="BH193">
        <f t="shared" si="150"/>
        <v>48.233008124452624</v>
      </c>
      <c r="BI193">
        <f t="shared" si="151"/>
        <v>48.233008124452624</v>
      </c>
      <c r="BJ193">
        <f t="shared" si="136"/>
        <v>0</v>
      </c>
      <c r="BK193">
        <f t="shared" si="152"/>
        <v>0</v>
      </c>
      <c r="BM193">
        <f t="shared" si="153"/>
        <v>-13.499113710504041</v>
      </c>
      <c r="BN193">
        <f t="shared" si="137"/>
        <v>-176.32122829471624</v>
      </c>
      <c r="BQ193" s="56">
        <f t="shared" si="154"/>
        <v>23.628359596342435</v>
      </c>
      <c r="BR193" s="59"/>
      <c r="BS193" s="59"/>
      <c r="BT193" s="59">
        <v>6760.83</v>
      </c>
      <c r="BU193" s="59">
        <v>-4.9019100000000003E-2</v>
      </c>
      <c r="BV193" s="59">
        <v>-229.1</v>
      </c>
      <c r="BW193" s="61"/>
      <c r="BY193" s="59"/>
      <c r="BZ193" s="59"/>
      <c r="CA193" s="59"/>
      <c r="CC193" s="59"/>
    </row>
    <row r="194" spans="1:81" x14ac:dyDescent="0.2">
      <c r="A194">
        <f t="shared" si="158"/>
        <v>80000</v>
      </c>
      <c r="B194">
        <f t="shared" si="138"/>
        <v>80</v>
      </c>
      <c r="C194">
        <f t="shared" si="107"/>
        <v>1.0001862651976929</v>
      </c>
      <c r="D194">
        <f t="shared" si="108"/>
        <v>1.929954870030836E-2</v>
      </c>
      <c r="F194">
        <f t="shared" si="109"/>
        <v>1.3910926064229048E-2</v>
      </c>
      <c r="G194">
        <f t="shared" si="110"/>
        <v>4.4738747993763511E-2</v>
      </c>
      <c r="H194">
        <f t="shared" si="111"/>
        <v>-3.0968539020062367</v>
      </c>
      <c r="J194">
        <f t="shared" si="112"/>
        <v>15</v>
      </c>
      <c r="M194">
        <f t="shared" si="113"/>
        <v>2.8209358387527011E-3</v>
      </c>
      <c r="N194">
        <f t="shared" si="114"/>
        <v>-1.5707963250000001</v>
      </c>
      <c r="O194">
        <f t="shared" si="115"/>
        <v>75.088210191131409</v>
      </c>
      <c r="P194">
        <f t="shared" si="116"/>
        <v>1.5574782631485604</v>
      </c>
      <c r="Q194">
        <f t="shared" si="117"/>
        <v>11.217472597395101</v>
      </c>
      <c r="R194">
        <f t="shared" si="118"/>
        <v>1.4815311851877968</v>
      </c>
      <c r="S194">
        <f t="shared" si="119"/>
        <v>0.95367116135546892</v>
      </c>
      <c r="T194">
        <f t="shared" si="120"/>
        <v>-0.30558485540901165</v>
      </c>
      <c r="U194">
        <f t="shared" si="121"/>
        <v>0.94534074720383032</v>
      </c>
      <c r="V194">
        <f t="shared" si="122"/>
        <v>-0.33215833479204127</v>
      </c>
      <c r="X194">
        <f t="shared" si="139"/>
        <v>-6.9924961239972481</v>
      </c>
      <c r="Y194">
        <f t="shared" si="123"/>
        <v>-128.74845363249506</v>
      </c>
      <c r="Z194">
        <f t="shared" si="140"/>
        <v>51.251546367504943</v>
      </c>
      <c r="AC194">
        <v>1</v>
      </c>
      <c r="AD194">
        <f t="shared" si="124"/>
        <v>75.081551060879988</v>
      </c>
      <c r="AE194">
        <f t="shared" si="125"/>
        <v>-6.7932186901476571E-3</v>
      </c>
      <c r="AF194">
        <f t="shared" si="126"/>
        <v>1.9694016004320001E-2</v>
      </c>
      <c r="AG194">
        <f t="shared" si="141"/>
        <v>3391.3755144134393</v>
      </c>
      <c r="AH194">
        <f t="shared" si="142"/>
        <v>-1220.5918551375983</v>
      </c>
      <c r="AJ194">
        <f t="shared" si="127"/>
        <v>18000</v>
      </c>
      <c r="AK194">
        <f t="shared" si="128"/>
        <v>5678.3910157631999</v>
      </c>
      <c r="AL194">
        <v>1</v>
      </c>
      <c r="AM194">
        <f t="shared" si="129"/>
        <v>11.1728103659424</v>
      </c>
      <c r="AN194">
        <f t="shared" si="143"/>
        <v>647.24224119698965</v>
      </c>
      <c r="AO194">
        <f t="shared" si="144"/>
        <v>-1553.1238059583181</v>
      </c>
      <c r="AQ194">
        <f t="shared" si="130"/>
        <v>0.39060974180696068</v>
      </c>
      <c r="AR194">
        <f t="shared" si="131"/>
        <v>-62.49755868911371</v>
      </c>
      <c r="AT194">
        <f t="shared" si="156"/>
        <v>-74959.30678786074</v>
      </c>
      <c r="AU194">
        <f t="shared" si="157"/>
        <v>-212429.46531826412</v>
      </c>
      <c r="AV194">
        <f t="shared" si="145"/>
        <v>-1.9100228066115748</v>
      </c>
      <c r="AW194">
        <f t="shared" si="146"/>
        <v>-92685.631677703073</v>
      </c>
      <c r="AX194">
        <f t="shared" si="147"/>
        <v>-45640.201461705983</v>
      </c>
      <c r="AY194">
        <f t="shared" si="155"/>
        <v>-2.6840279090200903</v>
      </c>
      <c r="BA194">
        <f t="shared" si="132"/>
        <v>2.1804232912081694</v>
      </c>
      <c r="BB194">
        <f t="shared" si="148"/>
        <v>6.7708162499893456</v>
      </c>
      <c r="BC194">
        <f t="shared" si="149"/>
        <v>0.7740051024085155</v>
      </c>
      <c r="BD194">
        <f t="shared" si="133"/>
        <v>-135.6527742597269</v>
      </c>
      <c r="BF194">
        <f t="shared" si="134"/>
        <v>-6.8386199931762395</v>
      </c>
      <c r="BG194">
        <f t="shared" si="135"/>
        <v>-131.98365012775739</v>
      </c>
      <c r="BH194">
        <f t="shared" si="150"/>
        <v>48.016349872242614</v>
      </c>
      <c r="BI194">
        <f t="shared" si="151"/>
        <v>48.016349872242614</v>
      </c>
      <c r="BJ194">
        <f t="shared" si="136"/>
        <v>0</v>
      </c>
      <c r="BK194">
        <f t="shared" si="152"/>
        <v>0</v>
      </c>
      <c r="BM194">
        <f t="shared" si="153"/>
        <v>-13.609436243165584</v>
      </c>
      <c r="BN194">
        <f t="shared" si="137"/>
        <v>-176.33087586803052</v>
      </c>
      <c r="BQ194" s="56">
        <f t="shared" si="154"/>
        <v>23.67277705027448</v>
      </c>
      <c r="BR194" s="59"/>
      <c r="BS194" s="59"/>
      <c r="BT194" s="59">
        <v>6918.31</v>
      </c>
      <c r="BU194" s="59">
        <v>-0.21798300000000001</v>
      </c>
      <c r="BV194" s="59">
        <v>-228.376</v>
      </c>
      <c r="BW194" s="61"/>
      <c r="BY194" s="59"/>
      <c r="BZ194" s="59"/>
      <c r="CA194" s="59"/>
      <c r="CC194" s="59"/>
    </row>
    <row r="195" spans="1:81" x14ac:dyDescent="0.2">
      <c r="A195">
        <f t="shared" si="158"/>
        <v>80500</v>
      </c>
      <c r="B195">
        <f t="shared" si="138"/>
        <v>80.5</v>
      </c>
      <c r="C195">
        <f t="shared" si="107"/>
        <v>1.0001886005684428</v>
      </c>
      <c r="D195">
        <f t="shared" si="108"/>
        <v>1.9420140648331405E-2</v>
      </c>
      <c r="F195">
        <f t="shared" si="109"/>
        <v>1.3736439386484549E-2</v>
      </c>
      <c r="G195">
        <f t="shared" si="110"/>
        <v>4.4453505042621792E-2</v>
      </c>
      <c r="H195">
        <f t="shared" si="111"/>
        <v>-3.0971391449573784</v>
      </c>
      <c r="J195">
        <f t="shared" si="112"/>
        <v>15</v>
      </c>
      <c r="M195">
        <f t="shared" si="113"/>
        <v>2.8034144981393303E-3</v>
      </c>
      <c r="N195">
        <f t="shared" si="114"/>
        <v>-1.5707963250000001</v>
      </c>
      <c r="O195">
        <f t="shared" si="115"/>
        <v>75.557428527838411</v>
      </c>
      <c r="P195">
        <f t="shared" si="116"/>
        <v>1.5575609743505332</v>
      </c>
      <c r="Q195">
        <f t="shared" si="117"/>
        <v>11.287026351288214</v>
      </c>
      <c r="R195">
        <f t="shared" si="118"/>
        <v>1.4820827136260635</v>
      </c>
      <c r="S195">
        <f t="shared" si="119"/>
        <v>0.95313044796656454</v>
      </c>
      <c r="T195">
        <f t="shared" si="120"/>
        <v>-0.30737704533971782</v>
      </c>
      <c r="U195">
        <f t="shared" si="121"/>
        <v>0.94471117026975593</v>
      </c>
      <c r="V195">
        <f t="shared" si="122"/>
        <v>-0.33408368183911735</v>
      </c>
      <c r="X195">
        <f t="shared" si="139"/>
        <v>-7.0591449896508864</v>
      </c>
      <c r="Y195">
        <f t="shared" si="123"/>
        <v>-128.93454736470414</v>
      </c>
      <c r="Z195">
        <f t="shared" si="140"/>
        <v>51.065452635295856</v>
      </c>
      <c r="AC195">
        <v>1</v>
      </c>
      <c r="AD195">
        <f t="shared" si="124"/>
        <v>75.550810755010502</v>
      </c>
      <c r="AE195">
        <f t="shared" si="125"/>
        <v>-6.8783992838795868E-3</v>
      </c>
      <c r="AF195">
        <f t="shared" si="126"/>
        <v>1.9817103604346999E-2</v>
      </c>
      <c r="AG195">
        <f t="shared" si="141"/>
        <v>3386.8598499217251</v>
      </c>
      <c r="AH195">
        <f t="shared" si="142"/>
        <v>-1226.0204544206254</v>
      </c>
      <c r="AJ195">
        <f t="shared" si="127"/>
        <v>18000</v>
      </c>
      <c r="AK195">
        <f t="shared" si="128"/>
        <v>5713.8809596117198</v>
      </c>
      <c r="AL195">
        <v>1</v>
      </c>
      <c r="AM195">
        <f t="shared" si="129"/>
        <v>11.242640430729541</v>
      </c>
      <c r="AN195">
        <f t="shared" si="143"/>
        <v>645.53429378991336</v>
      </c>
      <c r="AO195">
        <f t="shared" si="144"/>
        <v>-1543.6289911732013</v>
      </c>
      <c r="AQ195">
        <f t="shared" si="130"/>
        <v>0.38577270272355529</v>
      </c>
      <c r="AR195">
        <f t="shared" si="131"/>
        <v>-62.109405138492399</v>
      </c>
      <c r="AT195">
        <f t="shared" si="156"/>
        <v>-74840.843033638987</v>
      </c>
      <c r="AU195">
        <f t="shared" si="157"/>
        <v>-210828.8157903782</v>
      </c>
      <c r="AV195">
        <f t="shared" si="145"/>
        <v>-1.911904260825511</v>
      </c>
      <c r="AW195">
        <f t="shared" si="146"/>
        <v>-91504.718778375856</v>
      </c>
      <c r="AX195">
        <f t="shared" si="147"/>
        <v>-45256.377940424951</v>
      </c>
      <c r="AY195">
        <f t="shared" si="155"/>
        <v>-2.6822906652906378</v>
      </c>
      <c r="BA195">
        <f t="shared" si="132"/>
        <v>2.1915016924514075</v>
      </c>
      <c r="BB195">
        <f t="shared" si="148"/>
        <v>6.8148362077349773</v>
      </c>
      <c r="BC195">
        <f t="shared" si="149"/>
        <v>0.77038640446512674</v>
      </c>
      <c r="BD195">
        <f t="shared" si="133"/>
        <v>-135.86011037945266</v>
      </c>
      <c r="BF195">
        <f t="shared" si="134"/>
        <v>-6.9042171194690773</v>
      </c>
      <c r="BG195">
        <f t="shared" si="135"/>
        <v>-132.20042005506525</v>
      </c>
      <c r="BH195">
        <f t="shared" si="150"/>
        <v>47.799579944934749</v>
      </c>
      <c r="BI195">
        <f t="shared" si="151"/>
        <v>47.799579944934749</v>
      </c>
      <c r="BJ195">
        <f t="shared" si="136"/>
        <v>0</v>
      </c>
      <c r="BK195">
        <f t="shared" si="152"/>
        <v>0</v>
      </c>
      <c r="BM195">
        <f t="shared" si="153"/>
        <v>-13.719053327204055</v>
      </c>
      <c r="BN195">
        <f t="shared" si="137"/>
        <v>-176.34030967561259</v>
      </c>
      <c r="BQ195" s="56">
        <f t="shared" si="154"/>
        <v>23.716797008020116</v>
      </c>
      <c r="BR195" s="59"/>
      <c r="BS195" s="59"/>
      <c r="BT195" s="59">
        <v>7079.4579999999996</v>
      </c>
      <c r="BU195" s="59">
        <v>-0.38401400000000002</v>
      </c>
      <c r="BV195" s="59">
        <v>-227.04400000000001</v>
      </c>
      <c r="BW195" s="61"/>
      <c r="BY195" s="59"/>
      <c r="BZ195" s="59"/>
      <c r="CA195" s="59"/>
      <c r="CC195" s="59"/>
    </row>
    <row r="196" spans="1:81" x14ac:dyDescent="0.2">
      <c r="A196">
        <f t="shared" si="158"/>
        <v>81000</v>
      </c>
      <c r="B196">
        <f t="shared" si="138"/>
        <v>81</v>
      </c>
      <c r="C196">
        <f t="shared" si="107"/>
        <v>1.0001909504842852</v>
      </c>
      <c r="D196">
        <f t="shared" si="108"/>
        <v>1.9540732031454476E-2</v>
      </c>
      <c r="F196">
        <f t="shared" si="109"/>
        <v>1.3565228655126146E-2</v>
      </c>
      <c r="G196">
        <f t="shared" si="110"/>
        <v>4.4171920928297928E-2</v>
      </c>
      <c r="H196">
        <f t="shared" si="111"/>
        <v>-3.0974207290717022</v>
      </c>
      <c r="J196">
        <f t="shared" si="112"/>
        <v>15</v>
      </c>
      <c r="M196">
        <f t="shared" si="113"/>
        <v>2.786109470373038E-3</v>
      </c>
      <c r="N196">
        <f t="shared" si="114"/>
        <v>-1.5707963250000001</v>
      </c>
      <c r="O196">
        <f t="shared" si="115"/>
        <v>76.026647375064229</v>
      </c>
      <c r="P196">
        <f t="shared" si="116"/>
        <v>1.5576426646043211</v>
      </c>
      <c r="Q196">
        <f t="shared" si="117"/>
        <v>11.356583496454178</v>
      </c>
      <c r="R196">
        <f t="shared" si="118"/>
        <v>1.482627486192323</v>
      </c>
      <c r="S196">
        <f t="shared" si="119"/>
        <v>0.95258729292595556</v>
      </c>
      <c r="T196">
        <f t="shared" si="120"/>
        <v>-0.3091671984046358</v>
      </c>
      <c r="U196">
        <f t="shared" si="121"/>
        <v>0.94407893867526405</v>
      </c>
      <c r="V196">
        <f t="shared" si="122"/>
        <v>-0.33600645899557186</v>
      </c>
      <c r="X196">
        <f t="shared" si="139"/>
        <v>-7.1254778855894285</v>
      </c>
      <c r="Y196">
        <f t="shared" si="123"/>
        <v>-129.12061312464743</v>
      </c>
      <c r="Z196">
        <f t="shared" si="140"/>
        <v>50.879386875352566</v>
      </c>
      <c r="AC196">
        <v>1</v>
      </c>
      <c r="AD196">
        <f t="shared" si="124"/>
        <v>76.020070449141002</v>
      </c>
      <c r="AE196">
        <f t="shared" si="125"/>
        <v>-6.9641105978216836E-3</v>
      </c>
      <c r="AF196">
        <f t="shared" si="126"/>
        <v>1.9940191204374E-2</v>
      </c>
      <c r="AG196">
        <f t="shared" si="141"/>
        <v>3382.3281721700846</v>
      </c>
      <c r="AH196">
        <f t="shared" si="142"/>
        <v>-1231.4278843893062</v>
      </c>
      <c r="AJ196">
        <f t="shared" si="127"/>
        <v>18000</v>
      </c>
      <c r="AK196">
        <f t="shared" si="128"/>
        <v>5749.3709034602407</v>
      </c>
      <c r="AL196">
        <v>1</v>
      </c>
      <c r="AM196">
        <f t="shared" si="129"/>
        <v>11.312470495516681</v>
      </c>
      <c r="AN196">
        <f t="shared" si="143"/>
        <v>643.85755032938687</v>
      </c>
      <c r="AO196">
        <f t="shared" si="144"/>
        <v>-1534.2486379565933</v>
      </c>
      <c r="AQ196">
        <f t="shared" si="130"/>
        <v>0.38102495713469231</v>
      </c>
      <c r="AR196">
        <f t="shared" si="131"/>
        <v>-61.726043055820156</v>
      </c>
      <c r="AT196">
        <f t="shared" si="156"/>
        <v>-74722.419165135259</v>
      </c>
      <c r="AU196">
        <f t="shared" si="157"/>
        <v>-209246.93914114803</v>
      </c>
      <c r="AV196">
        <f t="shared" si="145"/>
        <v>-1.9137836868762625</v>
      </c>
      <c r="AW196">
        <f t="shared" si="146"/>
        <v>-90345.460258424544</v>
      </c>
      <c r="AX196">
        <f t="shared" si="147"/>
        <v>-44879.392770706312</v>
      </c>
      <c r="AY196">
        <f t="shared" si="155"/>
        <v>-2.6805458894680312</v>
      </c>
      <c r="BA196">
        <f t="shared" si="132"/>
        <v>2.2025365909950287</v>
      </c>
      <c r="BB196">
        <f t="shared" si="148"/>
        <v>6.8584626425691191</v>
      </c>
      <c r="BC196">
        <f t="shared" si="149"/>
        <v>0.76676220259176864</v>
      </c>
      <c r="BD196">
        <f t="shared" si="133"/>
        <v>-136.06776185113677</v>
      </c>
      <c r="BF196">
        <f t="shared" si="134"/>
        <v>-6.9695113875107868</v>
      </c>
      <c r="BG196">
        <f t="shared" si="135"/>
        <v>-132.41729573078996</v>
      </c>
      <c r="BH196">
        <f t="shared" si="150"/>
        <v>47.582704269210041</v>
      </c>
      <c r="BI196">
        <f t="shared" si="151"/>
        <v>47.582704269210041</v>
      </c>
      <c r="BJ196">
        <f t="shared" si="136"/>
        <v>0</v>
      </c>
      <c r="BK196">
        <f t="shared" si="152"/>
        <v>0</v>
      </c>
      <c r="BM196">
        <f t="shared" si="153"/>
        <v>-13.827974030079906</v>
      </c>
      <c r="BN196">
        <f t="shared" si="137"/>
        <v>-176.34953387965319</v>
      </c>
      <c r="BQ196" s="56">
        <f t="shared" si="154"/>
        <v>23.760423442854254</v>
      </c>
      <c r="BR196" s="59"/>
      <c r="BS196" s="59"/>
      <c r="BT196" s="59">
        <v>7244.36</v>
      </c>
      <c r="BU196" s="59">
        <v>-0.57486000000000004</v>
      </c>
      <c r="BV196" s="59">
        <v>-226.239</v>
      </c>
      <c r="BW196" s="61"/>
      <c r="BY196" s="59"/>
      <c r="BZ196" s="59"/>
      <c r="CA196" s="59"/>
      <c r="CC196" s="59"/>
    </row>
    <row r="197" spans="1:81" x14ac:dyDescent="0.2">
      <c r="A197">
        <f t="shared" si="158"/>
        <v>81500</v>
      </c>
      <c r="B197">
        <f t="shared" si="138"/>
        <v>81.5</v>
      </c>
      <c r="C197">
        <f t="shared" si="107"/>
        <v>1.0001933149451177</v>
      </c>
      <c r="D197">
        <f t="shared" si="108"/>
        <v>1.9661322846174223E-2</v>
      </c>
      <c r="F197">
        <f t="shared" si="109"/>
        <v>1.3397212045697892E-2</v>
      </c>
      <c r="G197">
        <f t="shared" si="110"/>
        <v>4.3893924903146024E-2</v>
      </c>
      <c r="H197">
        <f t="shared" si="111"/>
        <v>-3.0976987250968544</v>
      </c>
      <c r="J197">
        <f t="shared" si="112"/>
        <v>15</v>
      </c>
      <c r="M197">
        <f t="shared" si="113"/>
        <v>2.7690167742357801E-3</v>
      </c>
      <c r="N197">
        <f t="shared" si="114"/>
        <v>-1.5707963250000001</v>
      </c>
      <c r="O197">
        <f t="shared" si="115"/>
        <v>76.495866723414423</v>
      </c>
      <c r="P197">
        <f t="shared" si="116"/>
        <v>1.5577233526960603</v>
      </c>
      <c r="Q197">
        <f t="shared" si="117"/>
        <v>11.426143970959437</v>
      </c>
      <c r="R197">
        <f t="shared" si="118"/>
        <v>1.4831656259461277</v>
      </c>
      <c r="S197">
        <f t="shared" si="119"/>
        <v>0.95204171084020806</v>
      </c>
      <c r="T197">
        <f t="shared" si="120"/>
        <v>-0.31095530662019844</v>
      </c>
      <c r="U197">
        <f t="shared" si="121"/>
        <v>0.94344407175677758</v>
      </c>
      <c r="V197">
        <f t="shared" si="122"/>
        <v>-0.33792665721451748</v>
      </c>
      <c r="X197">
        <f t="shared" si="139"/>
        <v>-7.191499558665793</v>
      </c>
      <c r="Y197">
        <f t="shared" si="123"/>
        <v>-129.30664586313486</v>
      </c>
      <c r="Z197">
        <f t="shared" si="140"/>
        <v>50.693354136865139</v>
      </c>
      <c r="AC197">
        <v>1</v>
      </c>
      <c r="AD197">
        <f t="shared" si="124"/>
        <v>76.489330143271488</v>
      </c>
      <c r="AE197">
        <f t="shared" si="125"/>
        <v>-7.050352631973949E-3</v>
      </c>
      <c r="AF197">
        <f t="shared" si="126"/>
        <v>2.0063278804401001E-2</v>
      </c>
      <c r="AG197">
        <f t="shared" si="141"/>
        <v>3377.7806578327354</v>
      </c>
      <c r="AH197">
        <f t="shared" si="142"/>
        <v>-1236.8140318988392</v>
      </c>
      <c r="AJ197">
        <f t="shared" si="127"/>
        <v>18000</v>
      </c>
      <c r="AK197">
        <f t="shared" si="128"/>
        <v>5784.8608473087597</v>
      </c>
      <c r="AL197">
        <v>1</v>
      </c>
      <c r="AM197">
        <f t="shared" si="129"/>
        <v>11.382300560303822</v>
      </c>
      <c r="AN197">
        <f t="shared" si="143"/>
        <v>642.21125724455442</v>
      </c>
      <c r="AO197">
        <f t="shared" si="144"/>
        <v>-1524.980705859354</v>
      </c>
      <c r="AQ197">
        <f t="shared" si="130"/>
        <v>0.37636432066240122</v>
      </c>
      <c r="AR197">
        <f t="shared" si="131"/>
        <v>-61.3473842679714</v>
      </c>
      <c r="AT197">
        <f t="shared" si="156"/>
        <v>-74604.029560285315</v>
      </c>
      <c r="AU197">
        <f t="shared" si="157"/>
        <v>-207683.50066188737</v>
      </c>
      <c r="AV197">
        <f t="shared" si="145"/>
        <v>-1.9156610657503743</v>
      </c>
      <c r="AW197">
        <f t="shared" si="146"/>
        <v>-89207.333914505885</v>
      </c>
      <c r="AX197">
        <f t="shared" si="147"/>
        <v>-44509.070287093724</v>
      </c>
      <c r="AY197">
        <f t="shared" si="155"/>
        <v>-2.6787937352510651</v>
      </c>
      <c r="BA197">
        <f t="shared" si="132"/>
        <v>2.2135277602913632</v>
      </c>
      <c r="BB197">
        <f t="shared" si="148"/>
        <v>6.9016994584478253</v>
      </c>
      <c r="BC197">
        <f t="shared" si="149"/>
        <v>0.76313266950069081</v>
      </c>
      <c r="BD197">
        <f t="shared" si="133"/>
        <v>-136.27571877909622</v>
      </c>
      <c r="BF197">
        <f t="shared" si="134"/>
        <v>-7.0345077851463955</v>
      </c>
      <c r="BG197">
        <f t="shared" si="135"/>
        <v>-132.63427131299088</v>
      </c>
      <c r="BH197">
        <f t="shared" si="150"/>
        <v>47.365728687009124</v>
      </c>
      <c r="BI197">
        <f t="shared" si="151"/>
        <v>47.365728687009124</v>
      </c>
      <c r="BJ197">
        <f t="shared" si="136"/>
        <v>0</v>
      </c>
      <c r="BK197">
        <f t="shared" si="152"/>
        <v>0</v>
      </c>
      <c r="BM197">
        <f t="shared" si="153"/>
        <v>-13.936207243594222</v>
      </c>
      <c r="BN197">
        <f t="shared" si="137"/>
        <v>-176.35855253389465</v>
      </c>
      <c r="BQ197" s="56">
        <f t="shared" si="154"/>
        <v>23.803660258732965</v>
      </c>
      <c r="BR197" s="59"/>
      <c r="BS197" s="59"/>
      <c r="BT197" s="59">
        <v>7413.1019999999999</v>
      </c>
      <c r="BU197" s="59">
        <v>-0.73329999999999995</v>
      </c>
      <c r="BV197" s="59">
        <v>-225.834</v>
      </c>
      <c r="BW197" s="61"/>
      <c r="BY197" s="59"/>
      <c r="BZ197" s="59"/>
      <c r="CA197" s="59"/>
      <c r="CC197" s="59"/>
    </row>
    <row r="198" spans="1:81" x14ac:dyDescent="0.2">
      <c r="A198">
        <f t="shared" si="158"/>
        <v>82000</v>
      </c>
      <c r="B198">
        <f t="shared" si="138"/>
        <v>82</v>
      </c>
      <c r="C198">
        <f t="shared" si="107"/>
        <v>1.0001956939508372</v>
      </c>
      <c r="D198">
        <f t="shared" si="108"/>
        <v>1.9781913088987396E-2</v>
      </c>
      <c r="F198">
        <f t="shared" si="109"/>
        <v>1.323231028245964E-2</v>
      </c>
      <c r="G198">
        <f t="shared" si="110"/>
        <v>4.3619448050489631E-2</v>
      </c>
      <c r="H198">
        <f t="shared" si="111"/>
        <v>-3.0979732019495105</v>
      </c>
      <c r="J198">
        <f t="shared" si="112"/>
        <v>15</v>
      </c>
      <c r="M198">
        <f t="shared" si="113"/>
        <v>2.7521325256123913E-3</v>
      </c>
      <c r="N198">
        <f t="shared" si="114"/>
        <v>-1.5707963250000001</v>
      </c>
      <c r="O198">
        <f t="shared" si="115"/>
        <v>76.965086563723645</v>
      </c>
      <c r="P198">
        <f t="shared" si="116"/>
        <v>1.5578030569538184</v>
      </c>
      <c r="Q198">
        <f t="shared" si="117"/>
        <v>11.495707714366535</v>
      </c>
      <c r="R198">
        <f t="shared" si="118"/>
        <v>1.4836972529839401</v>
      </c>
      <c r="S198">
        <f t="shared" si="119"/>
        <v>0.95149371633447466</v>
      </c>
      <c r="T198">
        <f t="shared" si="120"/>
        <v>-0.31274136207337111</v>
      </c>
      <c r="U198">
        <f t="shared" si="121"/>
        <v>0.94280658885811819</v>
      </c>
      <c r="V198">
        <f t="shared" si="122"/>
        <v>-0.33984426754938957</v>
      </c>
      <c r="X198">
        <f t="shared" si="139"/>
        <v>-7.2572146540027882</v>
      </c>
      <c r="Y198">
        <f t="shared" si="123"/>
        <v>-129.4926406318765</v>
      </c>
      <c r="Z198">
        <f t="shared" si="140"/>
        <v>50.507359368123502</v>
      </c>
      <c r="AC198">
        <v>1</v>
      </c>
      <c r="AD198">
        <f t="shared" si="124"/>
        <v>76.958589837402002</v>
      </c>
      <c r="AE198">
        <f t="shared" si="125"/>
        <v>-7.1371253863363824E-3</v>
      </c>
      <c r="AF198">
        <f t="shared" si="126"/>
        <v>2.0186366404427999E-2</v>
      </c>
      <c r="AG198">
        <f t="shared" si="141"/>
        <v>3373.2174834230641</v>
      </c>
      <c r="AH198">
        <f t="shared" si="142"/>
        <v>-1242.1787870189512</v>
      </c>
      <c r="AJ198">
        <f t="shared" si="127"/>
        <v>18000</v>
      </c>
      <c r="AK198">
        <f t="shared" si="128"/>
        <v>5820.3507911572797</v>
      </c>
      <c r="AL198">
        <v>1</v>
      </c>
      <c r="AM198">
        <f t="shared" si="129"/>
        <v>11.452130625090961</v>
      </c>
      <c r="AN198">
        <f t="shared" si="143"/>
        <v>640.5946835180323</v>
      </c>
      <c r="AO198">
        <f t="shared" si="144"/>
        <v>-1515.8232022300294</v>
      </c>
      <c r="AQ198">
        <f t="shared" si="130"/>
        <v>0.37178867531694987</v>
      </c>
      <c r="AR198">
        <f t="shared" si="131"/>
        <v>-60.973342751979771</v>
      </c>
      <c r="AT198">
        <f t="shared" si="156"/>
        <v>-74485.668880427154</v>
      </c>
      <c r="AU198">
        <f t="shared" si="157"/>
        <v>-206138.17379945773</v>
      </c>
      <c r="AV198">
        <f t="shared" si="145"/>
        <v>-1.9175363787776822</v>
      </c>
      <c r="AW198">
        <f t="shared" si="146"/>
        <v>-88089.8331475905</v>
      </c>
      <c r="AX198">
        <f t="shared" si="147"/>
        <v>-44145.240575797929</v>
      </c>
      <c r="AY198">
        <f t="shared" si="155"/>
        <v>-2.6770343534130085</v>
      </c>
      <c r="BA198">
        <f t="shared" si="132"/>
        <v>2.2244749761254292</v>
      </c>
      <c r="BB198">
        <f t="shared" si="148"/>
        <v>6.9445504917080658</v>
      </c>
      <c r="BC198">
        <f t="shared" si="149"/>
        <v>0.75949797463532631</v>
      </c>
      <c r="BD198">
        <f t="shared" si="133"/>
        <v>-136.48397145493743</v>
      </c>
      <c r="BF198">
        <f t="shared" si="134"/>
        <v>-7.0992111967336422</v>
      </c>
      <c r="BG198">
        <f t="shared" si="135"/>
        <v>-132.85134104210977</v>
      </c>
      <c r="BH198">
        <f t="shared" si="150"/>
        <v>47.148658957890234</v>
      </c>
      <c r="BI198">
        <f t="shared" si="151"/>
        <v>47.148658957890234</v>
      </c>
      <c r="BJ198">
        <f t="shared" si="136"/>
        <v>0</v>
      </c>
      <c r="BK198">
        <f t="shared" si="152"/>
        <v>0</v>
      </c>
      <c r="BM198">
        <f t="shared" si="153"/>
        <v>-14.043761688441707</v>
      </c>
      <c r="BN198">
        <f t="shared" si="137"/>
        <v>-176.36736958717231</v>
      </c>
      <c r="BQ198" s="56">
        <f t="shared" si="154"/>
        <v>23.846511291993203</v>
      </c>
      <c r="BR198" s="59"/>
      <c r="BS198" s="59"/>
      <c r="BT198" s="59">
        <v>7585.7759999999998</v>
      </c>
      <c r="BU198" s="59">
        <v>-0.87090199999999995</v>
      </c>
      <c r="BV198" s="59">
        <v>-224.429</v>
      </c>
      <c r="BW198" s="61"/>
      <c r="BY198" s="59"/>
      <c r="BZ198" s="59"/>
      <c r="CA198" s="59"/>
      <c r="CC198" s="59"/>
    </row>
    <row r="199" spans="1:81" x14ac:dyDescent="0.2">
      <c r="A199">
        <f t="shared" si="158"/>
        <v>82500</v>
      </c>
      <c r="B199">
        <f t="shared" si="138"/>
        <v>82.5</v>
      </c>
      <c r="C199">
        <f t="shared" si="107"/>
        <v>1.0001980875013396</v>
      </c>
      <c r="D199">
        <f t="shared" si="108"/>
        <v>1.9902502756390827E-2</v>
      </c>
      <c r="F199">
        <f t="shared" si="109"/>
        <v>1.3070446543355966E-2</v>
      </c>
      <c r="G199">
        <f t="shared" si="110"/>
        <v>4.3348423225233704E-2</v>
      </c>
      <c r="H199">
        <f t="shared" si="111"/>
        <v>-3.0982442267747663</v>
      </c>
      <c r="J199">
        <f t="shared" si="112"/>
        <v>15</v>
      </c>
      <c r="M199">
        <f t="shared" si="113"/>
        <v>2.7354529345480737E-3</v>
      </c>
      <c r="N199">
        <f t="shared" si="114"/>
        <v>-1.5707963250000001</v>
      </c>
      <c r="O199">
        <f t="shared" si="115"/>
        <v>77.434306887048706</v>
      </c>
      <c r="P199">
        <f t="shared" si="116"/>
        <v>1.5578817952614719</v>
      </c>
      <c r="Q199">
        <f t="shared" si="117"/>
        <v>11.565274667689318</v>
      </c>
      <c r="R199">
        <f t="shared" si="118"/>
        <v>1.4842224845275565</v>
      </c>
      <c r="S199">
        <f t="shared" si="119"/>
        <v>0.95094332405157544</v>
      </c>
      <c r="T199">
        <f t="shared" si="120"/>
        <v>-0.31452535692166322</v>
      </c>
      <c r="U199">
        <f t="shared" si="121"/>
        <v>0.94216650932918611</v>
      </c>
      <c r="V199">
        <f t="shared" si="122"/>
        <v>-0.34175928115385157</v>
      </c>
      <c r="X199">
        <f t="shared" si="139"/>
        <v>-7.3226277177816783</v>
      </c>
      <c r="Y199">
        <f t="shared" si="123"/>
        <v>-129.67859258101942</v>
      </c>
      <c r="Z199">
        <f t="shared" si="140"/>
        <v>50.321407418980584</v>
      </c>
      <c r="AC199">
        <v>1</v>
      </c>
      <c r="AD199">
        <f t="shared" si="124"/>
        <v>77.427849531532502</v>
      </c>
      <c r="AE199">
        <f t="shared" si="125"/>
        <v>-7.2244288609089827E-3</v>
      </c>
      <c r="AF199">
        <f t="shared" si="126"/>
        <v>2.0309454004455E-2</v>
      </c>
      <c r="AG199">
        <f t="shared" si="141"/>
        <v>3368.6388252801294</v>
      </c>
      <c r="AH199">
        <f t="shared" si="142"/>
        <v>-1247.5220429743995</v>
      </c>
      <c r="AJ199">
        <f t="shared" si="127"/>
        <v>18000</v>
      </c>
      <c r="AK199">
        <f t="shared" si="128"/>
        <v>5855.8407350058005</v>
      </c>
      <c r="AL199">
        <v>1</v>
      </c>
      <c r="AM199">
        <f t="shared" si="129"/>
        <v>11.521960689878101</v>
      </c>
      <c r="AN199">
        <f t="shared" si="143"/>
        <v>639.00711988280761</v>
      </c>
      <c r="AO199">
        <f t="shared" si="144"/>
        <v>-1506.774180836132</v>
      </c>
      <c r="AQ199">
        <f t="shared" si="130"/>
        <v>0.36729596709028134</v>
      </c>
      <c r="AR199">
        <f t="shared" si="131"/>
        <v>-60.603834569896421</v>
      </c>
      <c r="AT199">
        <f t="shared" si="156"/>
        <v>-74367.332059610577</v>
      </c>
      <c r="AU199">
        <f t="shared" si="157"/>
        <v>-204610.63990824789</v>
      </c>
      <c r="AV199">
        <f t="shared" si="145"/>
        <v>-1.9194096076238625</v>
      </c>
      <c r="AW199">
        <f t="shared" si="146"/>
        <v>-86992.466408155538</v>
      </c>
      <c r="AX199">
        <f t="shared" si="147"/>
        <v>-43787.739248535509</v>
      </c>
      <c r="AY199">
        <f t="shared" si="155"/>
        <v>-2.6752678918932769</v>
      </c>
      <c r="BA199">
        <f t="shared" si="132"/>
        <v>2.2353780166320267</v>
      </c>
      <c r="BB199">
        <f t="shared" si="148"/>
        <v>6.9870195127186907</v>
      </c>
      <c r="BC199">
        <f t="shared" si="149"/>
        <v>0.75585828426941437</v>
      </c>
      <c r="BD199">
        <f t="shared" si="133"/>
        <v>-136.6925103518769</v>
      </c>
      <c r="BF199">
        <f t="shared" si="134"/>
        <v>-7.1636264058971344</v>
      </c>
      <c r="BG199">
        <f t="shared" si="135"/>
        <v>-133.06849923869439</v>
      </c>
      <c r="BH199">
        <f t="shared" si="150"/>
        <v>46.931500761305614</v>
      </c>
      <c r="BI199">
        <f t="shared" si="151"/>
        <v>46.931500761305614</v>
      </c>
      <c r="BJ199">
        <f t="shared" si="136"/>
        <v>0</v>
      </c>
      <c r="BK199">
        <f t="shared" si="152"/>
        <v>0</v>
      </c>
      <c r="BM199">
        <f t="shared" si="153"/>
        <v>-14.150645918615826</v>
      </c>
      <c r="BN199">
        <f t="shared" si="137"/>
        <v>-176.37598888681751</v>
      </c>
      <c r="BQ199" s="56">
        <f t="shared" si="154"/>
        <v>23.888980313003827</v>
      </c>
      <c r="BR199" s="59"/>
      <c r="BS199" s="59"/>
      <c r="BT199" s="59">
        <v>7762.4709999999995</v>
      </c>
      <c r="BU199" s="59">
        <v>-1.0348599999999999</v>
      </c>
      <c r="BV199" s="59">
        <v>-223.255</v>
      </c>
      <c r="BW199" s="61"/>
      <c r="BY199" s="59"/>
      <c r="BZ199" s="59"/>
      <c r="CA199" s="59"/>
      <c r="CC199" s="59"/>
    </row>
    <row r="200" spans="1:81" x14ac:dyDescent="0.2">
      <c r="A200">
        <f t="shared" si="158"/>
        <v>83000</v>
      </c>
      <c r="B200">
        <f t="shared" si="138"/>
        <v>83</v>
      </c>
      <c r="C200">
        <f t="shared" si="107"/>
        <v>1.0002004955965209</v>
      </c>
      <c r="D200">
        <f t="shared" si="108"/>
        <v>2.002309184488147E-2</v>
      </c>
      <c r="F200">
        <f t="shared" si="109"/>
        <v>1.2911546369108115E-2</v>
      </c>
      <c r="G200">
        <f t="shared" si="110"/>
        <v>4.3080784996791216E-2</v>
      </c>
      <c r="H200">
        <f t="shared" si="111"/>
        <v>-3.0985118650032089</v>
      </c>
      <c r="J200">
        <f t="shared" si="112"/>
        <v>15</v>
      </c>
      <c r="M200">
        <f t="shared" si="113"/>
        <v>2.7189743024122423E-3</v>
      </c>
      <c r="N200">
        <f t="shared" si="114"/>
        <v>-1.5707963250000001</v>
      </c>
      <c r="O200">
        <f t="shared" si="115"/>
        <v>77.903527684661825</v>
      </c>
      <c r="P200">
        <f t="shared" si="116"/>
        <v>1.5579595850720795</v>
      </c>
      <c r="Q200">
        <f t="shared" si="117"/>
        <v>11.634844773349689</v>
      </c>
      <c r="R200">
        <f t="shared" si="118"/>
        <v>1.4847414350093893</v>
      </c>
      <c r="S200">
        <f t="shared" si="119"/>
        <v>0.95039054865108574</v>
      </c>
      <c r="T200">
        <f t="shared" si="120"/>
        <v>-0.3163072833931343</v>
      </c>
      <c r="U200">
        <f t="shared" si="121"/>
        <v>0.94152385252464466</v>
      </c>
      <c r="V200">
        <f t="shared" si="122"/>
        <v>-0.34367168928169162</v>
      </c>
      <c r="X200">
        <f t="shared" si="139"/>
        <v>-7.3877431999354668</v>
      </c>
      <c r="Y200">
        <f t="shared" si="123"/>
        <v>-129.86449695675955</v>
      </c>
      <c r="Z200">
        <f t="shared" si="140"/>
        <v>50.135503043240448</v>
      </c>
      <c r="AC200">
        <v>1</v>
      </c>
      <c r="AD200">
        <f t="shared" si="124"/>
        <v>77.897109225662987</v>
      </c>
      <c r="AE200">
        <f t="shared" si="125"/>
        <v>-7.3122630556917518E-3</v>
      </c>
      <c r="AF200">
        <f t="shared" si="126"/>
        <v>2.0432541604481998E-2</v>
      </c>
      <c r="AG200">
        <f t="shared" si="141"/>
        <v>3364.0448595553148</v>
      </c>
      <c r="AH200">
        <f t="shared" si="142"/>
        <v>-1252.8436960872668</v>
      </c>
      <c r="AJ200">
        <f t="shared" si="127"/>
        <v>18000</v>
      </c>
      <c r="AK200">
        <f t="shared" si="128"/>
        <v>5891.3306788543196</v>
      </c>
      <c r="AL200">
        <v>1</v>
      </c>
      <c r="AM200">
        <f t="shared" si="129"/>
        <v>11.59179075466524</v>
      </c>
      <c r="AN200">
        <f t="shared" si="143"/>
        <v>637.44787805222302</v>
      </c>
      <c r="AO200">
        <f t="shared" si="144"/>
        <v>-1497.831740532414</v>
      </c>
      <c r="AQ200">
        <f t="shared" si="130"/>
        <v>0.36288420365061508</v>
      </c>
      <c r="AR200">
        <f t="shared" si="131"/>
        <v>-60.238777806002105</v>
      </c>
      <c r="AT200">
        <f t="shared" si="156"/>
        <v>-74249.01429434662</v>
      </c>
      <c r="AU200">
        <f t="shared" si="157"/>
        <v>-203100.5880111295</v>
      </c>
      <c r="AV200">
        <f t="shared" si="145"/>
        <v>-1.9212807342832348</v>
      </c>
      <c r="AW200">
        <f t="shared" si="146"/>
        <v>-85914.756664192071</v>
      </c>
      <c r="AX200">
        <f t="shared" si="147"/>
        <v>-43436.407226666954</v>
      </c>
      <c r="AY200">
        <f t="shared" si="155"/>
        <v>-2.6734944958856728</v>
      </c>
      <c r="BA200">
        <f t="shared" si="132"/>
        <v>2.2462366623129979</v>
      </c>
      <c r="BB200">
        <f t="shared" si="148"/>
        <v>7.0291102274841677</v>
      </c>
      <c r="BC200">
        <f t="shared" si="149"/>
        <v>0.75221376160243802</v>
      </c>
      <c r="BD200">
        <f t="shared" si="133"/>
        <v>-136.90132611927302</v>
      </c>
      <c r="BF200">
        <f t="shared" si="134"/>
        <v>-7.2277580981876755</v>
      </c>
      <c r="BG200">
        <f t="shared" si="135"/>
        <v>-133.28574030120043</v>
      </c>
      <c r="BH200">
        <f t="shared" si="150"/>
        <v>46.714259698799566</v>
      </c>
      <c r="BI200">
        <f t="shared" si="151"/>
        <v>46.714259698799566</v>
      </c>
      <c r="BJ200">
        <f t="shared" si="136"/>
        <v>0</v>
      </c>
      <c r="BK200">
        <f t="shared" si="152"/>
        <v>0</v>
      </c>
      <c r="BM200">
        <f t="shared" si="153"/>
        <v>-14.256868325671846</v>
      </c>
      <c r="BN200">
        <f t="shared" si="137"/>
        <v>-176.38441418192738</v>
      </c>
      <c r="BQ200" s="56">
        <f t="shared" si="154"/>
        <v>23.931071027769303</v>
      </c>
      <c r="BR200" s="59"/>
      <c r="BS200" s="59"/>
      <c r="BT200" s="59">
        <v>7943.2820000000002</v>
      </c>
      <c r="BU200" s="59">
        <v>-1.2307999999999999</v>
      </c>
      <c r="BV200" s="59">
        <v>-223.13499999999999</v>
      </c>
      <c r="BW200" s="61"/>
      <c r="BY200" s="59"/>
      <c r="BZ200" s="59"/>
      <c r="CA200" s="59"/>
      <c r="CC200" s="59"/>
    </row>
    <row r="201" spans="1:81" x14ac:dyDescent="0.2">
      <c r="A201">
        <f>A200+500</f>
        <v>83500</v>
      </c>
      <c r="B201">
        <f t="shared" si="138"/>
        <v>83.5</v>
      </c>
      <c r="C201">
        <f t="shared" ref="C201:C264" si="159">SQRT((A201/Fesr)^2+1)</f>
        <v>1.0002029182362757</v>
      </c>
      <c r="D201">
        <f t="shared" ref="D201:D264" si="160">ATAN(A201/Fesr)</f>
        <v>2.0143680350956369E-2</v>
      </c>
      <c r="F201">
        <f t="shared" ref="F201:F264" si="161">(Ro/(Ro+Rdcr))/SQRT((A201/(Q*Fo))^2+(1-(A201^2/Fo^2))^2)</f>
        <v>1.2755537576225153E-2</v>
      </c>
      <c r="G201">
        <f t="shared" ref="G201:G264" si="162">-ATAN(A201*Fo/(Q*(Fo^2-A201^2)))</f>
        <v>4.2816469594219392E-2</v>
      </c>
      <c r="H201">
        <f t="shared" ref="H201:H264" si="163">IF(G201&gt;0,G201-Pi,G201)</f>
        <v>-3.098776180405781</v>
      </c>
      <c r="J201">
        <f t="shared" ref="J201:J264" si="164">Vin/Vramp</f>
        <v>15</v>
      </c>
      <c r="M201">
        <f t="shared" ref="M201:M264" si="165">1/(2*Pi*_Rfb1*(Cc1ea_u+Cc2ea_u)*A201)</f>
        <v>2.7026930191642647E-3</v>
      </c>
      <c r="N201">
        <f t="shared" ref="N201:N264" si="166">-Pi/2</f>
        <v>-1.5707963250000001</v>
      </c>
      <c r="O201">
        <f t="shared" ref="O201:O264" si="167">SQRT(1+(A201/Fz1_u)^2)</f>
        <v>78.37274894804429</v>
      </c>
      <c r="P201">
        <f t="shared" ref="P201:P264" si="168">ATAN2(Fz1_u,A201)</f>
        <v>1.5580364434207785</v>
      </c>
      <c r="Q201">
        <f t="shared" ref="Q201:Q264" si="169">SQRT(1+(A201/Fz2_u)^2)</f>
        <v>11.704417975135936</v>
      </c>
      <c r="R201">
        <f t="shared" ref="R201:R264" si="170">ATAN2(Fz2_u,A201)</f>
        <v>1.4852542161547404</v>
      </c>
      <c r="S201">
        <f t="shared" ref="S201:S264" si="171">1/SQRT(1+(A201/Fp1_u)^2)</f>
        <v>0.94983540480842354</v>
      </c>
      <c r="T201">
        <f t="shared" ref="T201:T264" si="172">-ATAN2(Fp1_u,A201)</f>
        <v>-0.3180871337863958</v>
      </c>
      <c r="U201">
        <f t="shared" ref="U201:U264" si="173">1/SQRT(1+(A201/Fp2_u)^2)</f>
        <v>0.94087863780261893</v>
      </c>
      <c r="V201">
        <f t="shared" ref="V201:V264" si="174">-ATAN2(Fp2_u,A201)</f>
        <v>-0.34558148328671262</v>
      </c>
      <c r="X201">
        <f t="shared" si="139"/>
        <v>-7.4525654567507429</v>
      </c>
      <c r="Y201">
        <f t="shared" ref="Y201:Y264" si="175">(180/Pi)*(D201+H201+N201+P201+R201+T201+V201)</f>
        <v>-130.05034909902608</v>
      </c>
      <c r="Z201">
        <f t="shared" si="140"/>
        <v>49.949650900973921</v>
      </c>
      <c r="AC201">
        <v>1</v>
      </c>
      <c r="AD201">
        <f t="shared" ref="AD201:AD264" si="176">Rcea1_u*Cc1ea_u*A201*2*Pi</f>
        <v>78.366368919793501</v>
      </c>
      <c r="AE201">
        <f t="shared" ref="AE201:AE264" si="177">-Rcea1_u*Cc1ea_u*Cc2ea_u*(A201*2*Pi)^2</f>
        <v>-7.4006279706846888E-3</v>
      </c>
      <c r="AF201">
        <f t="shared" ref="AF201:AF264" si="178">(Cc2ea_u+Cc1ea_u)*A201*2*Pi</f>
        <v>2.0555629204509002E-2</v>
      </c>
      <c r="AG201">
        <f t="shared" si="141"/>
        <v>3359.4357621991007</v>
      </c>
      <c r="AH201">
        <f t="shared" si="142"/>
        <v>-1258.1436457209556</v>
      </c>
      <c r="AJ201">
        <f t="shared" ref="AJ201:AJ264" si="179">_Rfb1</f>
        <v>18000</v>
      </c>
      <c r="AK201">
        <f t="shared" ref="AK201:AK264" si="180">_Rfb1*Rcea2_u*Cc3ea_u*A201*2*Pi</f>
        <v>5926.8206227028404</v>
      </c>
      <c r="AL201">
        <v>1</v>
      </c>
      <c r="AM201">
        <f t="shared" ref="AM201:AM264" si="181">(_Rfb1+Rcea2_u)*Cc3ea_u*A201*2*Pi</f>
        <v>11.661620819452381</v>
      </c>
      <c r="AN201">
        <f t="shared" si="143"/>
        <v>635.91628998149406</v>
      </c>
      <c r="AO201">
        <f t="shared" si="144"/>
        <v>-1488.9940239742684</v>
      </c>
      <c r="AQ201">
        <f t="shared" ref="AQ201:AQ264" si="182">Eadcg/(1+(Eadcg*A201/GBP)^2)</f>
        <v>0.35855145213338113</v>
      </c>
      <c r="AR201">
        <f t="shared" ref="AR201:AR264" si="183">-(A201*Eadcg*Eadcg/GBP)/(1+(Eadcg*A201/GBP)^2)</f>
        <v>-59.878092506274648</v>
      </c>
      <c r="AT201">
        <f t="shared" si="156"/>
        <v>-74130.711033775719</v>
      </c>
      <c r="AU201">
        <f t="shared" si="157"/>
        <v>-201607.71456901068</v>
      </c>
      <c r="AV201">
        <f t="shared" si="145"/>
        <v>-1.9231497410718137</v>
      </c>
      <c r="AW201">
        <f t="shared" si="146"/>
        <v>-84856.240890963119</v>
      </c>
      <c r="AX201">
        <f t="shared" si="147"/>
        <v>-43091.090535103373</v>
      </c>
      <c r="AY201">
        <f t="shared" si="155"/>
        <v>-2.6717143079233501</v>
      </c>
      <c r="BA201">
        <f t="shared" ref="BA201:BA264" si="184">SQRT(AT201^2+AU201^2)/SQRT(AW201^2+AX201^2)</f>
        <v>2.2570506960546353</v>
      </c>
      <c r="BB201">
        <f t="shared" si="148"/>
        <v>7.0708262792027039</v>
      </c>
      <c r="BC201">
        <f t="shared" si="149"/>
        <v>0.74856456685153638</v>
      </c>
      <c r="BD201">
        <f t="shared" ref="BD201:BD264" si="185">BC201*180/Pi-180</f>
        <v>-137.11040957735992</v>
      </c>
      <c r="BF201">
        <f t="shared" ref="BF201:BF264" si="186">20*LOG(BA201*J201*F201*C201)</f>
        <v>-7.2916108636506429</v>
      </c>
      <c r="BG201">
        <f t="shared" ref="BG201:BG264" si="187">(180/Pi)*(D201+H201+BC201)</f>
        <v>-133.5030587038685</v>
      </c>
      <c r="BH201">
        <f t="shared" si="150"/>
        <v>46.496941296131496</v>
      </c>
      <c r="BI201">
        <f t="shared" si="151"/>
        <v>46.496941296131496</v>
      </c>
      <c r="BJ201">
        <f t="shared" ref="BJ201:BJ264" si="188">SUM((BF202&lt;0)*(BF201&gt;0))*A201</f>
        <v>0</v>
      </c>
      <c r="BK201">
        <f t="shared" si="152"/>
        <v>0</v>
      </c>
      <c r="BM201">
        <f t="shared" si="153"/>
        <v>-14.362437142853349</v>
      </c>
      <c r="BN201">
        <f t="shared" ref="BN201:BN264" si="189">(H201+D201)*180/Pi</f>
        <v>-176.39264912650862</v>
      </c>
      <c r="BQ201" s="56">
        <f t="shared" si="154"/>
        <v>23.972787079487841</v>
      </c>
      <c r="BR201" s="59"/>
      <c r="BS201" s="59"/>
      <c r="BT201" s="59">
        <v>8128.3050000000003</v>
      </c>
      <c r="BU201" s="59">
        <v>-1.3526100000000001</v>
      </c>
      <c r="BV201" s="59">
        <v>-221.982</v>
      </c>
      <c r="BW201" s="61"/>
      <c r="BY201" s="59"/>
      <c r="BZ201" s="59"/>
      <c r="CA201" s="59"/>
      <c r="CC201" s="59"/>
    </row>
    <row r="202" spans="1:81" x14ac:dyDescent="0.2">
      <c r="A202">
        <f t="shared" ref="A202:A234" si="190">A201+500</f>
        <v>84000</v>
      </c>
      <c r="B202">
        <f t="shared" ref="B202:B265" si="191">A202/1000</f>
        <v>84</v>
      </c>
      <c r="C202">
        <f t="shared" si="159"/>
        <v>1.0002053554204986</v>
      </c>
      <c r="D202">
        <f t="shared" si="160"/>
        <v>2.0264268271112676E-2</v>
      </c>
      <c r="F202">
        <f t="shared" si="161"/>
        <v>1.2602350173741736E-2</v>
      </c>
      <c r="G202">
        <f t="shared" si="162"/>
        <v>4.2555414853465617E-2</v>
      </c>
      <c r="H202">
        <f t="shared" si="163"/>
        <v>-3.0990372351465347</v>
      </c>
      <c r="J202">
        <f t="shared" si="164"/>
        <v>15</v>
      </c>
      <c r="M202">
        <f t="shared" si="165"/>
        <v>2.6866055607168583E-3</v>
      </c>
      <c r="N202">
        <f t="shared" si="166"/>
        <v>-1.5707963250000001</v>
      </c>
      <c r="O202">
        <f t="shared" si="167"/>
        <v>78.841970668880109</v>
      </c>
      <c r="P202">
        <f t="shared" si="168"/>
        <v>1.5581123869372171</v>
      </c>
      <c r="Q202">
        <f t="shared" si="169"/>
        <v>11.773994218162512</v>
      </c>
      <c r="R202">
        <f t="shared" si="170"/>
        <v>1.4857609370611864</v>
      </c>
      <c r="S202">
        <f t="shared" si="171"/>
        <v>0.94927790721394645</v>
      </c>
      <c r="T202">
        <f t="shared" si="172"/>
        <v>-0.31986490047060773</v>
      </c>
      <c r="U202">
        <f t="shared" si="173"/>
        <v>0.9402308845234002</v>
      </c>
      <c r="V202">
        <f t="shared" si="174"/>
        <v>-0.34748865462261391</v>
      </c>
      <c r="X202">
        <f t="shared" ref="X202:X265" si="192">20*LOG(C202*J202*O202*Q202*F202*M202*S202*U202)</f>
        <v>-7.5170987533818279</v>
      </c>
      <c r="Y202">
        <f t="shared" si="175"/>
        <v>-130.23614443923634</v>
      </c>
      <c r="Z202">
        <f t="shared" ref="Z202:Z265" si="193">Y202+180</f>
        <v>49.763855560763659</v>
      </c>
      <c r="AC202">
        <v>1</v>
      </c>
      <c r="AD202">
        <f t="shared" si="176"/>
        <v>78.835628613924001</v>
      </c>
      <c r="AE202">
        <f t="shared" si="177"/>
        <v>-7.4895236058877927E-3</v>
      </c>
      <c r="AF202">
        <f t="shared" si="178"/>
        <v>2.0678716804536E-2</v>
      </c>
      <c r="AG202">
        <f t="shared" ref="AG202:AG265" si="194">AC202*AE202/(AE202^2+AF202^2)+AD202*AF202/(AE202^2+AF202^2)</f>
        <v>3354.8117089479724</v>
      </c>
      <c r="AH202">
        <f t="shared" ref="AH202:AH265" si="195">AD202*AE202/(AE202^2+AF202^2)-AC202*AF202/(AE202^2+AF202^2)</f>
        <v>-1263.4217942258258</v>
      </c>
      <c r="AJ202">
        <f t="shared" si="179"/>
        <v>18000</v>
      </c>
      <c r="AK202">
        <f t="shared" si="180"/>
        <v>5962.3105665513604</v>
      </c>
      <c r="AL202">
        <v>1</v>
      </c>
      <c r="AM202">
        <f t="shared" si="181"/>
        <v>11.731450884239521</v>
      </c>
      <c r="AN202">
        <f t="shared" ref="AN202:AN265" si="196">AJ202*AL202/(AL202^2+AM202^2)+AK202*AM202/(AL202^2+AM202^2)</f>
        <v>634.4117071593015</v>
      </c>
      <c r="AO202">
        <f t="shared" ref="AO202:AO265" si="197">AK202*AL202/(AL202^2+AM202^2)-AJ202*AM202/(AL202^2+AM202^2)</f>
        <v>-1480.2592163745314</v>
      </c>
      <c r="AQ202">
        <f t="shared" si="182"/>
        <v>0.35429583702391498</v>
      </c>
      <c r="AR202">
        <f t="shared" si="183"/>
        <v>-59.521700620017718</v>
      </c>
      <c r="AT202">
        <f t="shared" si="156"/>
        <v>-74012.417970235882</v>
      </c>
      <c r="AU202">
        <f t="shared" si="157"/>
        <v>-200131.72325863072</v>
      </c>
      <c r="AV202">
        <f t="shared" ref="AV202:AV265" si="198">ATAN2(AT202,AU202)</f>
        <v>-1.9250166106205984</v>
      </c>
      <c r="AW202">
        <f t="shared" ref="AW202:AW265" si="199">AG202-AH202*AO202/_Rfb2+AG202*AN202/_Rfb2+AN202-AO202*AR202+AQ202*AN202</f>
        <v>-83816.469581506477</v>
      </c>
      <c r="AX202">
        <f t="shared" ref="AX202:AX265" si="200">AH202+AH202*AN202/_Rfb2+AG202*AO202/_Rfb2+AO202+AO202*AQ202+AN202*AR202</f>
        <v>-42751.64010548222</v>
      </c>
      <c r="AY202">
        <f t="shared" si="155"/>
        <v>-2.6699274679606249</v>
      </c>
      <c r="BA202">
        <f t="shared" si="184"/>
        <v>2.2678199031452029</v>
      </c>
      <c r="BB202">
        <f t="shared" ref="BB202:BB265" si="201">20*LOG(BA202)</f>
        <v>7.1121712497802223</v>
      </c>
      <c r="BC202">
        <f t="shared" ref="BC202:BC265" si="202">AV202-AY202</f>
        <v>0.74491085734002649</v>
      </c>
      <c r="BD202">
        <f t="shared" si="185"/>
        <v>-137.31975171217542</v>
      </c>
      <c r="BF202">
        <f t="shared" si="186"/>
        <v>-7.3551891993071727</v>
      </c>
      <c r="BG202">
        <f t="shared" si="187"/>
        <v>-133.72044899467511</v>
      </c>
      <c r="BH202">
        <f t="shared" ref="BH202:BH265" si="203">IF(BG202&gt;180,BG202-180,BG202+180)</f>
        <v>46.27955100532489</v>
      </c>
      <c r="BI202">
        <f t="shared" ref="BI202:BI265" si="204">IF(BH202&gt;180,BH202-360,BH202)</f>
        <v>46.27955100532489</v>
      </c>
      <c r="BJ202">
        <f t="shared" si="188"/>
        <v>0</v>
      </c>
      <c r="BK202">
        <f t="shared" ref="BK202:BK265" si="205">IF(BJ202&gt;0,BI202,0)</f>
        <v>0</v>
      </c>
      <c r="BM202">
        <f t="shared" ref="BM202:BM265" si="206">20*LOG(J202*F202*C202)</f>
        <v>-14.467360449087394</v>
      </c>
      <c r="BN202">
        <f t="shared" si="189"/>
        <v>-176.40069728249966</v>
      </c>
      <c r="BQ202" s="56">
        <f t="shared" ref="BQ202:BQ265" si="207">20*LOG(BA202*7)</f>
        <v>24.01413205006536</v>
      </c>
      <c r="BR202" s="59"/>
      <c r="BS202" s="59"/>
      <c r="BT202" s="59">
        <v>8317.6380000000008</v>
      </c>
      <c r="BU202" s="59">
        <v>-1.29555</v>
      </c>
      <c r="BV202" s="59">
        <v>-220.93199999999999</v>
      </c>
      <c r="BW202" s="61"/>
      <c r="BY202" s="59"/>
      <c r="BZ202" s="59"/>
      <c r="CA202" s="59"/>
      <c r="CC202" s="59"/>
    </row>
    <row r="203" spans="1:81" x14ac:dyDescent="0.2">
      <c r="A203">
        <f t="shared" si="190"/>
        <v>84500</v>
      </c>
      <c r="B203">
        <f t="shared" si="191"/>
        <v>84.5</v>
      </c>
      <c r="C203">
        <f t="shared" si="159"/>
        <v>1.0002078071490832</v>
      </c>
      <c r="D203">
        <f t="shared" si="160"/>
        <v>2.0384855601847638E-2</v>
      </c>
      <c r="F203">
        <f t="shared" si="161"/>
        <v>1.2451916283500548E-2</v>
      </c>
      <c r="G203">
        <f t="shared" si="162"/>
        <v>4.2297560166628383E-2</v>
      </c>
      <c r="H203">
        <f t="shared" si="163"/>
        <v>-3.099295089833372</v>
      </c>
      <c r="J203">
        <f t="shared" si="164"/>
        <v>15</v>
      </c>
      <c r="M203">
        <f t="shared" si="165"/>
        <v>2.6707084863930898E-3</v>
      </c>
      <c r="N203">
        <f t="shared" si="166"/>
        <v>-1.5707963250000001</v>
      </c>
      <c r="O203">
        <f t="shared" si="167"/>
        <v>79.31119283905015</v>
      </c>
      <c r="P203">
        <f t="shared" si="168"/>
        <v>1.5581874318575477</v>
      </c>
      <c r="Q203">
        <f t="shared" si="169"/>
        <v>11.843573448831211</v>
      </c>
      <c r="R203">
        <f t="shared" si="170"/>
        <v>1.4862617042751929</v>
      </c>
      <c r="S203">
        <f t="shared" si="171"/>
        <v>0.94871807057204993</v>
      </c>
      <c r="T203">
        <f t="shared" si="172"/>
        <v>-0.32164057588546974</v>
      </c>
      <c r="U203">
        <f t="shared" si="173"/>
        <v>0.93958061204816179</v>
      </c>
      <c r="V203">
        <f t="shared" si="174"/>
        <v>-0.34939319484286663</v>
      </c>
      <c r="X203">
        <f t="shared" si="192"/>
        <v>-7.5813472662807975</v>
      </c>
      <c r="Y203">
        <f t="shared" si="175"/>
        <v>-130.42187849811833</v>
      </c>
      <c r="Z203">
        <f t="shared" si="193"/>
        <v>49.578121501881668</v>
      </c>
      <c r="AC203">
        <v>1</v>
      </c>
      <c r="AD203">
        <f t="shared" si="176"/>
        <v>79.304888308054487</v>
      </c>
      <c r="AE203">
        <f t="shared" si="177"/>
        <v>-7.5789499613010645E-3</v>
      </c>
      <c r="AF203">
        <f t="shared" si="178"/>
        <v>2.0801804404562998E-2</v>
      </c>
      <c r="AG203">
        <f t="shared" si="194"/>
        <v>3350.1728753114589</v>
      </c>
      <c r="AH203">
        <f t="shared" si="195"/>
        <v>-1268.6780468863885</v>
      </c>
      <c r="AJ203">
        <f t="shared" si="179"/>
        <v>18000</v>
      </c>
      <c r="AK203">
        <f t="shared" si="180"/>
        <v>5997.8005103998803</v>
      </c>
      <c r="AL203">
        <v>1</v>
      </c>
      <c r="AM203">
        <f t="shared" si="181"/>
        <v>11.80128094902666</v>
      </c>
      <c r="AN203">
        <f t="shared" si="196"/>
        <v>632.93349992806657</v>
      </c>
      <c r="AO203">
        <f t="shared" si="197"/>
        <v>-1471.6255443019791</v>
      </c>
      <c r="AQ203">
        <f t="shared" si="182"/>
        <v>0.35011553812758212</v>
      </c>
      <c r="AR203">
        <f t="shared" si="183"/>
        <v>-59.169525943561375</v>
      </c>
      <c r="AT203">
        <f t="shared" si="156"/>
        <v>-73894.131030210847</v>
      </c>
      <c r="AU203">
        <f t="shared" si="157"/>
        <v>-198672.32475825326</v>
      </c>
      <c r="AV203">
        <f t="shared" si="198"/>
        <v>-1.9268813258690849</v>
      </c>
      <c r="AW203">
        <f t="shared" si="199"/>
        <v>-82795.006276924731</v>
      </c>
      <c r="AX203">
        <f t="shared" si="200"/>
        <v>-42417.911588140167</v>
      </c>
      <c r="AY203">
        <f t="shared" ref="AY203:AY266" si="208">ATAN2(AW203,AX203)</f>
        <v>-2.6681341134517633</v>
      </c>
      <c r="BA203">
        <f t="shared" si="184"/>
        <v>2.2785440712925666</v>
      </c>
      <c r="BB203">
        <f t="shared" si="201"/>
        <v>7.153148661301719</v>
      </c>
      <c r="BC203">
        <f t="shared" si="202"/>
        <v>0.74125278758267843</v>
      </c>
      <c r="BD203">
        <f t="shared" si="185"/>
        <v>-137.52934367067542</v>
      </c>
      <c r="BF203">
        <f t="shared" si="186"/>
        <v>-7.4184975115516796</v>
      </c>
      <c r="BG203">
        <f t="shared" si="187"/>
        <v>-133.93790579335365</v>
      </c>
      <c r="BH203">
        <f t="shared" si="203"/>
        <v>46.06209420664635</v>
      </c>
      <c r="BI203">
        <f t="shared" si="204"/>
        <v>46.06209420664635</v>
      </c>
      <c r="BJ203">
        <f t="shared" si="188"/>
        <v>0</v>
      </c>
      <c r="BK203">
        <f t="shared" si="205"/>
        <v>0</v>
      </c>
      <c r="BM203">
        <f t="shared" si="206"/>
        <v>-14.571646172853399</v>
      </c>
      <c r="BN203">
        <f t="shared" si="189"/>
        <v>-176.40856212267823</v>
      </c>
      <c r="BQ203" s="56">
        <f t="shared" si="207"/>
        <v>24.055109461586856</v>
      </c>
      <c r="BR203" s="59"/>
      <c r="BS203" s="59"/>
      <c r="BT203" s="59">
        <v>8511.3799999999992</v>
      </c>
      <c r="BU203" s="59">
        <v>-1.5137499999999999</v>
      </c>
      <c r="BV203" s="59">
        <v>-219.99600000000001</v>
      </c>
      <c r="BW203" s="61"/>
      <c r="BY203" s="59"/>
      <c r="BZ203" s="59"/>
      <c r="CA203" s="59"/>
      <c r="CC203" s="59"/>
    </row>
    <row r="204" spans="1:81" x14ac:dyDescent="0.2">
      <c r="A204">
        <f t="shared" si="190"/>
        <v>85000</v>
      </c>
      <c r="B204">
        <f t="shared" si="191"/>
        <v>85</v>
      </c>
      <c r="C204">
        <f t="shared" si="159"/>
        <v>1.0002102734219223</v>
      </c>
      <c r="D204">
        <f t="shared" si="160"/>
        <v>2.0505442339658609E-2</v>
      </c>
      <c r="F204">
        <f t="shared" si="161"/>
        <v>1.2304170063807416E-2</v>
      </c>
      <c r="G204">
        <f t="shared" si="162"/>
        <v>4.2042846433143377E-2</v>
      </c>
      <c r="H204">
        <f t="shared" si="163"/>
        <v>-3.0995498035668567</v>
      </c>
      <c r="J204">
        <f t="shared" si="164"/>
        <v>15</v>
      </c>
      <c r="M204">
        <f t="shared" si="165"/>
        <v>2.6549984364731306E-3</v>
      </c>
      <c r="N204">
        <f t="shared" si="166"/>
        <v>-1.5707963250000001</v>
      </c>
      <c r="O204">
        <f t="shared" si="167"/>
        <v>79.780415450626208</v>
      </c>
      <c r="P204">
        <f t="shared" si="168"/>
        <v>1.5582615940359972</v>
      </c>
      <c r="Q204">
        <f t="shared" si="169"/>
        <v>11.913155614793729</v>
      </c>
      <c r="R204">
        <f t="shared" si="170"/>
        <v>1.4867566218660717</v>
      </c>
      <c r="S204">
        <f t="shared" si="171"/>
        <v>0.94815590960026974</v>
      </c>
      <c r="T204">
        <f t="shared" si="172"/>
        <v>-0.32341415254120848</v>
      </c>
      <c r="U204">
        <f t="shared" si="173"/>
        <v>0.93892783973768368</v>
      </c>
      <c r="V204">
        <f t="shared" si="174"/>
        <v>-0.35129509560058048</v>
      </c>
      <c r="X204">
        <f t="shared" si="192"/>
        <v>-7.6453150855467724</v>
      </c>
      <c r="Y204">
        <f t="shared" si="175"/>
        <v>-130.60754688359904</v>
      </c>
      <c r="Z204">
        <f t="shared" si="193"/>
        <v>49.392453116400958</v>
      </c>
      <c r="AC204">
        <v>1</v>
      </c>
      <c r="AD204">
        <f t="shared" si="176"/>
        <v>79.774148002185001</v>
      </c>
      <c r="AE204">
        <f t="shared" si="177"/>
        <v>-7.6689070369245051E-3</v>
      </c>
      <c r="AF204">
        <f t="shared" si="178"/>
        <v>2.0924892004589999E-2</v>
      </c>
      <c r="AG204">
        <f t="shared" si="194"/>
        <v>3345.5194365593111</v>
      </c>
      <c r="AH204">
        <f t="shared" si="195"/>
        <v>-1273.9123118700036</v>
      </c>
      <c r="AJ204">
        <f t="shared" si="179"/>
        <v>18000</v>
      </c>
      <c r="AK204">
        <f t="shared" si="180"/>
        <v>6033.2904542484002</v>
      </c>
      <c r="AL204">
        <v>1</v>
      </c>
      <c r="AM204">
        <f t="shared" si="181"/>
        <v>11.871111013813801</v>
      </c>
      <c r="AN204">
        <f t="shared" si="196"/>
        <v>631.48105683159531</v>
      </c>
      <c r="AO204">
        <f t="shared" si="197"/>
        <v>-1463.0912745199294</v>
      </c>
      <c r="AQ204">
        <f t="shared" si="182"/>
        <v>0.34600878862323103</v>
      </c>
      <c r="AR204">
        <f t="shared" si="183"/>
        <v>-58.821494065949274</v>
      </c>
      <c r="AT204">
        <f t="shared" si="156"/>
        <v>-73775.846365641773</v>
      </c>
      <c r="AU204">
        <f t="shared" si="157"/>
        <v>-197229.23654093384</v>
      </c>
      <c r="AV204">
        <f t="shared" si="198"/>
        <v>-1.9287438700589996</v>
      </c>
      <c r="AW204">
        <f t="shared" si="199"/>
        <v>-81791.427115557672</v>
      </c>
      <c r="AX204">
        <f t="shared" si="200"/>
        <v>-42089.765172438769</v>
      </c>
      <c r="AY204">
        <f t="shared" si="208"/>
        <v>-2.6663343794268686</v>
      </c>
      <c r="BA204">
        <f t="shared" si="184"/>
        <v>2.2892229906418948</v>
      </c>
      <c r="BB204">
        <f t="shared" si="201"/>
        <v>7.1937619774613637</v>
      </c>
      <c r="BC204">
        <f t="shared" si="202"/>
        <v>0.73759050936786896</v>
      </c>
      <c r="BD204">
        <f t="shared" si="185"/>
        <v>-137.73917675602647</v>
      </c>
      <c r="BF204">
        <f t="shared" si="186"/>
        <v>-7.4815401184691419</v>
      </c>
      <c r="BG204">
        <f t="shared" si="187"/>
        <v>-134.15542378948436</v>
      </c>
      <c r="BH204">
        <f t="shared" si="203"/>
        <v>45.84457621051564</v>
      </c>
      <c r="BI204">
        <f t="shared" si="204"/>
        <v>45.84457621051564</v>
      </c>
      <c r="BJ204">
        <f t="shared" si="188"/>
        <v>0</v>
      </c>
      <c r="BK204">
        <f t="shared" si="205"/>
        <v>0</v>
      </c>
      <c r="BM204">
        <f t="shared" si="206"/>
        <v>-14.675302095930505</v>
      </c>
      <c r="BN204">
        <f t="shared" si="189"/>
        <v>-176.41624703345789</v>
      </c>
      <c r="BQ204" s="56">
        <f t="shared" si="207"/>
        <v>24.095722777746499</v>
      </c>
      <c r="BR204" s="59"/>
      <c r="BS204" s="59"/>
      <c r="BT204" s="59">
        <v>8709.6360000000004</v>
      </c>
      <c r="BU204" s="59">
        <v>-1.62094</v>
      </c>
      <c r="BV204" s="59">
        <v>-218.72200000000001</v>
      </c>
      <c r="BW204" s="61"/>
      <c r="BY204" s="59"/>
      <c r="BZ204" s="59"/>
      <c r="CA204" s="59"/>
      <c r="CC204" s="59"/>
    </row>
    <row r="205" spans="1:81" x14ac:dyDescent="0.2">
      <c r="A205">
        <f t="shared" si="190"/>
        <v>85500</v>
      </c>
      <c r="B205">
        <f t="shared" si="191"/>
        <v>85.5</v>
      </c>
      <c r="C205">
        <f t="shared" si="159"/>
        <v>1.0002127542389088</v>
      </c>
      <c r="D205">
        <f t="shared" si="160"/>
        <v>2.0626028481043047E-2</v>
      </c>
      <c r="F205">
        <f t="shared" si="161"/>
        <v>1.2159047636296478E-2</v>
      </c>
      <c r="G205">
        <f t="shared" si="162"/>
        <v>4.1791216012809572E-2</v>
      </c>
      <c r="H205">
        <f t="shared" si="163"/>
        <v>-3.0998014339871904</v>
      </c>
      <c r="J205">
        <f t="shared" si="164"/>
        <v>15</v>
      </c>
      <c r="M205">
        <f t="shared" si="165"/>
        <v>2.6394721298270887E-3</v>
      </c>
      <c r="N205">
        <f t="shared" si="166"/>
        <v>-1.5707963250000001</v>
      </c>
      <c r="O205">
        <f t="shared" si="167"/>
        <v>80.24963849586554</v>
      </c>
      <c r="P205">
        <f t="shared" si="168"/>
        <v>1.5583348889560302</v>
      </c>
      <c r="Q205">
        <f t="shared" si="169"/>
        <v>11.982740664915493</v>
      </c>
      <c r="R205">
        <f t="shared" si="170"/>
        <v>1.4872457914973836</v>
      </c>
      <c r="S205">
        <f t="shared" si="171"/>
        <v>0.94759143902839138</v>
      </c>
      <c r="T205">
        <f t="shared" si="172"/>
        <v>-0.32518562301855886</v>
      </c>
      <c r="U205">
        <f t="shared" si="173"/>
        <v>0.93827258695108695</v>
      </c>
      <c r="V205">
        <f t="shared" si="174"/>
        <v>-0.35319434864836435</v>
      </c>
      <c r="X205">
        <f t="shared" si="192"/>
        <v>-7.7090062171976426</v>
      </c>
      <c r="Y205">
        <f t="shared" si="175"/>
        <v>-130.79314528875611</v>
      </c>
      <c r="Z205">
        <f t="shared" si="193"/>
        <v>49.206854711243892</v>
      </c>
      <c r="AC205">
        <v>1</v>
      </c>
      <c r="AD205">
        <f t="shared" si="176"/>
        <v>80.243407696315501</v>
      </c>
      <c r="AE205">
        <f t="shared" si="177"/>
        <v>-7.7593948327581118E-3</v>
      </c>
      <c r="AF205">
        <f t="shared" si="178"/>
        <v>2.1047979604617E-2</v>
      </c>
      <c r="AG205">
        <f t="shared" si="194"/>
        <v>3340.8515677088085</v>
      </c>
      <c r="AH205">
        <f t="shared" si="195"/>
        <v>-1279.1245001770073</v>
      </c>
      <c r="AJ205">
        <f t="shared" si="179"/>
        <v>18000</v>
      </c>
      <c r="AK205">
        <f t="shared" si="180"/>
        <v>6068.7803980969193</v>
      </c>
      <c r="AL205">
        <v>1</v>
      </c>
      <c r="AM205">
        <f t="shared" si="181"/>
        <v>11.940941078600941</v>
      </c>
      <c r="AN205">
        <f t="shared" si="196"/>
        <v>630.05378398884216</v>
      </c>
      <c r="AO205">
        <f t="shared" si="197"/>
        <v>-1454.6547128634106</v>
      </c>
      <c r="AQ205">
        <f t="shared" si="182"/>
        <v>0.3419738731960878</v>
      </c>
      <c r="AR205">
        <f t="shared" si="183"/>
        <v>-58.477532316531018</v>
      </c>
      <c r="AT205">
        <f t="shared" si="156"/>
        <v>-73657.56034558492</v>
      </c>
      <c r="AU205">
        <f t="shared" si="157"/>
        <v>-195802.18267505072</v>
      </c>
      <c r="AV205">
        <f t="shared" si="198"/>
        <v>-1.9306042267282384</v>
      </c>
      <c r="AW205">
        <f t="shared" si="199"/>
        <v>-80805.320400176352</v>
      </c>
      <c r="AX205">
        <f t="shared" si="200"/>
        <v>-41767.06541502272</v>
      </c>
      <c r="AY205">
        <f t="shared" si="208"/>
        <v>-2.6645283985649835</v>
      </c>
      <c r="BA205">
        <f t="shared" si="184"/>
        <v>2.2998564537934119</v>
      </c>
      <c r="BB205">
        <f t="shared" si="201"/>
        <v>7.2340146049526854</v>
      </c>
      <c r="BC205">
        <f t="shared" si="202"/>
        <v>0.73392417183674508</v>
      </c>
      <c r="BD205">
        <f t="shared" si="185"/>
        <v>-137.9492424230703</v>
      </c>
      <c r="BF205">
        <f t="shared" si="186"/>
        <v>-7.5443212520753526</v>
      </c>
      <c r="BG205">
        <f t="shared" si="187"/>
        <v>-134.37299774064991</v>
      </c>
      <c r="BH205">
        <f t="shared" si="203"/>
        <v>45.627002259350093</v>
      </c>
      <c r="BI205">
        <f t="shared" si="204"/>
        <v>45.627002259350093</v>
      </c>
      <c r="BJ205">
        <f t="shared" si="188"/>
        <v>0</v>
      </c>
      <c r="BK205">
        <f t="shared" si="205"/>
        <v>0</v>
      </c>
      <c r="BM205">
        <f t="shared" si="206"/>
        <v>-14.778335857028038</v>
      </c>
      <c r="BN205">
        <f t="shared" si="189"/>
        <v>-176.42375531757961</v>
      </c>
      <c r="BQ205" s="56">
        <f t="shared" si="207"/>
        <v>24.135975405237822</v>
      </c>
      <c r="BR205" s="59"/>
      <c r="BS205" s="59"/>
      <c r="BT205" s="59">
        <v>8912.509</v>
      </c>
      <c r="BU205" s="59">
        <v>-1.6954</v>
      </c>
      <c r="BV205" s="59">
        <v>-217.619</v>
      </c>
      <c r="BW205" s="61"/>
      <c r="BY205" s="59"/>
      <c r="BZ205" s="59"/>
      <c r="CA205" s="59"/>
      <c r="CC205" s="59"/>
    </row>
    <row r="206" spans="1:81" x14ac:dyDescent="0.2">
      <c r="A206">
        <f t="shared" si="190"/>
        <v>86000</v>
      </c>
      <c r="B206">
        <f t="shared" si="191"/>
        <v>86</v>
      </c>
      <c r="C206">
        <f t="shared" si="159"/>
        <v>1.0002152495999339</v>
      </c>
      <c r="D206">
        <f t="shared" si="160"/>
        <v>2.0746614022498507E-2</v>
      </c>
      <c r="F206">
        <f t="shared" si="161"/>
        <v>1.2016487015851575E-2</v>
      </c>
      <c r="G206">
        <f t="shared" si="162"/>
        <v>4.1542612680574305E-2</v>
      </c>
      <c r="H206">
        <f t="shared" si="163"/>
        <v>-3.1000500373194257</v>
      </c>
      <c r="J206">
        <f t="shared" si="164"/>
        <v>15</v>
      </c>
      <c r="M206">
        <f t="shared" si="165"/>
        <v>2.6241263616304197E-3</v>
      </c>
      <c r="N206">
        <f t="shared" si="166"/>
        <v>-1.5707963250000001</v>
      </c>
      <c r="O206">
        <f t="shared" si="167"/>
        <v>80.718861967205441</v>
      </c>
      <c r="P206">
        <f t="shared" si="168"/>
        <v>1.5584073317411244</v>
      </c>
      <c r="Q206">
        <f t="shared" si="169"/>
        <v>12.052328549240759</v>
      </c>
      <c r="R206">
        <f t="shared" si="170"/>
        <v>1.487729312495895</v>
      </c>
      <c r="S206">
        <f t="shared" si="171"/>
        <v>0.94702467359756259</v>
      </c>
      <c r="T206">
        <f t="shared" si="172"/>
        <v>-0.32695497996874157</v>
      </c>
      <c r="U206">
        <f t="shared" si="173"/>
        <v>0.93761487304457836</v>
      </c>
      <c r="V206">
        <f t="shared" si="174"/>
        <v>-0.35509094583817907</v>
      </c>
      <c r="X206">
        <f t="shared" si="192"/>
        <v>-7.7724245853673546</v>
      </c>
      <c r="Y206">
        <f t="shared" si="175"/>
        <v>-130.97866948983</v>
      </c>
      <c r="Z206">
        <f t="shared" si="193"/>
        <v>49.021330510170003</v>
      </c>
      <c r="AC206">
        <v>1</v>
      </c>
      <c r="AD206">
        <f t="shared" si="176"/>
        <v>80.712667390446001</v>
      </c>
      <c r="AE206">
        <f t="shared" si="177"/>
        <v>-7.8504133488018872E-3</v>
      </c>
      <c r="AF206">
        <f t="shared" si="178"/>
        <v>2.1171067204644001E-2</v>
      </c>
      <c r="AG206">
        <f t="shared" si="194"/>
        <v>3336.1694435122076</v>
      </c>
      <c r="AH206">
        <f t="shared" si="195"/>
        <v>-1284.3145255922118</v>
      </c>
      <c r="AJ206">
        <f t="shared" si="179"/>
        <v>18000</v>
      </c>
      <c r="AK206">
        <f t="shared" si="180"/>
        <v>6104.2703419454401</v>
      </c>
      <c r="AL206">
        <v>1</v>
      </c>
      <c r="AM206">
        <f t="shared" si="181"/>
        <v>12.010771143388082</v>
      </c>
      <c r="AN206">
        <f t="shared" si="196"/>
        <v>628.6511044926076</v>
      </c>
      <c r="AO206">
        <f t="shared" si="197"/>
        <v>-1446.3142031534173</v>
      </c>
      <c r="AQ206">
        <f t="shared" si="182"/>
        <v>0.33800912624640866</v>
      </c>
      <c r="AR206">
        <f t="shared" si="183"/>
        <v>-58.137569714382288</v>
      </c>
      <c r="AT206">
        <f t="shared" si="156"/>
        <v>-73539.269548199503</v>
      </c>
      <c r="AU206">
        <f t="shared" si="157"/>
        <v>-194390.89363180392</v>
      </c>
      <c r="AV206">
        <f t="shared" si="198"/>
        <v>-1.932462379705006</v>
      </c>
      <c r="AW206">
        <f t="shared" si="199"/>
        <v>-79836.286182382071</v>
      </c>
      <c r="AX206">
        <f t="shared" si="200"/>
        <v>-41449.681075614702</v>
      </c>
      <c r="AY206">
        <f t="shared" si="208"/>
        <v>-2.6627163012645139</v>
      </c>
      <c r="BA206">
        <f t="shared" si="184"/>
        <v>2.3104442558201881</v>
      </c>
      <c r="BB206">
        <f t="shared" si="201"/>
        <v>7.2739098948201741</v>
      </c>
      <c r="BC206">
        <f t="shared" si="202"/>
        <v>0.73025392155950786</v>
      </c>
      <c r="BD206">
        <f t="shared" si="185"/>
        <v>-138.159532273953</v>
      </c>
      <c r="BF206">
        <f t="shared" si="186"/>
        <v>-7.6068450604832636</v>
      </c>
      <c r="BG206">
        <f t="shared" si="187"/>
        <v>-134.59062247065529</v>
      </c>
      <c r="BH206">
        <f t="shared" si="203"/>
        <v>45.40937752934471</v>
      </c>
      <c r="BI206">
        <f t="shared" si="204"/>
        <v>45.40937752934471</v>
      </c>
      <c r="BJ206">
        <f t="shared" si="188"/>
        <v>0</v>
      </c>
      <c r="BK206">
        <f t="shared" si="205"/>
        <v>0</v>
      </c>
      <c r="BM206">
        <f t="shared" si="206"/>
        <v>-14.880754955303438</v>
      </c>
      <c r="BN206">
        <f t="shared" si="189"/>
        <v>-176.43109019670226</v>
      </c>
      <c r="BQ206" s="56">
        <f t="shared" si="207"/>
        <v>24.175870695105314</v>
      </c>
      <c r="BR206" s="59"/>
      <c r="BS206" s="59"/>
      <c r="BT206" s="59">
        <v>9120.1080000000002</v>
      </c>
      <c r="BU206" s="59">
        <v>-1.76502</v>
      </c>
      <c r="BV206" s="59">
        <v>-216.501</v>
      </c>
      <c r="BW206" s="61"/>
      <c r="BY206" s="59"/>
      <c r="BZ206" s="59"/>
      <c r="CA206" s="59"/>
      <c r="CC206" s="59"/>
    </row>
    <row r="207" spans="1:81" x14ac:dyDescent="0.2">
      <c r="A207">
        <f t="shared" si="190"/>
        <v>86500</v>
      </c>
      <c r="B207">
        <f t="shared" si="191"/>
        <v>86.5</v>
      </c>
      <c r="C207">
        <f t="shared" si="159"/>
        <v>1.0002177595048891</v>
      </c>
      <c r="D207">
        <f t="shared" si="160"/>
        <v>2.0867198960522661E-2</v>
      </c>
      <c r="F207">
        <f t="shared" si="161"/>
        <v>1.1876428043438303E-2</v>
      </c>
      <c r="G207">
        <f t="shared" si="162"/>
        <v>4.1296981583000554E-2</v>
      </c>
      <c r="H207">
        <f t="shared" si="163"/>
        <v>-3.1002956684169996</v>
      </c>
      <c r="J207">
        <f t="shared" si="164"/>
        <v>15</v>
      </c>
      <c r="M207">
        <f t="shared" si="165"/>
        <v>2.6089580011585674E-3</v>
      </c>
      <c r="N207">
        <f t="shared" si="166"/>
        <v>-1.5707963250000001</v>
      </c>
      <c r="O207">
        <f t="shared" si="167"/>
        <v>81.188085857257988</v>
      </c>
      <c r="P207">
        <f t="shared" si="168"/>
        <v>1.5584789371651708</v>
      </c>
      <c r="Q207">
        <f t="shared" si="169"/>
        <v>12.121919218958878</v>
      </c>
      <c r="R207">
        <f t="shared" si="170"/>
        <v>1.488207281918178</v>
      </c>
      <c r="S207">
        <f t="shared" si="171"/>
        <v>0.9464556280594113</v>
      </c>
      <c r="T207">
        <f t="shared" si="172"/>
        <v>-0.32872221611343494</v>
      </c>
      <c r="U207">
        <f t="shared" si="173"/>
        <v>0.93695471737020375</v>
      </c>
      <c r="V207">
        <f t="shared" si="174"/>
        <v>-0.3569848791211836</v>
      </c>
      <c r="X207">
        <f t="shared" si="192"/>
        <v>-7.8355740344317031</v>
      </c>
      <c r="Y207">
        <f t="shared" si="175"/>
        <v>-131.16411534429659</v>
      </c>
      <c r="Z207">
        <f t="shared" si="193"/>
        <v>48.83588465570341</v>
      </c>
      <c r="AC207">
        <v>1</v>
      </c>
      <c r="AD207">
        <f t="shared" si="176"/>
        <v>81.1819270845765</v>
      </c>
      <c r="AE207">
        <f t="shared" si="177"/>
        <v>-7.941962585055827E-3</v>
      </c>
      <c r="AF207">
        <f t="shared" si="178"/>
        <v>2.1294154804670999E-2</v>
      </c>
      <c r="AG207">
        <f t="shared" si="194"/>
        <v>3331.4732384443278</v>
      </c>
      <c r="AH207">
        <f t="shared" si="195"/>
        <v>-1289.4823046377239</v>
      </c>
      <c r="AJ207">
        <f t="shared" si="179"/>
        <v>18000</v>
      </c>
      <c r="AK207">
        <f t="shared" si="180"/>
        <v>6139.7602857939601</v>
      </c>
      <c r="AL207">
        <v>1</v>
      </c>
      <c r="AM207">
        <f t="shared" si="181"/>
        <v>12.080601208175221</v>
      </c>
      <c r="AN207">
        <f t="shared" si="196"/>
        <v>627.27245783204262</v>
      </c>
      <c r="AO207">
        <f t="shared" si="197"/>
        <v>-1438.0681261468537</v>
      </c>
      <c r="AQ207">
        <f t="shared" si="182"/>
        <v>0.33411293017039762</v>
      </c>
      <c r="AR207">
        <f t="shared" si="183"/>
        <v>-57.801536919478785</v>
      </c>
      <c r="AT207">
        <f t="shared" si="156"/>
        <v>-73420.970753051093</v>
      </c>
      <c r="AU207">
        <f t="shared" si="157"/>
        <v>-192995.10609940076</v>
      </c>
      <c r="AV207">
        <f t="shared" si="198"/>
        <v>-1.934318313102144</v>
      </c>
      <c r="AW207">
        <f t="shared" si="199"/>
        <v>-78883.935863435763</v>
      </c>
      <c r="AX207">
        <f t="shared" si="200"/>
        <v>-41137.484959972164</v>
      </c>
      <c r="AY207">
        <f t="shared" si="208"/>
        <v>-2.6608982157110899</v>
      </c>
      <c r="BA207">
        <f t="shared" si="184"/>
        <v>2.3209861942859491</v>
      </c>
      <c r="BB207">
        <f t="shared" si="201"/>
        <v>7.3134511437735625</v>
      </c>
      <c r="BC207">
        <f t="shared" si="202"/>
        <v>0.72657990260894589</v>
      </c>
      <c r="BD207">
        <f t="shared" si="185"/>
        <v>-138.37003805391186</v>
      </c>
      <c r="BF207">
        <f t="shared" si="186"/>
        <v>-7.6691156099982569</v>
      </c>
      <c r="BG207">
        <f t="shared" si="187"/>
        <v>-134.8082928678088</v>
      </c>
      <c r="BH207">
        <f t="shared" si="203"/>
        <v>45.191707132191198</v>
      </c>
      <c r="BI207">
        <f t="shared" si="204"/>
        <v>45.191707132191198</v>
      </c>
      <c r="BJ207">
        <f t="shared" si="188"/>
        <v>0</v>
      </c>
      <c r="BK207">
        <f t="shared" si="205"/>
        <v>0</v>
      </c>
      <c r="BM207">
        <f t="shared" si="206"/>
        <v>-14.98256675377182</v>
      </c>
      <c r="BN207">
        <f t="shared" si="189"/>
        <v>-176.43825481389695</v>
      </c>
      <c r="BQ207" s="56">
        <f t="shared" si="207"/>
        <v>24.215411944058701</v>
      </c>
      <c r="BR207" s="59"/>
      <c r="BS207" s="59"/>
      <c r="BT207" s="59">
        <v>9332.5429999999997</v>
      </c>
      <c r="BU207" s="59">
        <v>-1.99203</v>
      </c>
      <c r="BV207" s="59">
        <v>-215.83600000000001</v>
      </c>
      <c r="BW207" s="61"/>
      <c r="BY207" s="59"/>
      <c r="BZ207" s="59"/>
      <c r="CA207" s="59"/>
      <c r="CC207" s="59"/>
    </row>
    <row r="208" spans="1:81" x14ac:dyDescent="0.2">
      <c r="A208">
        <f t="shared" si="190"/>
        <v>87000</v>
      </c>
      <c r="B208">
        <f t="shared" si="191"/>
        <v>87</v>
      </c>
      <c r="C208">
        <f t="shared" si="159"/>
        <v>1.0002202839536649</v>
      </c>
      <c r="D208">
        <f t="shared" si="160"/>
        <v>2.0987783291613282E-2</v>
      </c>
      <c r="F208">
        <f t="shared" si="161"/>
        <v>1.1738812321708933E-2</v>
      </c>
      <c r="G208">
        <f t="shared" si="162"/>
        <v>4.1054269196343286E-2</v>
      </c>
      <c r="H208">
        <f t="shared" si="163"/>
        <v>-3.1005383808036568</v>
      </c>
      <c r="J208">
        <f t="shared" si="164"/>
        <v>15</v>
      </c>
      <c r="M208">
        <f t="shared" si="165"/>
        <v>2.5939639896576561E-3</v>
      </c>
      <c r="N208">
        <f t="shared" si="166"/>
        <v>-1.5707963250000001</v>
      </c>
      <c r="O208">
        <f t="shared" si="167"/>
        <v>81.657310158805117</v>
      </c>
      <c r="P208">
        <f t="shared" si="168"/>
        <v>1.5585497196625169</v>
      </c>
      <c r="Q208">
        <f t="shared" si="169"/>
        <v>12.191512626371747</v>
      </c>
      <c r="R208">
        <f t="shared" si="170"/>
        <v>1.4886797946149539</v>
      </c>
      <c r="S208">
        <f t="shared" si="171"/>
        <v>0.94588431717516785</v>
      </c>
      <c r="T208">
        <f t="shared" si="172"/>
        <v>-0.33048732424474303</v>
      </c>
      <c r="U208">
        <f t="shared" si="173"/>
        <v>0.93629213927461408</v>
      </c>
      <c r="V208">
        <f t="shared" si="174"/>
        <v>-0.3588761405475735</v>
      </c>
      <c r="X208">
        <f t="shared" si="192"/>
        <v>-7.8984583310653793</v>
      </c>
      <c r="Y208">
        <f t="shared" si="175"/>
        <v>-131.34947878899578</v>
      </c>
      <c r="Z208">
        <f t="shared" si="193"/>
        <v>48.650521211004218</v>
      </c>
      <c r="AC208">
        <v>1</v>
      </c>
      <c r="AD208">
        <f t="shared" si="176"/>
        <v>81.651186778707</v>
      </c>
      <c r="AE208">
        <f t="shared" si="177"/>
        <v>-8.0340425415199382E-3</v>
      </c>
      <c r="AF208">
        <f t="shared" si="178"/>
        <v>2.1417242404698E-2</v>
      </c>
      <c r="AG208">
        <f t="shared" si="194"/>
        <v>3326.763126690264</v>
      </c>
      <c r="AH208">
        <f t="shared" si="195"/>
        <v>-1294.6277565270168</v>
      </c>
      <c r="AJ208">
        <f t="shared" si="179"/>
        <v>18000</v>
      </c>
      <c r="AK208">
        <f t="shared" si="180"/>
        <v>6175.25022964248</v>
      </c>
      <c r="AL208">
        <v>1</v>
      </c>
      <c r="AM208">
        <f t="shared" si="181"/>
        <v>12.150431272962361</v>
      </c>
      <c r="AN208">
        <f t="shared" si="196"/>
        <v>625.91729933789429</v>
      </c>
      <c r="AO208">
        <f t="shared" si="197"/>
        <v>-1429.9148985208146</v>
      </c>
      <c r="AQ208">
        <f t="shared" si="182"/>
        <v>0.33028371371007698</v>
      </c>
      <c r="AR208">
        <f t="shared" si="183"/>
        <v>-57.46936618555339</v>
      </c>
      <c r="AT208">
        <f t="shared" si="156"/>
        <v>-73302.660933715582</v>
      </c>
      <c r="AU208">
        <f t="shared" si="157"/>
        <v>-191614.56280365723</v>
      </c>
      <c r="AV208">
        <f t="shared" si="198"/>
        <v>-1.9361720113116458</v>
      </c>
      <c r="AW208">
        <f t="shared" si="199"/>
        <v>-77947.891810780944</v>
      </c>
      <c r="AX208">
        <f t="shared" si="200"/>
        <v>-40830.353769652778</v>
      </c>
      <c r="AY208">
        <f t="shared" si="208"/>
        <v>-2.6590742679429491</v>
      </c>
      <c r="BA208">
        <f t="shared" si="184"/>
        <v>2.3314820692628628</v>
      </c>
      <c r="BB208">
        <f t="shared" si="201"/>
        <v>7.3526415954658928</v>
      </c>
      <c r="BC208">
        <f t="shared" si="202"/>
        <v>0.72290225663130325</v>
      </c>
      <c r="BD208">
        <f t="shared" si="185"/>
        <v>-138.58075164721481</v>
      </c>
      <c r="BF208">
        <f t="shared" si="186"/>
        <v>-7.7311368871453281</v>
      </c>
      <c r="BG208">
        <f t="shared" si="187"/>
        <v>-135.02600388326385</v>
      </c>
      <c r="BH208">
        <f t="shared" si="203"/>
        <v>44.973996116736146</v>
      </c>
      <c r="BI208">
        <f t="shared" si="204"/>
        <v>44.973996116736146</v>
      </c>
      <c r="BJ208">
        <f t="shared" si="188"/>
        <v>0</v>
      </c>
      <c r="BK208">
        <f t="shared" si="205"/>
        <v>0</v>
      </c>
      <c r="BM208">
        <f t="shared" si="206"/>
        <v>-15.083778482611221</v>
      </c>
      <c r="BN208">
        <f t="shared" si="189"/>
        <v>-176.44525223604907</v>
      </c>
      <c r="BQ208" s="56">
        <f t="shared" si="207"/>
        <v>24.254602395751029</v>
      </c>
      <c r="BR208" s="59"/>
      <c r="BS208" s="59"/>
      <c r="BT208" s="59">
        <v>9549.9259999999995</v>
      </c>
      <c r="BU208" s="59">
        <v>-2.1278299999999999</v>
      </c>
      <c r="BV208" s="59">
        <v>-215.499</v>
      </c>
      <c r="BW208" s="61"/>
      <c r="BY208" s="59"/>
      <c r="BZ208" s="59"/>
      <c r="CA208" s="59"/>
      <c r="CC208" s="59"/>
    </row>
    <row r="209" spans="1:81" x14ac:dyDescent="0.2">
      <c r="A209">
        <f t="shared" si="190"/>
        <v>87500</v>
      </c>
      <c r="B209">
        <f t="shared" si="191"/>
        <v>87.5</v>
      </c>
      <c r="C209">
        <f t="shared" si="159"/>
        <v>1.0002228229461512</v>
      </c>
      <c r="D209">
        <f t="shared" si="160"/>
        <v>2.1108367012268234E-2</v>
      </c>
      <c r="F209">
        <f t="shared" si="161"/>
        <v>1.1603583153249749E-2</v>
      </c>
      <c r="G209">
        <f t="shared" si="162"/>
        <v>4.0814423286165441E-2</v>
      </c>
      <c r="H209">
        <f t="shared" si="163"/>
        <v>-3.1007782267138349</v>
      </c>
      <c r="J209">
        <f t="shared" si="164"/>
        <v>15</v>
      </c>
      <c r="M209">
        <f t="shared" si="165"/>
        <v>2.579141338288184E-3</v>
      </c>
      <c r="N209">
        <f t="shared" si="166"/>
        <v>-1.5707963250000001</v>
      </c>
      <c r="O209">
        <f t="shared" si="167"/>
        <v>82.126534864793655</v>
      </c>
      <c r="P209">
        <f t="shared" si="168"/>
        <v>1.5586196933376644</v>
      </c>
      <c r="Q209">
        <f t="shared" si="169"/>
        <v>12.261108724862334</v>
      </c>
      <c r="R209">
        <f t="shared" si="170"/>
        <v>1.4891469432932645</v>
      </c>
      <c r="S209">
        <f t="shared" si="171"/>
        <v>0.94531075571479217</v>
      </c>
      <c r="T209">
        <f t="shared" si="172"/>
        <v>-0.33225029722515781</v>
      </c>
      <c r="U209">
        <f t="shared" si="173"/>
        <v>0.93562715809783681</v>
      </c>
      <c r="V209">
        <f t="shared" si="174"/>
        <v>-0.36076472226641326</v>
      </c>
      <c r="X209">
        <f t="shared" si="192"/>
        <v>-7.9610811662330168</v>
      </c>
      <c r="Y209">
        <f t="shared" si="175"/>
        <v>-131.53475583831582</v>
      </c>
      <c r="Z209">
        <f t="shared" si="193"/>
        <v>48.465244161684183</v>
      </c>
      <c r="AC209">
        <v>1</v>
      </c>
      <c r="AD209">
        <f t="shared" si="176"/>
        <v>82.1204464728375</v>
      </c>
      <c r="AE209">
        <f t="shared" si="177"/>
        <v>-8.1266532181942172E-3</v>
      </c>
      <c r="AF209">
        <f t="shared" si="178"/>
        <v>2.1540330004725002E-2</v>
      </c>
      <c r="AG209">
        <f t="shared" si="194"/>
        <v>3322.0392821332557</v>
      </c>
      <c r="AH209">
        <f t="shared" si="195"/>
        <v>-1299.7508031202171</v>
      </c>
      <c r="AJ209">
        <f t="shared" si="179"/>
        <v>18000</v>
      </c>
      <c r="AK209">
        <f t="shared" si="180"/>
        <v>6210.740173491</v>
      </c>
      <c r="AL209">
        <v>1</v>
      </c>
      <c r="AM209">
        <f t="shared" si="181"/>
        <v>12.2202613377495</v>
      </c>
      <c r="AN209">
        <f t="shared" si="196"/>
        <v>624.58509964947621</v>
      </c>
      <c r="AO209">
        <f t="shared" si="197"/>
        <v>-1421.8529718899126</v>
      </c>
      <c r="AQ209">
        <f t="shared" si="182"/>
        <v>0.32651995036896753</v>
      </c>
      <c r="AR209">
        <f t="shared" si="183"/>
        <v>-57.14099131456932</v>
      </c>
      <c r="AT209">
        <f t="shared" si="156"/>
        <v>-73184.337250670913</v>
      </c>
      <c r="AU209">
        <f t="shared" si="157"/>
        <v>-190249.0123347613</v>
      </c>
      <c r="AV209">
        <f t="shared" si="198"/>
        <v>-1.9380234589993448</v>
      </c>
      <c r="AW209">
        <f t="shared" si="199"/>
        <v>-77027.786989561486</v>
      </c>
      <c r="AX209">
        <f t="shared" si="200"/>
        <v>-40528.167958254206</v>
      </c>
      <c r="AY209">
        <f t="shared" si="208"/>
        <v>-2.6572445819139561</v>
      </c>
      <c r="BA209">
        <f t="shared" si="184"/>
        <v>2.3419316833493165</v>
      </c>
      <c r="BB209">
        <f t="shared" si="201"/>
        <v>7.3914844417366563</v>
      </c>
      <c r="BC209">
        <f t="shared" si="202"/>
        <v>0.71922112291461127</v>
      </c>
      <c r="BD209">
        <f t="shared" si="185"/>
        <v>-138.79166507324555</v>
      </c>
      <c r="BF209">
        <f t="shared" si="186"/>
        <v>-7.7929128006306714</v>
      </c>
      <c r="BG209">
        <f t="shared" si="187"/>
        <v>-135.24375052941761</v>
      </c>
      <c r="BH209">
        <f t="shared" si="203"/>
        <v>44.756249470582389</v>
      </c>
      <c r="BI209">
        <f t="shared" si="204"/>
        <v>44.756249470582389</v>
      </c>
      <c r="BJ209">
        <f t="shared" si="188"/>
        <v>0</v>
      </c>
      <c r="BK209">
        <f t="shared" si="205"/>
        <v>0</v>
      </c>
      <c r="BM209">
        <f t="shared" si="206"/>
        <v>-15.184397242367327</v>
      </c>
      <c r="BN209">
        <f t="shared" si="189"/>
        <v>-176.45208545617206</v>
      </c>
      <c r="BQ209" s="56">
        <f t="shared" si="207"/>
        <v>24.293445242021793</v>
      </c>
      <c r="BR209" s="59"/>
      <c r="BS209" s="59"/>
      <c r="BT209" s="59">
        <v>9772.3719999999994</v>
      </c>
      <c r="BU209" s="59">
        <v>-1.9944299999999999</v>
      </c>
      <c r="BV209" s="59">
        <v>-212.98699999999999</v>
      </c>
      <c r="BW209" s="61"/>
      <c r="BY209" s="59"/>
      <c r="BZ209" s="59"/>
      <c r="CA209" s="59"/>
      <c r="CC209" s="59"/>
    </row>
    <row r="210" spans="1:81" x14ac:dyDescent="0.2">
      <c r="A210">
        <f t="shared" si="190"/>
        <v>88000</v>
      </c>
      <c r="B210">
        <f t="shared" si="191"/>
        <v>88</v>
      </c>
      <c r="C210">
        <f t="shared" si="159"/>
        <v>1.0002253764822371</v>
      </c>
      <c r="D210">
        <f t="shared" si="160"/>
        <v>2.1228950118985512E-2</v>
      </c>
      <c r="F210">
        <f t="shared" si="161"/>
        <v>1.1470685481347205E-2</v>
      </c>
      <c r="G210">
        <f t="shared" si="162"/>
        <v>4.0577392868427799E-2</v>
      </c>
      <c r="H210">
        <f t="shared" si="163"/>
        <v>-3.1010152571315723</v>
      </c>
      <c r="J210">
        <f t="shared" si="164"/>
        <v>15</v>
      </c>
      <c r="M210">
        <f t="shared" si="165"/>
        <v>2.5644871261388193E-3</v>
      </c>
      <c r="N210">
        <f t="shared" si="166"/>
        <v>-1.5707963250000001</v>
      </c>
      <c r="O210">
        <f t="shared" si="167"/>
        <v>82.595759968330768</v>
      </c>
      <c r="P210">
        <f t="shared" si="168"/>
        <v>1.5586888719746372</v>
      </c>
      <c r="Q210">
        <f t="shared" si="169"/>
        <v>12.330707468864269</v>
      </c>
      <c r="R210">
        <f t="shared" si="170"/>
        <v>1.4896088185765557</v>
      </c>
      <c r="S210">
        <f t="shared" si="171"/>
        <v>0.94473495845610711</v>
      </c>
      <c r="T210">
        <f t="shared" si="172"/>
        <v>-0.33401112798751786</v>
      </c>
      <c r="U210">
        <f t="shared" si="173"/>
        <v>0.93495979317206312</v>
      </c>
      <c r="V210">
        <f t="shared" si="174"/>
        <v>-0.36265061652546121</v>
      </c>
      <c r="X210">
        <f t="shared" si="192"/>
        <v>-8.0234461571166911</v>
      </c>
      <c r="Y210">
        <f t="shared" si="175"/>
        <v>-131.71994258243097</v>
      </c>
      <c r="Z210">
        <f t="shared" si="193"/>
        <v>48.280057417569026</v>
      </c>
      <c r="AC210">
        <v>1</v>
      </c>
      <c r="AD210">
        <f t="shared" si="176"/>
        <v>82.589706166968</v>
      </c>
      <c r="AE210">
        <f t="shared" si="177"/>
        <v>-8.2197946150786641E-3</v>
      </c>
      <c r="AF210">
        <f t="shared" si="178"/>
        <v>2.1663417604751999E-2</v>
      </c>
      <c r="AG210">
        <f t="shared" si="194"/>
        <v>3317.3018783426801</v>
      </c>
      <c r="AH210">
        <f t="shared" si="195"/>
        <v>-1304.8513688805431</v>
      </c>
      <c r="AJ210">
        <f t="shared" si="179"/>
        <v>18000</v>
      </c>
      <c r="AK210">
        <f t="shared" si="180"/>
        <v>6246.2301173395199</v>
      </c>
      <c r="AL210">
        <v>1</v>
      </c>
      <c r="AM210">
        <f t="shared" si="181"/>
        <v>12.290091402536641</v>
      </c>
      <c r="AN210">
        <f t="shared" si="196"/>
        <v>623.27534420239624</v>
      </c>
      <c r="AO210">
        <f t="shared" si="197"/>
        <v>-1413.8808318554161</v>
      </c>
      <c r="AQ210">
        <f t="shared" si="182"/>
        <v>0.32282015689059623</v>
      </c>
      <c r="AR210">
        <f t="shared" si="183"/>
        <v>-56.816347612744941</v>
      </c>
      <c r="AT210">
        <f t="shared" si="156"/>
        <v>-73065.997044462958</v>
      </c>
      <c r="AU210">
        <f t="shared" si="157"/>
        <v>-188898.20897995037</v>
      </c>
      <c r="AV210">
        <f t="shared" si="198"/>
        <v>-1.9398726410997695</v>
      </c>
      <c r="AW210">
        <f t="shared" si="199"/>
        <v>-76123.264608468802</v>
      </c>
      <c r="AX210">
        <f t="shared" si="200"/>
        <v>-40230.811593812025</v>
      </c>
      <c r="AY210">
        <f t="shared" si="208"/>
        <v>-2.655409279554338</v>
      </c>
      <c r="BA210">
        <f t="shared" si="184"/>
        <v>2.3523348416876431</v>
      </c>
      <c r="BB210">
        <f t="shared" si="201"/>
        <v>7.4299828238210441</v>
      </c>
      <c r="BC210">
        <f t="shared" si="202"/>
        <v>0.7155366384545685</v>
      </c>
      <c r="BD210">
        <f t="shared" si="185"/>
        <v>-139.00277048272878</v>
      </c>
      <c r="BF210">
        <f t="shared" si="186"/>
        <v>-7.854447183240346</v>
      </c>
      <c r="BG210">
        <f t="shared" si="187"/>
        <v>-135.46152787836553</v>
      </c>
      <c r="BH210">
        <f t="shared" si="203"/>
        <v>44.53847212163447</v>
      </c>
      <c r="BI210">
        <f t="shared" si="204"/>
        <v>44.53847212163447</v>
      </c>
      <c r="BJ210">
        <f t="shared" si="188"/>
        <v>0</v>
      </c>
      <c r="BK210">
        <f t="shared" si="205"/>
        <v>0</v>
      </c>
      <c r="BM210">
        <f t="shared" si="206"/>
        <v>-15.284430007061388</v>
      </c>
      <c r="BN210">
        <f t="shared" si="189"/>
        <v>-176.45875739563678</v>
      </c>
      <c r="BQ210" s="56">
        <f t="shared" si="207"/>
        <v>24.331943624106181</v>
      </c>
      <c r="BR210" s="59"/>
      <c r="BS210" s="59"/>
      <c r="BT210" s="59">
        <v>10000</v>
      </c>
      <c r="BU210" s="59">
        <v>-2.2209699999999999</v>
      </c>
      <c r="BV210" s="59">
        <v>-213.047</v>
      </c>
      <c r="BW210" s="61"/>
      <c r="BY210" s="59"/>
      <c r="BZ210" s="59"/>
      <c r="CA210" s="59"/>
      <c r="CC210" s="59"/>
    </row>
    <row r="211" spans="1:81" x14ac:dyDescent="0.2">
      <c r="A211">
        <f t="shared" si="190"/>
        <v>88500</v>
      </c>
      <c r="B211">
        <f t="shared" si="191"/>
        <v>88.5</v>
      </c>
      <c r="C211">
        <f t="shared" si="159"/>
        <v>1.0002279445618112</v>
      </c>
      <c r="D211">
        <f t="shared" si="160"/>
        <v>2.1349532608263198E-2</v>
      </c>
      <c r="F211">
        <f t="shared" si="161"/>
        <v>1.134006583315582E-2</v>
      </c>
      <c r="G211">
        <f t="shared" si="162"/>
        <v>4.0343128171989588E-2</v>
      </c>
      <c r="H211">
        <f t="shared" si="163"/>
        <v>-3.1012495218280107</v>
      </c>
      <c r="J211">
        <f t="shared" si="164"/>
        <v>15</v>
      </c>
      <c r="M211">
        <f t="shared" si="165"/>
        <v>2.5499984983075263E-3</v>
      </c>
      <c r="N211">
        <f t="shared" si="166"/>
        <v>-1.5707963250000001</v>
      </c>
      <c r="O211">
        <f t="shared" si="167"/>
        <v>83.064985462679317</v>
      </c>
      <c r="P211">
        <f t="shared" si="168"/>
        <v>1.5587572690460327</v>
      </c>
      <c r="Q211">
        <f t="shared" si="169"/>
        <v>12.400308813832471</v>
      </c>
      <c r="R211">
        <f t="shared" si="170"/>
        <v>1.4900655090627595</v>
      </c>
      <c r="S211">
        <f t="shared" si="171"/>
        <v>0.94415694018393559</v>
      </c>
      <c r="T211">
        <f t="shared" si="172"/>
        <v>-0.33576980953496155</v>
      </c>
      <c r="U211">
        <f t="shared" si="173"/>
        <v>0.93429006382044033</v>
      </c>
      <c r="V211">
        <f t="shared" si="174"/>
        <v>-0.36453381567098797</v>
      </c>
      <c r="X211">
        <f t="shared" si="192"/>
        <v>-8.0855568489823941</v>
      </c>
      <c r="Y211">
        <f t="shared" si="175"/>
        <v>-131.90503518559063</v>
      </c>
      <c r="Z211">
        <f t="shared" si="193"/>
        <v>48.094964814409366</v>
      </c>
      <c r="AC211">
        <v>1</v>
      </c>
      <c r="AD211">
        <f t="shared" si="176"/>
        <v>83.0589658610985</v>
      </c>
      <c r="AE211">
        <f t="shared" si="177"/>
        <v>-8.3134667321732789E-3</v>
      </c>
      <c r="AF211">
        <f t="shared" si="178"/>
        <v>2.1786505204779E-2</v>
      </c>
      <c r="AG211">
        <f t="shared" si="194"/>
        <v>3312.551088562192</v>
      </c>
      <c r="AH211">
        <f t="shared" si="195"/>
        <v>-1309.929380831856</v>
      </c>
      <c r="AJ211">
        <f t="shared" si="179"/>
        <v>18000</v>
      </c>
      <c r="AK211">
        <f t="shared" si="180"/>
        <v>6281.7200611880398</v>
      </c>
      <c r="AL211">
        <v>1</v>
      </c>
      <c r="AM211">
        <f t="shared" si="181"/>
        <v>12.359921467323781</v>
      </c>
      <c r="AN211">
        <f t="shared" si="196"/>
        <v>621.98753273613079</v>
      </c>
      <c r="AO211">
        <f t="shared" si="197"/>
        <v>-1405.9969970850166</v>
      </c>
      <c r="AQ211">
        <f t="shared" si="182"/>
        <v>0.31918289179699966</v>
      </c>
      <c r="AR211">
        <f t="shared" si="183"/>
        <v>-56.495371848068942</v>
      </c>
      <c r="AT211">
        <f t="shared" si="156"/>
        <v>-72947.637829133848</v>
      </c>
      <c r="AU211">
        <f t="shared" si="157"/>
        <v>-187561.91256187035</v>
      </c>
      <c r="AV211">
        <f t="shared" si="198"/>
        <v>-1.941719542811164</v>
      </c>
      <c r="AW211">
        <f t="shared" si="199"/>
        <v>-75233.97777928767</v>
      </c>
      <c r="AX211">
        <f t="shared" si="200"/>
        <v>-39938.17222705757</v>
      </c>
      <c r="AY211">
        <f t="shared" si="208"/>
        <v>-2.6535684808292297</v>
      </c>
      <c r="BA211">
        <f t="shared" si="184"/>
        <v>2.3626913519817796</v>
      </c>
      <c r="BB211">
        <f t="shared" si="201"/>
        <v>7.4681398335263616</v>
      </c>
      <c r="BC211">
        <f t="shared" si="202"/>
        <v>0.7118489380180657</v>
      </c>
      <c r="BD211">
        <f t="shared" si="185"/>
        <v>-139.21406015409036</v>
      </c>
      <c r="BF211">
        <f t="shared" si="186"/>
        <v>-7.9157437936784287</v>
      </c>
      <c r="BG211">
        <f t="shared" si="187"/>
        <v>-135.67933106041062</v>
      </c>
      <c r="BH211">
        <f t="shared" si="203"/>
        <v>44.320668939589382</v>
      </c>
      <c r="BI211">
        <f t="shared" si="204"/>
        <v>44.320668939589382</v>
      </c>
      <c r="BJ211">
        <f t="shared" si="188"/>
        <v>0</v>
      </c>
      <c r="BK211">
        <f t="shared" si="205"/>
        <v>0</v>
      </c>
      <c r="BM211">
        <f t="shared" si="206"/>
        <v>-15.38388362720479</v>
      </c>
      <c r="BN211">
        <f t="shared" si="189"/>
        <v>-176.46527090632026</v>
      </c>
      <c r="BQ211" s="56">
        <f t="shared" si="207"/>
        <v>24.370100633811496</v>
      </c>
      <c r="BR211" s="59"/>
      <c r="BS211" s="59"/>
      <c r="BT211" s="59">
        <v>10232.93</v>
      </c>
      <c r="BU211" s="59">
        <v>-2.4867400000000002</v>
      </c>
      <c r="BV211" s="59">
        <v>-211.715</v>
      </c>
      <c r="BW211" s="61"/>
      <c r="BY211" s="59"/>
      <c r="BZ211" s="59"/>
      <c r="CA211" s="59"/>
      <c r="CC211" s="59"/>
    </row>
    <row r="212" spans="1:81" x14ac:dyDescent="0.2">
      <c r="A212">
        <f t="shared" si="190"/>
        <v>89000</v>
      </c>
      <c r="B212">
        <f t="shared" si="191"/>
        <v>89</v>
      </c>
      <c r="C212">
        <f t="shared" si="159"/>
        <v>1.0002305271847616</v>
      </c>
      <c r="D212">
        <f t="shared" si="160"/>
        <v>2.1470114476599494E-2</v>
      </c>
      <c r="F212">
        <f t="shared" si="161"/>
        <v>1.121167226515679E-2</v>
      </c>
      <c r="G212">
        <f t="shared" si="162"/>
        <v>4.0111580602460464E-2</v>
      </c>
      <c r="H212">
        <f t="shared" si="163"/>
        <v>-3.1014810693975399</v>
      </c>
      <c r="J212">
        <f t="shared" si="164"/>
        <v>15</v>
      </c>
      <c r="M212">
        <f t="shared" si="165"/>
        <v>2.5356726640473719E-3</v>
      </c>
      <c r="N212">
        <f t="shared" si="166"/>
        <v>-1.5707963250000001</v>
      </c>
      <c r="O212">
        <f t="shared" si="167"/>
        <v>83.534211341253538</v>
      </c>
      <c r="P212">
        <f t="shared" si="168"/>
        <v>1.558824897721766</v>
      </c>
      <c r="Q212">
        <f t="shared" si="169"/>
        <v>12.469912716214729</v>
      </c>
      <c r="R212">
        <f t="shared" si="170"/>
        <v>1.4905171013804446</v>
      </c>
      <c r="S212">
        <f t="shared" si="171"/>
        <v>0.94357671568924284</v>
      </c>
      <c r="T212">
        <f t="shared" si="172"/>
        <v>-0.3375263349408763</v>
      </c>
      <c r="U212">
        <f t="shared" si="173"/>
        <v>0.93361798935587803</v>
      </c>
      <c r="V212">
        <f t="shared" si="174"/>
        <v>-0.36641431214758791</v>
      </c>
      <c r="X212">
        <f t="shared" si="192"/>
        <v>-8.1474167169878111</v>
      </c>
      <c r="Y212">
        <f t="shared" si="175"/>
        <v>-132.0900298844584</v>
      </c>
      <c r="Z212">
        <f t="shared" si="193"/>
        <v>47.909970115541597</v>
      </c>
      <c r="AC212">
        <v>1</v>
      </c>
      <c r="AD212">
        <f t="shared" si="176"/>
        <v>83.528225555229</v>
      </c>
      <c r="AE212">
        <f t="shared" si="177"/>
        <v>-8.4076695694780598E-3</v>
      </c>
      <c r="AF212">
        <f t="shared" si="178"/>
        <v>2.1909592804806002E-2</v>
      </c>
      <c r="AG212">
        <f t="shared" si="194"/>
        <v>3307.7870856980016</v>
      </c>
      <c r="AH212">
        <f t="shared" si="195"/>
        <v>-1314.9847685172763</v>
      </c>
      <c r="AJ212">
        <f t="shared" si="179"/>
        <v>18000</v>
      </c>
      <c r="AK212">
        <f t="shared" si="180"/>
        <v>6317.2100050365598</v>
      </c>
      <c r="AL212">
        <v>1</v>
      </c>
      <c r="AM212">
        <f t="shared" si="181"/>
        <v>12.42975153211092</v>
      </c>
      <c r="AN212">
        <f t="shared" si="196"/>
        <v>620.7211788205675</v>
      </c>
      <c r="AO212">
        <f t="shared" si="197"/>
        <v>-1398.2000184220853</v>
      </c>
      <c r="AQ212">
        <f t="shared" si="182"/>
        <v>0.31560675398453525</v>
      </c>
      <c r="AR212">
        <f t="shared" si="183"/>
        <v>-56.178002209247275</v>
      </c>
      <c r="AT212">
        <f t="shared" si="156"/>
        <v>-72829.257285900952</v>
      </c>
      <c r="AU212">
        <f t="shared" si="157"/>
        <v>-186239.88828239279</v>
      </c>
      <c r="AV212">
        <f t="shared" si="198"/>
        <v>-1.9435641495906595</v>
      </c>
      <c r="AW212">
        <f t="shared" si="199"/>
        <v>-74359.589189539067</v>
      </c>
      <c r="AX212">
        <f t="shared" si="200"/>
        <v>-39650.140765252458</v>
      </c>
      <c r="AY212">
        <f t="shared" si="208"/>
        <v>-2.6517223037951099</v>
      </c>
      <c r="BA212">
        <f t="shared" si="184"/>
        <v>2.3730010245148572</v>
      </c>
      <c r="BB212">
        <f t="shared" si="201"/>
        <v>7.5059585143767249</v>
      </c>
      <c r="BC212">
        <f t="shared" si="202"/>
        <v>0.70815815420445039</v>
      </c>
      <c r="BD212">
        <f t="shared" si="185"/>
        <v>-139.42552648994737</v>
      </c>
      <c r="BF212">
        <f t="shared" si="186"/>
        <v>-7.9768063183469629</v>
      </c>
      <c r="BG212">
        <f t="shared" si="187"/>
        <v>-135.89715526262393</v>
      </c>
      <c r="BH212">
        <f t="shared" si="203"/>
        <v>44.102844737376074</v>
      </c>
      <c r="BI212">
        <f t="shared" si="204"/>
        <v>44.102844737376074</v>
      </c>
      <c r="BJ212">
        <f t="shared" si="188"/>
        <v>0</v>
      </c>
      <c r="BK212">
        <f t="shared" si="205"/>
        <v>0</v>
      </c>
      <c r="BM212">
        <f t="shared" si="206"/>
        <v>-15.482764832723689</v>
      </c>
      <c r="BN212">
        <f t="shared" si="189"/>
        <v>-176.47162877267658</v>
      </c>
      <c r="BQ212" s="56">
        <f t="shared" si="207"/>
        <v>24.407919314661864</v>
      </c>
      <c r="BR212" s="59"/>
      <c r="BS212" s="59"/>
      <c r="BT212" s="59">
        <v>10471.285</v>
      </c>
      <c r="BU212" s="59">
        <v>-2.3517399999999999</v>
      </c>
      <c r="BV212" s="59">
        <v>-211.89099999999999</v>
      </c>
      <c r="BW212" s="61"/>
      <c r="BY212" s="59"/>
      <c r="BZ212" s="59"/>
      <c r="CA212" s="59"/>
      <c r="CC212" s="59"/>
    </row>
    <row r="213" spans="1:81" x14ac:dyDescent="0.2">
      <c r="A213">
        <f t="shared" si="190"/>
        <v>89500</v>
      </c>
      <c r="B213">
        <f t="shared" si="191"/>
        <v>89.5</v>
      </c>
      <c r="C213">
        <f t="shared" si="159"/>
        <v>1.0002331243509757</v>
      </c>
      <c r="D213">
        <f t="shared" si="160"/>
        <v>2.1590695720492711E-2</v>
      </c>
      <c r="F213">
        <f t="shared" si="161"/>
        <v>1.108545431080212E-2</v>
      </c>
      <c r="G213">
        <f t="shared" si="162"/>
        <v>3.9882702707346854E-2</v>
      </c>
      <c r="H213">
        <f t="shared" si="163"/>
        <v>-3.1017099472926533</v>
      </c>
      <c r="J213">
        <f t="shared" si="164"/>
        <v>15</v>
      </c>
      <c r="M213">
        <f t="shared" si="165"/>
        <v>2.5215068949744814E-3</v>
      </c>
      <c r="N213">
        <f t="shared" si="166"/>
        <v>-1.5707963250000001</v>
      </c>
      <c r="O213">
        <f t="shared" si="167"/>
        <v>84.00343759761482</v>
      </c>
      <c r="P213">
        <f t="shared" si="168"/>
        <v>1.5588917708775223</v>
      </c>
      <c r="Q213">
        <f t="shared" si="169"/>
        <v>12.539519133424243</v>
      </c>
      <c r="R213">
        <f t="shared" si="170"/>
        <v>1.4909636802431157</v>
      </c>
      <c r="S213">
        <f t="shared" si="171"/>
        <v>0.9429942997682853</v>
      </c>
      <c r="T213">
        <f t="shared" si="172"/>
        <v>-0.33928069734884275</v>
      </c>
      <c r="U213">
        <f t="shared" si="173"/>
        <v>0.93294358907986352</v>
      </c>
      <c r="V213">
        <f t="shared" si="174"/>
        <v>-0.36829209849798428</v>
      </c>
      <c r="X213">
        <f t="shared" si="192"/>
        <v>-8.2090291679335294</v>
      </c>
      <c r="Y213">
        <f t="shared" si="175"/>
        <v>-132.27492298649952</v>
      </c>
      <c r="Z213">
        <f t="shared" si="193"/>
        <v>47.725077013500481</v>
      </c>
      <c r="AC213">
        <v>1</v>
      </c>
      <c r="AD213">
        <f t="shared" si="176"/>
        <v>83.997485249359499</v>
      </c>
      <c r="AE213">
        <f t="shared" si="177"/>
        <v>-8.5024031269930102E-3</v>
      </c>
      <c r="AF213">
        <f t="shared" si="178"/>
        <v>2.2032680404832999E-2</v>
      </c>
      <c r="AG213">
        <f t="shared" si="194"/>
        <v>3303.0100423072986</v>
      </c>
      <c r="AH213">
        <f t="shared" si="195"/>
        <v>-1320.017463958822</v>
      </c>
      <c r="AJ213">
        <f t="shared" si="179"/>
        <v>18000</v>
      </c>
      <c r="AK213">
        <f t="shared" si="180"/>
        <v>6352.6999488850797</v>
      </c>
      <c r="AL213">
        <v>1</v>
      </c>
      <c r="AM213">
        <f t="shared" si="181"/>
        <v>12.499581596898061</v>
      </c>
      <c r="AN213">
        <f t="shared" si="196"/>
        <v>619.47580940069179</v>
      </c>
      <c r="AO213">
        <f t="shared" si="197"/>
        <v>-1390.4884780233378</v>
      </c>
      <c r="AQ213">
        <f t="shared" si="182"/>
        <v>0.31209038137444606</v>
      </c>
      <c r="AR213">
        <f t="shared" si="183"/>
        <v>-55.864178266025839</v>
      </c>
      <c r="AT213">
        <f t="shared" si="156"/>
        <v>-72710.853257075651</v>
      </c>
      <c r="AU213">
        <f t="shared" si="157"/>
        <v>-184931.90657167631</v>
      </c>
      <c r="AV213">
        <f t="shared" si="198"/>
        <v>-1.9454064471495989</v>
      </c>
      <c r="AW213">
        <f t="shared" si="199"/>
        <v>-73499.770787649308</v>
      </c>
      <c r="AX213">
        <f t="shared" si="200"/>
        <v>-39366.611351332671</v>
      </c>
      <c r="AY213">
        <f t="shared" si="208"/>
        <v>-2.6498708646542148</v>
      </c>
      <c r="BA213">
        <f t="shared" si="184"/>
        <v>2.3832636721666822</v>
      </c>
      <c r="BB213">
        <f t="shared" si="201"/>
        <v>7.5434418627269437</v>
      </c>
      <c r="BC213">
        <f t="shared" si="202"/>
        <v>0.70446441750461597</v>
      </c>
      <c r="BD213">
        <f t="shared" si="185"/>
        <v>-139.63716201372227</v>
      </c>
      <c r="BF213">
        <f t="shared" si="186"/>
        <v>-8.0376383730699814</v>
      </c>
      <c r="BG213">
        <f t="shared" si="187"/>
        <v>-136.11499572745626</v>
      </c>
      <c r="BH213">
        <f t="shared" si="203"/>
        <v>43.885004272543739</v>
      </c>
      <c r="BI213">
        <f t="shared" si="204"/>
        <v>43.885004272543739</v>
      </c>
      <c r="BJ213">
        <f t="shared" si="188"/>
        <v>0</v>
      </c>
      <c r="BK213">
        <f t="shared" si="205"/>
        <v>0</v>
      </c>
      <c r="BM213">
        <f t="shared" si="206"/>
        <v>-15.581080235796922</v>
      </c>
      <c r="BN213">
        <f t="shared" si="189"/>
        <v>-176.47783371373399</v>
      </c>
      <c r="BQ213" s="56">
        <f t="shared" si="207"/>
        <v>24.445402663012082</v>
      </c>
      <c r="BR213" s="59"/>
      <c r="BS213" s="59"/>
      <c r="BT213" s="59">
        <v>10715.192999999999</v>
      </c>
      <c r="BU213" s="59">
        <v>-2.5136799999999999</v>
      </c>
      <c r="BV213" s="59">
        <v>-209.68</v>
      </c>
      <c r="BW213" s="61"/>
      <c r="BY213" s="59"/>
      <c r="BZ213" s="59"/>
      <c r="CA213" s="59"/>
      <c r="CC213" s="59"/>
    </row>
    <row r="214" spans="1:81" x14ac:dyDescent="0.2">
      <c r="A214">
        <f t="shared" si="190"/>
        <v>90000</v>
      </c>
      <c r="B214">
        <f t="shared" si="191"/>
        <v>90</v>
      </c>
      <c r="C214">
        <f t="shared" si="159"/>
        <v>1.00023573606034</v>
      </c>
      <c r="D214">
        <f t="shared" si="160"/>
        <v>2.1711276336441251E-2</v>
      </c>
      <c r="F214">
        <f t="shared" si="161"/>
        <v>1.096136293024445E-2</v>
      </c>
      <c r="G214">
        <f t="shared" si="162"/>
        <v>3.9656448142438586E-2</v>
      </c>
      <c r="H214">
        <f t="shared" si="163"/>
        <v>-3.1019362018575616</v>
      </c>
      <c r="J214">
        <f t="shared" si="164"/>
        <v>15</v>
      </c>
      <c r="M214">
        <f t="shared" si="165"/>
        <v>2.5074985233357341E-3</v>
      </c>
      <c r="N214">
        <f t="shared" si="166"/>
        <v>-1.5707963250000001</v>
      </c>
      <c r="O214">
        <f t="shared" si="167"/>
        <v>84.472664225467597</v>
      </c>
      <c r="P214">
        <f t="shared" si="168"/>
        <v>1.5589579011029289</v>
      </c>
      <c r="Q214">
        <f t="shared" si="169"/>
        <v>12.609128023813064</v>
      </c>
      <c r="R214">
        <f t="shared" si="170"/>
        <v>1.491405328501729</v>
      </c>
      <c r="S214">
        <f t="shared" si="171"/>
        <v>0.94240970722176276</v>
      </c>
      <c r="T214">
        <f t="shared" si="172"/>
        <v>-0.3410328899725748</v>
      </c>
      <c r="U214">
        <f t="shared" si="173"/>
        <v>0.93226688228128674</v>
      </c>
      <c r="V214">
        <f t="shared" si="174"/>
        <v>-0.37016716736282756</v>
      </c>
      <c r="X214">
        <f t="shared" si="192"/>
        <v>-8.2703975419599089</v>
      </c>
      <c r="Y214">
        <f t="shared" si="175"/>
        <v>-132.45971086841436</v>
      </c>
      <c r="Z214">
        <f t="shared" si="193"/>
        <v>47.540289131585638</v>
      </c>
      <c r="AC214">
        <v>1</v>
      </c>
      <c r="AD214">
        <f t="shared" si="176"/>
        <v>84.466744943489999</v>
      </c>
      <c r="AE214">
        <f t="shared" si="177"/>
        <v>-8.5976674047181286E-3</v>
      </c>
      <c r="AF214">
        <f t="shared" si="178"/>
        <v>2.2155768004860001E-2</v>
      </c>
      <c r="AG214">
        <f t="shared" si="194"/>
        <v>3298.2201305868075</v>
      </c>
      <c r="AH214">
        <f t="shared" si="195"/>
        <v>-1325.0274016180226</v>
      </c>
      <c r="AJ214">
        <f t="shared" si="179"/>
        <v>18000</v>
      </c>
      <c r="AK214">
        <f t="shared" si="180"/>
        <v>6388.1898927335997</v>
      </c>
      <c r="AL214">
        <v>1</v>
      </c>
      <c r="AM214">
        <f t="shared" si="181"/>
        <v>12.569411661685201</v>
      </c>
      <c r="AN214">
        <f t="shared" si="196"/>
        <v>618.25096435862815</v>
      </c>
      <c r="AO214">
        <f t="shared" si="197"/>
        <v>-1382.8609885238632</v>
      </c>
      <c r="AQ214">
        <f t="shared" si="182"/>
        <v>0.30863244961575259</v>
      </c>
      <c r="AR214">
        <f t="shared" si="183"/>
        <v>-55.55384093083547</v>
      </c>
      <c r="AT214">
        <f t="shared" ref="AT214:AT277" si="209">-AR214*AH214+AG214*AQ214</f>
        <v>-72592.423740210885</v>
      </c>
      <c r="AU214">
        <f t="shared" ref="AU214:AU277" si="210">AQ214*AH214+AG214*AR214</f>
        <v>-183637.74294226826</v>
      </c>
      <c r="AV214">
        <f t="shared" si="198"/>
        <v>-1.9472464214489991</v>
      </c>
      <c r="AW214">
        <f t="shared" si="199"/>
        <v>-72654.203480102035</v>
      </c>
      <c r="AX214">
        <f t="shared" si="200"/>
        <v>-39087.481248108998</v>
      </c>
      <c r="AY214">
        <f t="shared" si="208"/>
        <v>-2.6480142778069982</v>
      </c>
      <c r="BA214">
        <f t="shared" si="184"/>
        <v>2.3934791104311062</v>
      </c>
      <c r="BB214">
        <f t="shared" si="201"/>
        <v>7.5805928288465863</v>
      </c>
      <c r="BC214">
        <f t="shared" si="202"/>
        <v>0.7007678563579991</v>
      </c>
      <c r="BD214">
        <f t="shared" si="185"/>
        <v>-139.84895936637747</v>
      </c>
      <c r="BF214">
        <f t="shared" si="186"/>
        <v>-8.0982435047636852</v>
      </c>
      <c r="BG214">
        <f t="shared" si="187"/>
        <v>-136.33284775139825</v>
      </c>
      <c r="BH214">
        <f t="shared" si="203"/>
        <v>43.667152248601752</v>
      </c>
      <c r="BI214">
        <f t="shared" si="204"/>
        <v>43.667152248601752</v>
      </c>
      <c r="BJ214">
        <f t="shared" si="188"/>
        <v>0</v>
      </c>
      <c r="BK214">
        <f t="shared" si="205"/>
        <v>0</v>
      </c>
      <c r="BM214">
        <f t="shared" si="206"/>
        <v>-15.678836333610269</v>
      </c>
      <c r="BN214">
        <f t="shared" si="189"/>
        <v>-176.48388838502078</v>
      </c>
      <c r="BQ214" s="56">
        <f t="shared" si="207"/>
        <v>24.482553629131726</v>
      </c>
      <c r="BR214" s="59"/>
      <c r="BS214" s="59"/>
      <c r="BT214" s="59">
        <v>10964.781999999999</v>
      </c>
      <c r="BU214" s="59">
        <v>-2.5043700000000002</v>
      </c>
      <c r="BV214" s="59">
        <v>-209.52500000000001</v>
      </c>
      <c r="BW214" s="61"/>
      <c r="BY214" s="59"/>
      <c r="BZ214" s="59"/>
      <c r="CA214" s="59"/>
      <c r="CC214" s="59"/>
    </row>
    <row r="215" spans="1:81" x14ac:dyDescent="0.2">
      <c r="A215">
        <f t="shared" si="190"/>
        <v>90500</v>
      </c>
      <c r="B215">
        <f t="shared" si="191"/>
        <v>90.5</v>
      </c>
      <c r="C215">
        <f t="shared" si="159"/>
        <v>1.0002383623127407</v>
      </c>
      <c r="D215">
        <f t="shared" si="160"/>
        <v>2.1831856320943643E-2</v>
      </c>
      <c r="F215">
        <f t="shared" si="161"/>
        <v>1.0839350462057827E-2</v>
      </c>
      <c r="G215">
        <f t="shared" si="162"/>
        <v>3.9432771639384433E-2</v>
      </c>
      <c r="H215">
        <f t="shared" si="163"/>
        <v>-3.1021598783606157</v>
      </c>
      <c r="J215">
        <f t="shared" si="164"/>
        <v>15</v>
      </c>
      <c r="M215">
        <f t="shared" si="165"/>
        <v>2.4936449403338795E-3</v>
      </c>
      <c r="N215">
        <f t="shared" si="166"/>
        <v>-1.5707963250000001</v>
      </c>
      <c r="O215">
        <f t="shared" si="167"/>
        <v>84.941891218655428</v>
      </c>
      <c r="P215">
        <f t="shared" si="168"/>
        <v>1.5590233007094536</v>
      </c>
      <c r="Q215">
        <f t="shared" si="169"/>
        <v>12.678739346646399</v>
      </c>
      <c r="R215">
        <f t="shared" si="170"/>
        <v>1.4918421271954934</v>
      </c>
      <c r="S215">
        <f t="shared" si="171"/>
        <v>0.9418229528539781</v>
      </c>
      <c r="T215">
        <f t="shared" si="172"/>
        <v>-0.34278290609585493</v>
      </c>
      <c r="U215">
        <f t="shared" si="173"/>
        <v>0.93158788823527716</v>
      </c>
      <c r="V215">
        <f t="shared" si="174"/>
        <v>-0.37203951148048781</v>
      </c>
      <c r="X215">
        <f t="shared" si="192"/>
        <v>-8.3315251141916207</v>
      </c>
      <c r="Y215">
        <f t="shared" si="175"/>
        <v>-132.64438997461752</v>
      </c>
      <c r="Z215">
        <f t="shared" si="193"/>
        <v>47.355610025382475</v>
      </c>
      <c r="AC215">
        <v>1</v>
      </c>
      <c r="AD215">
        <f t="shared" si="176"/>
        <v>84.936004637620499</v>
      </c>
      <c r="AE215">
        <f t="shared" si="177"/>
        <v>-8.6934624026534131E-3</v>
      </c>
      <c r="AF215">
        <f t="shared" si="178"/>
        <v>2.2278855604886998E-2</v>
      </c>
      <c r="AG215">
        <f t="shared" si="194"/>
        <v>3293.4175223614998</v>
      </c>
      <c r="AH215">
        <f t="shared" si="195"/>
        <v>-1330.0145183574812</v>
      </c>
      <c r="AJ215">
        <f t="shared" si="179"/>
        <v>18000</v>
      </c>
      <c r="AK215">
        <f t="shared" si="180"/>
        <v>6423.6798365821196</v>
      </c>
      <c r="AL215">
        <v>1</v>
      </c>
      <c r="AM215">
        <f t="shared" si="181"/>
        <v>12.639241726472342</v>
      </c>
      <c r="AN215">
        <f t="shared" si="196"/>
        <v>617.04619609228439</v>
      </c>
      <c r="AO215">
        <f t="shared" si="197"/>
        <v>-1375.316192228516</v>
      </c>
      <c r="AQ215">
        <f t="shared" si="182"/>
        <v>0.30523167083816616</v>
      </c>
      <c r="AR215">
        <f t="shared" si="183"/>
        <v>-55.246932421708074</v>
      </c>
      <c r="AT215">
        <f t="shared" si="209"/>
        <v>-72473.966882468274</v>
      </c>
      <c r="AU215">
        <f t="shared" si="210"/>
        <v>-182357.17784805229</v>
      </c>
      <c r="AV215">
        <f t="shared" si="198"/>
        <v>-1.9490840586951546</v>
      </c>
      <c r="AW215">
        <f t="shared" si="199"/>
        <v>-71822.576840055597</v>
      </c>
      <c r="AX215">
        <f t="shared" si="200"/>
        <v>-38812.650727283944</v>
      </c>
      <c r="AY215">
        <f t="shared" si="208"/>
        <v>-2.6461526559027191</v>
      </c>
      <c r="BA215">
        <f t="shared" si="184"/>
        <v>2.4036471574332703</v>
      </c>
      <c r="BB215">
        <f t="shared" si="201"/>
        <v>7.617414317975185</v>
      </c>
      <c r="BC215">
        <f t="shared" si="202"/>
        <v>0.69706859720756453</v>
      </c>
      <c r="BD215">
        <f t="shared" si="185"/>
        <v>-140.06091130326473</v>
      </c>
      <c r="BF215">
        <f t="shared" si="186"/>
        <v>-8.1586251930548563</v>
      </c>
      <c r="BG215">
        <f t="shared" si="187"/>
        <v>-136.55070668368774</v>
      </c>
      <c r="BH215">
        <f t="shared" si="203"/>
        <v>43.449293316312264</v>
      </c>
      <c r="BI215">
        <f t="shared" si="204"/>
        <v>43.449293316312264</v>
      </c>
      <c r="BJ215">
        <f t="shared" si="188"/>
        <v>0</v>
      </c>
      <c r="BK215">
        <f t="shared" si="205"/>
        <v>0</v>
      </c>
      <c r="BM215">
        <f t="shared" si="206"/>
        <v>-15.776039511030042</v>
      </c>
      <c r="BN215">
        <f t="shared" si="189"/>
        <v>-176.489795380423</v>
      </c>
      <c r="BQ215" s="56">
        <f t="shared" si="207"/>
        <v>24.519375118260321</v>
      </c>
      <c r="BR215" s="59"/>
      <c r="BS215" s="59"/>
      <c r="BT215" s="59">
        <v>11220.184999999999</v>
      </c>
      <c r="BU215" s="59">
        <v>-2.7486899999999999</v>
      </c>
      <c r="BV215" s="59">
        <v>-207.815</v>
      </c>
      <c r="BW215" s="61"/>
      <c r="BY215" s="59"/>
      <c r="BZ215" s="59"/>
      <c r="CA215" s="59"/>
      <c r="CC215" s="59"/>
    </row>
    <row r="216" spans="1:81" x14ac:dyDescent="0.2">
      <c r="A216">
        <f t="shared" si="190"/>
        <v>91000</v>
      </c>
      <c r="B216">
        <f t="shared" si="191"/>
        <v>91</v>
      </c>
      <c r="C216">
        <f t="shared" si="159"/>
        <v>1.0002410031080633</v>
      </c>
      <c r="D216">
        <f t="shared" si="160"/>
        <v>2.1952435670498528E-2</v>
      </c>
      <c r="F216">
        <f t="shared" si="161"/>
        <v>1.0719370576859639E-2</v>
      </c>
      <c r="G216">
        <f t="shared" si="162"/>
        <v>3.9211628974407269E-2</v>
      </c>
      <c r="H216">
        <f t="shared" si="163"/>
        <v>-3.1023810210255931</v>
      </c>
      <c r="J216">
        <f t="shared" si="164"/>
        <v>15</v>
      </c>
      <c r="M216">
        <f t="shared" si="165"/>
        <v>2.4799435945078692E-3</v>
      </c>
      <c r="N216">
        <f t="shared" si="166"/>
        <v>-1.5707963250000001</v>
      </c>
      <c r="O216">
        <f t="shared" si="167"/>
        <v>85.411118571157118</v>
      </c>
      <c r="P216">
        <f t="shared" si="168"/>
        <v>1.5590879817380454</v>
      </c>
      <c r="Q216">
        <f t="shared" si="169"/>
        <v>12.748353062077763</v>
      </c>
      <c r="R216">
        <f t="shared" si="170"/>
        <v>1.4922741556010204</v>
      </c>
      <c r="S216">
        <f t="shared" si="171"/>
        <v>0.9412340514719999</v>
      </c>
      <c r="T216">
        <f t="shared" si="172"/>
        <v>-0.34453073907246518</v>
      </c>
      <c r="U216">
        <f t="shared" si="173"/>
        <v>0.93090662620205045</v>
      </c>
      <c r="V216">
        <f t="shared" si="174"/>
        <v>-0.37390912368683954</v>
      </c>
      <c r="X216">
        <f t="shared" si="192"/>
        <v>-8.3924150963317707</v>
      </c>
      <c r="Y216">
        <f t="shared" si="175"/>
        <v>-132.82895681576031</v>
      </c>
      <c r="Z216">
        <f t="shared" si="193"/>
        <v>47.171043184239693</v>
      </c>
      <c r="AC216">
        <v>1</v>
      </c>
      <c r="AD216">
        <f t="shared" si="176"/>
        <v>85.405264331750999</v>
      </c>
      <c r="AE216">
        <f t="shared" si="177"/>
        <v>-8.7897881207988655E-3</v>
      </c>
      <c r="AF216">
        <f t="shared" si="178"/>
        <v>2.2401943204914E-2</v>
      </c>
      <c r="AG216">
        <f t="shared" si="194"/>
        <v>3288.6023890734305</v>
      </c>
      <c r="AH216">
        <f t="shared" si="195"/>
        <v>-1334.9787534033351</v>
      </c>
      <c r="AJ216">
        <f t="shared" si="179"/>
        <v>18000</v>
      </c>
      <c r="AK216">
        <f t="shared" si="180"/>
        <v>6459.1697804306395</v>
      </c>
      <c r="AL216">
        <v>1</v>
      </c>
      <c r="AM216">
        <f t="shared" si="181"/>
        <v>12.709071791259481</v>
      </c>
      <c r="AN216">
        <f t="shared" si="196"/>
        <v>615.86106910988588</v>
      </c>
      <c r="AO216">
        <f t="shared" si="197"/>
        <v>-1367.8527603287171</v>
      </c>
      <c r="AQ216">
        <f t="shared" si="182"/>
        <v>0.30188679245283018</v>
      </c>
      <c r="AR216">
        <f t="shared" si="183"/>
        <v>-54.943396226415096</v>
      </c>
      <c r="AT216">
        <f t="shared" si="209"/>
        <v>-72355.480975195038</v>
      </c>
      <c r="AU216">
        <f t="shared" si="210"/>
        <v>-181089.99654785439</v>
      </c>
      <c r="AV216">
        <f t="shared" si="198"/>
        <v>-1.9509193453353706</v>
      </c>
      <c r="AW216">
        <f t="shared" si="199"/>
        <v>-71004.588826933861</v>
      </c>
      <c r="AX216">
        <f t="shared" si="200"/>
        <v>-38542.02296305816</v>
      </c>
      <c r="AY216">
        <f t="shared" si="208"/>
        <v>-2.6442861098882231</v>
      </c>
      <c r="BA216">
        <f t="shared" si="184"/>
        <v>2.413767633946692</v>
      </c>
      <c r="BB216">
        <f t="shared" si="201"/>
        <v>7.6539091913493804</v>
      </c>
      <c r="BC216">
        <f t="shared" si="202"/>
        <v>0.69336676455285251</v>
      </c>
      <c r="BD216">
        <f t="shared" si="185"/>
        <v>-140.2730106910858</v>
      </c>
      <c r="BF216">
        <f t="shared" si="186"/>
        <v>-8.2187868518494351</v>
      </c>
      <c r="BG216">
        <f t="shared" si="187"/>
        <v>-136.76856792506297</v>
      </c>
      <c r="BH216">
        <f t="shared" si="203"/>
        <v>43.231432074937032</v>
      </c>
      <c r="BI216">
        <f t="shared" si="204"/>
        <v>43.231432074937032</v>
      </c>
      <c r="BJ216">
        <f t="shared" si="188"/>
        <v>0</v>
      </c>
      <c r="BK216">
        <f t="shared" si="205"/>
        <v>0</v>
      </c>
      <c r="BM216">
        <f t="shared" si="206"/>
        <v>-15.87269604319882</v>
      </c>
      <c r="BN216">
        <f t="shared" si="189"/>
        <v>-176.49555723397714</v>
      </c>
      <c r="BQ216" s="56">
        <f t="shared" si="207"/>
        <v>24.555869991634516</v>
      </c>
      <c r="BR216" s="59"/>
      <c r="BS216" s="59"/>
      <c r="BT216" s="59">
        <v>11481.536</v>
      </c>
      <c r="BU216" s="59">
        <v>-2.86917</v>
      </c>
      <c r="BV216" s="59">
        <v>-207.916</v>
      </c>
      <c r="BW216" s="61"/>
      <c r="BY216" s="59"/>
      <c r="BZ216" s="59"/>
      <c r="CA216" s="59"/>
      <c r="CC216" s="59"/>
    </row>
    <row r="217" spans="1:81" x14ac:dyDescent="0.2">
      <c r="A217">
        <f t="shared" si="190"/>
        <v>91500</v>
      </c>
      <c r="B217">
        <f t="shared" si="191"/>
        <v>91.5</v>
      </c>
      <c r="C217">
        <f t="shared" si="159"/>
        <v>1.0002436584461927</v>
      </c>
      <c r="D217">
        <f t="shared" si="160"/>
        <v>2.2073014381604642E-2</v>
      </c>
      <c r="F217">
        <f t="shared" si="161"/>
        <v>1.0601378232748294E-2</v>
      </c>
      <c r="G217">
        <f t="shared" si="162"/>
        <v>3.899297693811226E-2</v>
      </c>
      <c r="H217">
        <f t="shared" si="163"/>
        <v>-3.1025996730618881</v>
      </c>
      <c r="J217">
        <f t="shared" si="164"/>
        <v>15</v>
      </c>
      <c r="M217">
        <f t="shared" si="165"/>
        <v>2.4663919901662958E-3</v>
      </c>
      <c r="N217">
        <f t="shared" si="166"/>
        <v>-1.5707963250000001</v>
      </c>
      <c r="O217">
        <f t="shared" si="167"/>
        <v>85.880346277083092</v>
      </c>
      <c r="P217">
        <f t="shared" si="168"/>
        <v>1.559151955966523</v>
      </c>
      <c r="Q217">
        <f t="shared" si="169"/>
        <v>12.817969131124938</v>
      </c>
      <c r="R217">
        <f t="shared" si="170"/>
        <v>1.4927014912798873</v>
      </c>
      <c r="S217">
        <f t="shared" si="171"/>
        <v>0.94064301788483262</v>
      </c>
      <c r="T217">
        <f t="shared" si="172"/>
        <v>-0.34627638232611407</v>
      </c>
      <c r="U217">
        <f t="shared" si="173"/>
        <v>0.93022311542576708</v>
      </c>
      <c r="V217">
        <f t="shared" si="174"/>
        <v>-0.3757759969150421</v>
      </c>
      <c r="X217">
        <f t="shared" si="192"/>
        <v>-8.4530706382074623</v>
      </c>
      <c r="Y217">
        <f t="shared" si="175"/>
        <v>-133.01340796729497</v>
      </c>
      <c r="Z217">
        <f t="shared" si="193"/>
        <v>46.986592032705033</v>
      </c>
      <c r="AC217">
        <v>1</v>
      </c>
      <c r="AD217">
        <f t="shared" si="176"/>
        <v>85.874524025881499</v>
      </c>
      <c r="AE217">
        <f t="shared" si="177"/>
        <v>-8.8866445591544892E-3</v>
      </c>
      <c r="AF217">
        <f t="shared" si="178"/>
        <v>2.2525030804941001E-2</v>
      </c>
      <c r="AG217">
        <f t="shared" si="194"/>
        <v>3283.774901770737</v>
      </c>
      <c r="AH217">
        <f t="shared" si="195"/>
        <v>-1339.9200483085883</v>
      </c>
      <c r="AJ217">
        <f t="shared" si="179"/>
        <v>18000</v>
      </c>
      <c r="AK217">
        <f t="shared" si="180"/>
        <v>6494.6597242791595</v>
      </c>
      <c r="AL217">
        <v>1</v>
      </c>
      <c r="AM217">
        <f t="shared" si="181"/>
        <v>12.778901856046621</v>
      </c>
      <c r="AN217">
        <f t="shared" si="196"/>
        <v>614.6951596397206</v>
      </c>
      <c r="AO217">
        <f t="shared" si="197"/>
        <v>-1360.4693921437415</v>
      </c>
      <c r="AQ217">
        <f t="shared" si="182"/>
        <v>0.29859659599880561</v>
      </c>
      <c r="AR217">
        <f t="shared" si="183"/>
        <v>-54.64317706778143</v>
      </c>
      <c r="AT217">
        <f t="shared" si="209"/>
        <v>-72236.964448701387</v>
      </c>
      <c r="AU217">
        <f t="shared" si="210"/>
        <v>-179835.98897353045</v>
      </c>
      <c r="AV217">
        <f t="shared" si="198"/>
        <v>-1.9527522680538245</v>
      </c>
      <c r="AW217">
        <f t="shared" si="199"/>
        <v>-70199.94551652165</v>
      </c>
      <c r="AX217">
        <f t="shared" si="200"/>
        <v>-38275.503930111096</v>
      </c>
      <c r="AY217">
        <f t="shared" si="208"/>
        <v>-2.6424147490549883</v>
      </c>
      <c r="BA217">
        <f t="shared" si="184"/>
        <v>2.4238403634102044</v>
      </c>
      <c r="BB217">
        <f t="shared" si="201"/>
        <v>7.6900802672029851</v>
      </c>
      <c r="BC217">
        <f t="shared" si="202"/>
        <v>0.68966248100116379</v>
      </c>
      <c r="BD217">
        <f t="shared" si="185"/>
        <v>-140.48525050495982</v>
      </c>
      <c r="BF217">
        <f t="shared" si="186"/>
        <v>-8.2787318308531095</v>
      </c>
      <c r="BG217">
        <f t="shared" si="187"/>
        <v>-136.98642692655955</v>
      </c>
      <c r="BH217">
        <f t="shared" si="203"/>
        <v>43.013573073440455</v>
      </c>
      <c r="BI217">
        <f t="shared" si="204"/>
        <v>43.013573073440455</v>
      </c>
      <c r="BJ217">
        <f t="shared" si="188"/>
        <v>0</v>
      </c>
      <c r="BK217">
        <f t="shared" si="205"/>
        <v>0</v>
      </c>
      <c r="BM217">
        <f t="shared" si="206"/>
        <v>-15.968812098056093</v>
      </c>
      <c r="BN217">
        <f t="shared" si="189"/>
        <v>-176.50117642159972</v>
      </c>
      <c r="BQ217" s="56">
        <f t="shared" si="207"/>
        <v>24.592041067488122</v>
      </c>
      <c r="BR217" s="59"/>
      <c r="BS217" s="59"/>
      <c r="BT217" s="59">
        <v>11748.976000000001</v>
      </c>
      <c r="BU217" s="59">
        <v>-3.0396299999999998</v>
      </c>
      <c r="BV217" s="59">
        <v>-206.25700000000001</v>
      </c>
      <c r="BW217" s="61"/>
      <c r="BY217" s="59"/>
      <c r="BZ217" s="59"/>
      <c r="CA217" s="59"/>
      <c r="CC217" s="59"/>
    </row>
    <row r="218" spans="1:81" x14ac:dyDescent="0.2">
      <c r="A218">
        <f t="shared" si="190"/>
        <v>92000</v>
      </c>
      <c r="B218">
        <f t="shared" si="191"/>
        <v>92</v>
      </c>
      <c r="C218">
        <f t="shared" si="159"/>
        <v>1.0002463283270127</v>
      </c>
      <c r="D218">
        <f t="shared" si="160"/>
        <v>2.219359245076085E-2</v>
      </c>
      <c r="F218">
        <f t="shared" si="161"/>
        <v>1.04853296324757E-2</v>
      </c>
      <c r="G218">
        <f t="shared" si="162"/>
        <v>3.8776773306343507E-2</v>
      </c>
      <c r="H218">
        <f t="shared" si="163"/>
        <v>-3.1028158766936569</v>
      </c>
      <c r="J218">
        <f t="shared" si="164"/>
        <v>15</v>
      </c>
      <c r="M218">
        <f t="shared" si="165"/>
        <v>2.4529876858719142E-3</v>
      </c>
      <c r="N218">
        <f t="shared" si="166"/>
        <v>-1.5707963250000001</v>
      </c>
      <c r="O218">
        <f t="shared" si="167"/>
        <v>86.349574330671771</v>
      </c>
      <c r="P218">
        <f t="shared" si="168"/>
        <v>1.5592152349167236</v>
      </c>
      <c r="Q218">
        <f t="shared" si="169"/>
        <v>12.887587515646691</v>
      </c>
      <c r="R218">
        <f t="shared" si="170"/>
        <v>1.49312421012467</v>
      </c>
      <c r="S218">
        <f t="shared" si="171"/>
        <v>0.9400498669025914</v>
      </c>
      <c r="T218">
        <f t="shared" si="172"/>
        <v>-0.34801982935035836</v>
      </c>
      <c r="U218">
        <f t="shared" si="173"/>
        <v>0.92953737513339929</v>
      </c>
      <c r="V218">
        <f t="shared" si="174"/>
        <v>-0.37764012419531173</v>
      </c>
      <c r="X218">
        <f t="shared" si="192"/>
        <v>-8.513494829268641</v>
      </c>
      <c r="Y218">
        <f t="shared" si="175"/>
        <v>-133.19774006808012</v>
      </c>
      <c r="Z218">
        <f t="shared" si="193"/>
        <v>46.802259931919878</v>
      </c>
      <c r="AC218">
        <v>1</v>
      </c>
      <c r="AD218">
        <f t="shared" si="176"/>
        <v>86.343783720011999</v>
      </c>
      <c r="AE218">
        <f t="shared" si="177"/>
        <v>-8.9840317177202773E-3</v>
      </c>
      <c r="AF218">
        <f t="shared" si="178"/>
        <v>2.2648118404967998E-2</v>
      </c>
      <c r="AG218">
        <f t="shared" si="194"/>
        <v>3278.9352310967688</v>
      </c>
      <c r="AH218">
        <f t="shared" si="195"/>
        <v>-1344.8383469172734</v>
      </c>
      <c r="AJ218">
        <f t="shared" si="179"/>
        <v>18000</v>
      </c>
      <c r="AK218">
        <f t="shared" si="180"/>
        <v>6530.1496681276794</v>
      </c>
      <c r="AL218">
        <v>1</v>
      </c>
      <c r="AM218">
        <f t="shared" si="181"/>
        <v>12.84873192083376</v>
      </c>
      <c r="AN218">
        <f t="shared" si="196"/>
        <v>613.54805525444738</v>
      </c>
      <c r="AO218">
        <f t="shared" si="197"/>
        <v>-1353.1648143856157</v>
      </c>
      <c r="AQ218">
        <f t="shared" si="182"/>
        <v>0.29535989603331658</v>
      </c>
      <c r="AR218">
        <f t="shared" si="183"/>
        <v>-54.346220870130253</v>
      </c>
      <c r="AT218">
        <f t="shared" si="209"/>
        <v>-72118.415867230273</v>
      </c>
      <c r="AU218">
        <f t="shared" si="210"/>
        <v>-178594.94960236369</v>
      </c>
      <c r="AV218">
        <f t="shared" si="198"/>
        <v>-1.9545828137675452</v>
      </c>
      <c r="AW218">
        <f t="shared" si="199"/>
        <v>-69408.360841118745</v>
      </c>
      <c r="AX218">
        <f t="shared" si="200"/>
        <v>-38013.00230575219</v>
      </c>
      <c r="AY218">
        <f t="shared" si="208"/>
        <v>-2.6405386810845002</v>
      </c>
      <c r="BA218">
        <f t="shared" si="184"/>
        <v>2.4338651719446989</v>
      </c>
      <c r="BB218">
        <f t="shared" si="201"/>
        <v>7.7259303217406474</v>
      </c>
      <c r="BC218">
        <f t="shared" si="202"/>
        <v>0.68595586731695501</v>
      </c>
      <c r="BD218">
        <f t="shared" si="185"/>
        <v>-140.69762382559307</v>
      </c>
      <c r="BF218">
        <f t="shared" si="186"/>
        <v>-8.3384634170457357</v>
      </c>
      <c r="BG218">
        <f t="shared" si="187"/>
        <v>-137.20427918835031</v>
      </c>
      <c r="BH218">
        <f t="shared" si="203"/>
        <v>42.795720811649687</v>
      </c>
      <c r="BI218">
        <f t="shared" si="204"/>
        <v>42.795720811649687</v>
      </c>
      <c r="BJ218">
        <f t="shared" si="188"/>
        <v>0</v>
      </c>
      <c r="BK218">
        <f t="shared" si="205"/>
        <v>0</v>
      </c>
      <c r="BM218">
        <f t="shared" si="206"/>
        <v>-16.064393738786386</v>
      </c>
      <c r="BN218">
        <f t="shared" si="189"/>
        <v>-176.50665536275724</v>
      </c>
      <c r="BQ218" s="56">
        <f t="shared" si="207"/>
        <v>24.627891122025783</v>
      </c>
      <c r="BR218" s="59"/>
      <c r="BS218" s="59"/>
      <c r="BT218" s="59">
        <v>12022.644</v>
      </c>
      <c r="BU218" s="59">
        <v>-3.2097500000000001</v>
      </c>
      <c r="BV218" s="59">
        <v>-205.79599999999999</v>
      </c>
      <c r="BW218" s="61"/>
      <c r="BY218" s="59"/>
      <c r="BZ218" s="59"/>
      <c r="CA218" s="59"/>
      <c r="CC218" s="59"/>
    </row>
    <row r="219" spans="1:81" x14ac:dyDescent="0.2">
      <c r="A219">
        <f t="shared" si="190"/>
        <v>92500</v>
      </c>
      <c r="B219">
        <f t="shared" si="191"/>
        <v>92.5</v>
      </c>
      <c r="C219">
        <f t="shared" si="159"/>
        <v>1.0002490127504073</v>
      </c>
      <c r="D219">
        <f t="shared" si="160"/>
        <v>2.2314169874466119E-2</v>
      </c>
      <c r="F219">
        <f t="shared" si="161"/>
        <v>1.0371182182277465E-2</v>
      </c>
      <c r="G219">
        <f t="shared" si="162"/>
        <v>3.8562976812046575E-2</v>
      </c>
      <c r="H219">
        <f t="shared" si="163"/>
        <v>-3.1030296731879536</v>
      </c>
      <c r="J219">
        <f t="shared" si="164"/>
        <v>15</v>
      </c>
      <c r="M219">
        <f t="shared" si="165"/>
        <v>2.4397282929753089E-3</v>
      </c>
      <c r="N219">
        <f t="shared" si="166"/>
        <v>-1.5707963250000001</v>
      </c>
      <c r="O219">
        <f t="shared" si="167"/>
        <v>86.818802726286151</v>
      </c>
      <c r="P219">
        <f t="shared" si="168"/>
        <v>1.5592778298614194</v>
      </c>
      <c r="Q219">
        <f t="shared" si="169"/>
        <v>12.95720817832026</v>
      </c>
      <c r="R219">
        <f t="shared" si="170"/>
        <v>1.4935423864035067</v>
      </c>
      <c r="S219">
        <f t="shared" si="171"/>
        <v>0.93945461333568259</v>
      </c>
      <c r="T219">
        <f t="shared" si="172"/>
        <v>-0.34976107370852139</v>
      </c>
      <c r="U219">
        <f t="shared" si="173"/>
        <v>0.92884942453361152</v>
      </c>
      <c r="V219">
        <f t="shared" si="174"/>
        <v>-0.37950149865468952</v>
      </c>
      <c r="X219">
        <f t="shared" si="192"/>
        <v>-8.5736907000418654</v>
      </c>
      <c r="Y219">
        <f t="shared" si="175"/>
        <v>-133.38194981902538</v>
      </c>
      <c r="Z219">
        <f t="shared" si="193"/>
        <v>46.61805018097462</v>
      </c>
      <c r="AC219">
        <v>1</v>
      </c>
      <c r="AD219">
        <f t="shared" si="176"/>
        <v>86.813043414142498</v>
      </c>
      <c r="AE219">
        <f t="shared" si="177"/>
        <v>-9.0819495964962332E-3</v>
      </c>
      <c r="AF219">
        <f t="shared" si="178"/>
        <v>2.2771206004995E-2</v>
      </c>
      <c r="AG219">
        <f t="shared" si="194"/>
        <v>3274.0835472793592</v>
      </c>
      <c r="AH219">
        <f t="shared" si="195"/>
        <v>-1349.733595329418</v>
      </c>
      <c r="AJ219">
        <f t="shared" si="179"/>
        <v>18000</v>
      </c>
      <c r="AK219">
        <f t="shared" si="180"/>
        <v>6565.6396119762003</v>
      </c>
      <c r="AL219">
        <v>1</v>
      </c>
      <c r="AM219">
        <f t="shared" si="181"/>
        <v>12.918561985620901</v>
      </c>
      <c r="AN219">
        <f t="shared" si="196"/>
        <v>612.41935450934955</v>
      </c>
      <c r="AO219">
        <f t="shared" si="197"/>
        <v>-1345.9377804467729</v>
      </c>
      <c r="AQ219">
        <f t="shared" si="182"/>
        <v>0.29217553906386956</v>
      </c>
      <c r="AR219">
        <f t="shared" si="183"/>
        <v>-54.052474726815873</v>
      </c>
      <c r="AT219">
        <f t="shared" si="209"/>
        <v>-71999.833924111197</v>
      </c>
      <c r="AU219">
        <f t="shared" si="210"/>
        <v>-177366.67733360923</v>
      </c>
      <c r="AV219">
        <f t="shared" si="198"/>
        <v>-1.9564109696225143</v>
      </c>
      <c r="AW219">
        <f t="shared" si="199"/>
        <v>-68629.556339326853</v>
      </c>
      <c r="AX219">
        <f t="shared" si="200"/>
        <v>-37754.429376048953</v>
      </c>
      <c r="AY219">
        <f t="shared" si="208"/>
        <v>-2.6386580120920149</v>
      </c>
      <c r="BA219">
        <f t="shared" si="184"/>
        <v>2.4438418883696968</v>
      </c>
      <c r="BB219">
        <f t="shared" si="201"/>
        <v>7.761462090086062</v>
      </c>
      <c r="BC219">
        <f t="shared" si="202"/>
        <v>0.68224704246950063</v>
      </c>
      <c r="BD219">
        <f t="shared" si="185"/>
        <v>-140.91012383654828</v>
      </c>
      <c r="BF219">
        <f t="shared" si="186"/>
        <v>-8.3979848361112861</v>
      </c>
      <c r="BG219">
        <f t="shared" si="187"/>
        <v>-137.42212025862665</v>
      </c>
      <c r="BH219">
        <f t="shared" si="203"/>
        <v>42.577879741373351</v>
      </c>
      <c r="BI219">
        <f t="shared" si="204"/>
        <v>42.577879741373351</v>
      </c>
      <c r="BJ219">
        <f t="shared" si="188"/>
        <v>0</v>
      </c>
      <c r="BK219">
        <f t="shared" si="205"/>
        <v>0</v>
      </c>
      <c r="BM219">
        <f t="shared" si="206"/>
        <v>-16.159446926197351</v>
      </c>
      <c r="BN219">
        <f t="shared" si="189"/>
        <v>-176.51199642207837</v>
      </c>
      <c r="BQ219" s="56">
        <f t="shared" si="207"/>
        <v>24.663422890371201</v>
      </c>
      <c r="BR219" s="59"/>
      <c r="BS219" s="59"/>
      <c r="BT219" s="59">
        <v>12302.688</v>
      </c>
      <c r="BU219" s="59">
        <v>-3.2360000000000002</v>
      </c>
      <c r="BV219" s="59">
        <v>-205.58</v>
      </c>
      <c r="BW219" s="61"/>
      <c r="BY219" s="59"/>
      <c r="BZ219" s="59"/>
      <c r="CA219" s="59"/>
      <c r="CC219" s="59"/>
    </row>
    <row r="220" spans="1:81" x14ac:dyDescent="0.2">
      <c r="A220">
        <f t="shared" si="190"/>
        <v>93000</v>
      </c>
      <c r="B220">
        <f t="shared" si="191"/>
        <v>93</v>
      </c>
      <c r="C220">
        <f t="shared" si="159"/>
        <v>1.000251711716259</v>
      </c>
      <c r="D220">
        <f t="shared" si="160"/>
        <v>2.2434746649219524E-2</v>
      </c>
      <c r="F220">
        <f t="shared" si="161"/>
        <v>1.0258894452287833E-2</v>
      </c>
      <c r="G220">
        <f t="shared" si="162"/>
        <v>3.8351547118096449E-2</v>
      </c>
      <c r="H220">
        <f t="shared" si="163"/>
        <v>-3.1032411028819036</v>
      </c>
      <c r="J220">
        <f t="shared" si="164"/>
        <v>15</v>
      </c>
      <c r="M220">
        <f t="shared" si="165"/>
        <v>2.4266114741958718E-3</v>
      </c>
      <c r="N220">
        <f t="shared" si="166"/>
        <v>-1.5707963250000001</v>
      </c>
      <c r="O220">
        <f t="shared" si="167"/>
        <v>87.288031458410387</v>
      </c>
      <c r="P220">
        <f t="shared" si="168"/>
        <v>1.5593397518310108</v>
      </c>
      <c r="Q220">
        <f t="shared" si="169"/>
        <v>13.02683108261955</v>
      </c>
      <c r="R220">
        <f t="shared" si="170"/>
        <v>1.4939560928032409</v>
      </c>
      <c r="S220">
        <f t="shared" si="171"/>
        <v>0.93885727199398916</v>
      </c>
      <c r="T220">
        <f t="shared" si="172"/>
        <v>-0.35150010903360646</v>
      </c>
      <c r="U220">
        <f t="shared" si="173"/>
        <v>0.92815928281564941</v>
      </c>
      <c r="V220">
        <f t="shared" si="174"/>
        <v>-0.38136011351680144</v>
      </c>
      <c r="X220">
        <f t="shared" si="192"/>
        <v>-8.6336612235406456</v>
      </c>
      <c r="Y220">
        <f t="shared" si="175"/>
        <v>-133.56603398177393</v>
      </c>
      <c r="Z220">
        <f t="shared" si="193"/>
        <v>46.433966018226073</v>
      </c>
      <c r="AC220">
        <v>1</v>
      </c>
      <c r="AD220">
        <f t="shared" si="176"/>
        <v>87.282303108272998</v>
      </c>
      <c r="AE220">
        <f t="shared" si="177"/>
        <v>-9.1803981954823571E-3</v>
      </c>
      <c r="AF220">
        <f t="shared" si="178"/>
        <v>2.2894293605022001E-2</v>
      </c>
      <c r="AG220">
        <f t="shared" si="194"/>
        <v>3269.2200201202581</v>
      </c>
      <c r="AH220">
        <f t="shared" si="195"/>
        <v>-1354.6057418667849</v>
      </c>
      <c r="AJ220">
        <f t="shared" si="179"/>
        <v>18000</v>
      </c>
      <c r="AK220">
        <f t="shared" si="180"/>
        <v>6601.1295558247202</v>
      </c>
      <c r="AL220">
        <v>1</v>
      </c>
      <c r="AM220">
        <f t="shared" si="181"/>
        <v>12.98839205040804</v>
      </c>
      <c r="AN220">
        <f t="shared" si="196"/>
        <v>611.30866659394871</v>
      </c>
      <c r="AO220">
        <f t="shared" si="197"/>
        <v>-1338.7870697096623</v>
      </c>
      <c r="AQ220">
        <f t="shared" si="182"/>
        <v>0.28904240252044977</v>
      </c>
      <c r="AR220">
        <f t="shared" si="183"/>
        <v>-53.76188686880365</v>
      </c>
      <c r="AT220">
        <f t="shared" si="209"/>
        <v>-71881.21743709041</v>
      </c>
      <c r="AU220">
        <f t="shared" si="210"/>
        <v>-176150.97536903046</v>
      </c>
      <c r="AV220">
        <f t="shared" si="198"/>
        <v>-1.9582367229898747</v>
      </c>
      <c r="AW220">
        <f t="shared" si="199"/>
        <v>-67863.260915065053</v>
      </c>
      <c r="AX220">
        <f t="shared" si="200"/>
        <v>-37499.698945748838</v>
      </c>
      <c r="AY220">
        <f t="shared" si="208"/>
        <v>-2.6367728466687743</v>
      </c>
      <c r="BA220">
        <f t="shared" si="184"/>
        <v>2.4537703442196994</v>
      </c>
      <c r="BB220">
        <f t="shared" si="201"/>
        <v>7.7966782672053832</v>
      </c>
      <c r="BC220">
        <f t="shared" si="202"/>
        <v>0.67853612367889959</v>
      </c>
      <c r="BD220">
        <f t="shared" si="185"/>
        <v>-141.12274382160848</v>
      </c>
      <c r="BF220">
        <f t="shared" si="186"/>
        <v>-8.4572992538249299</v>
      </c>
      <c r="BG220">
        <f t="shared" si="187"/>
        <v>-137.63994573251921</v>
      </c>
      <c r="BH220">
        <f t="shared" si="203"/>
        <v>42.360054267480791</v>
      </c>
      <c r="BI220">
        <f t="shared" si="204"/>
        <v>42.360054267480791</v>
      </c>
      <c r="BJ220">
        <f t="shared" si="188"/>
        <v>0</v>
      </c>
      <c r="BK220">
        <f t="shared" si="205"/>
        <v>0</v>
      </c>
      <c r="BM220">
        <f t="shared" si="206"/>
        <v>-16.253977521030315</v>
      </c>
      <c r="BN220">
        <f t="shared" si="189"/>
        <v>-176.51720191091073</v>
      </c>
      <c r="BQ220" s="56">
        <f t="shared" si="207"/>
        <v>24.698639067490518</v>
      </c>
      <c r="BR220" s="59"/>
      <c r="BS220" s="59"/>
      <c r="BT220" s="59">
        <v>12589.254000000001</v>
      </c>
      <c r="BU220" s="59">
        <v>-3.6465100000000001</v>
      </c>
      <c r="BV220" s="59">
        <v>-203.78</v>
      </c>
      <c r="BW220" s="61"/>
      <c r="BY220" s="59"/>
      <c r="BZ220" s="59"/>
      <c r="CA220" s="59"/>
      <c r="CC220" s="59"/>
    </row>
    <row r="221" spans="1:81" x14ac:dyDescent="0.2">
      <c r="A221">
        <f t="shared" si="190"/>
        <v>93500</v>
      </c>
      <c r="B221">
        <f t="shared" si="191"/>
        <v>93.5</v>
      </c>
      <c r="C221">
        <f t="shared" si="159"/>
        <v>1.0002544252244503</v>
      </c>
      <c r="D221">
        <f t="shared" si="160"/>
        <v>2.255532277152026E-2</v>
      </c>
      <c r="F221">
        <f t="shared" si="161"/>
        <v>1.0148426138469648E-2</v>
      </c>
      <c r="G221">
        <f t="shared" si="162"/>
        <v>3.8142444791052256E-2</v>
      </c>
      <c r="H221">
        <f t="shared" si="163"/>
        <v>-3.1034502052089481</v>
      </c>
      <c r="J221">
        <f t="shared" si="164"/>
        <v>15</v>
      </c>
      <c r="M221">
        <f t="shared" si="165"/>
        <v>2.4136349422483007E-3</v>
      </c>
      <c r="N221">
        <f t="shared" si="166"/>
        <v>-1.5707963250000001</v>
      </c>
      <c r="O221">
        <f t="shared" si="167"/>
        <v>87.757260521646671</v>
      </c>
      <c r="P221">
        <f t="shared" si="168"/>
        <v>1.5594010116200054</v>
      </c>
      <c r="Q221">
        <f t="shared" si="169"/>
        <v>13.096456192794008</v>
      </c>
      <c r="R221">
        <f t="shared" si="170"/>
        <v>1.4943654004712017</v>
      </c>
      <c r="S221">
        <f t="shared" si="171"/>
        <v>0.93825785768606373</v>
      </c>
      <c r="T221">
        <f t="shared" si="172"/>
        <v>-0.35323692902820647</v>
      </c>
      <c r="U221">
        <f t="shared" si="173"/>
        <v>0.92746696914824223</v>
      </c>
      <c r="V221">
        <f t="shared" si="174"/>
        <v>-0.38321596210161413</v>
      </c>
      <c r="X221">
        <f t="shared" si="192"/>
        <v>-8.6934093166339448</v>
      </c>
      <c r="Y221">
        <f t="shared" si="175"/>
        <v>-133.74998937742208</v>
      </c>
      <c r="Z221">
        <f t="shared" si="193"/>
        <v>46.250010622577918</v>
      </c>
      <c r="AC221">
        <v>1</v>
      </c>
      <c r="AD221">
        <f t="shared" si="176"/>
        <v>87.751562802403498</v>
      </c>
      <c r="AE221">
        <f t="shared" si="177"/>
        <v>-9.2793775146786488E-3</v>
      </c>
      <c r="AF221">
        <f t="shared" si="178"/>
        <v>2.3017381205048999E-2</v>
      </c>
      <c r="AG221">
        <f t="shared" si="194"/>
        <v>3264.3448189846872</v>
      </c>
      <c r="AH221">
        <f t="shared" si="195"/>
        <v>-1359.454737039345</v>
      </c>
      <c r="AJ221">
        <f t="shared" si="179"/>
        <v>18000</v>
      </c>
      <c r="AK221">
        <f t="shared" si="180"/>
        <v>6636.6194996732402</v>
      </c>
      <c r="AL221">
        <v>1</v>
      </c>
      <c r="AM221">
        <f t="shared" si="181"/>
        <v>13.058222115195182</v>
      </c>
      <c r="AN221">
        <f t="shared" si="196"/>
        <v>610.21561099641815</v>
      </c>
      <c r="AO221">
        <f t="shared" si="197"/>
        <v>-1331.711486877527</v>
      </c>
      <c r="AQ221">
        <f t="shared" si="182"/>
        <v>0.2859593937660852</v>
      </c>
      <c r="AR221">
        <f t="shared" si="183"/>
        <v>-53.474406634257939</v>
      </c>
      <c r="AT221">
        <f t="shared" si="209"/>
        <v>-71762.565343829818</v>
      </c>
      <c r="AU221">
        <f t="shared" si="210"/>
        <v>-174947.65109727648</v>
      </c>
      <c r="AV221">
        <f t="shared" si="198"/>
        <v>-1.960060061462251</v>
      </c>
      <c r="AW221">
        <f t="shared" si="199"/>
        <v>-67109.210605427215</v>
      </c>
      <c r="AX221">
        <f t="shared" si="200"/>
        <v>-37248.727251820921</v>
      </c>
      <c r="AY221">
        <f t="shared" si="208"/>
        <v>-2.6348832879227295</v>
      </c>
      <c r="BA221">
        <f t="shared" si="184"/>
        <v>2.4636503737603261</v>
      </c>
      <c r="BB221">
        <f t="shared" si="201"/>
        <v>7.8315815088066385</v>
      </c>
      <c r="BC221">
        <f t="shared" si="202"/>
        <v>0.67482322646047854</v>
      </c>
      <c r="BD221">
        <f t="shared" si="185"/>
        <v>-141.33547716223293</v>
      </c>
      <c r="BF221">
        <f t="shared" si="186"/>
        <v>-8.5164097773988701</v>
      </c>
      <c r="BG221">
        <f t="shared" si="187"/>
        <v>-137.85775125105758</v>
      </c>
      <c r="BH221">
        <f t="shared" si="203"/>
        <v>42.142248748942421</v>
      </c>
      <c r="BI221">
        <f t="shared" si="204"/>
        <v>42.142248748942421</v>
      </c>
      <c r="BJ221">
        <f t="shared" si="188"/>
        <v>0</v>
      </c>
      <c r="BK221">
        <f t="shared" si="205"/>
        <v>0</v>
      </c>
      <c r="BM221">
        <f t="shared" si="206"/>
        <v>-16.347991286205509</v>
      </c>
      <c r="BN221">
        <f t="shared" si="189"/>
        <v>-176.52227408882464</v>
      </c>
      <c r="BQ221" s="56">
        <f t="shared" si="207"/>
        <v>24.733542309091774</v>
      </c>
      <c r="BR221" s="59"/>
      <c r="BS221" s="59"/>
      <c r="BT221" s="59">
        <v>12882.495999999999</v>
      </c>
      <c r="BU221" s="59">
        <v>-3.6234700000000002</v>
      </c>
      <c r="BV221" s="59">
        <v>-201.71899999999999</v>
      </c>
      <c r="BW221" s="61"/>
      <c r="BY221" s="59"/>
      <c r="BZ221" s="59"/>
      <c r="CA221" s="59"/>
      <c r="CC221" s="59"/>
    </row>
    <row r="222" spans="1:81" x14ac:dyDescent="0.2">
      <c r="A222">
        <f t="shared" si="190"/>
        <v>94000</v>
      </c>
      <c r="B222">
        <f t="shared" si="191"/>
        <v>94</v>
      </c>
      <c r="C222">
        <f t="shared" si="159"/>
        <v>1.000257153274863</v>
      </c>
      <c r="D222">
        <f t="shared" si="160"/>
        <v>2.2675898237867642E-2</v>
      </c>
      <c r="F222">
        <f t="shared" si="161"/>
        <v>1.0039738025993424E-2</v>
      </c>
      <c r="G222">
        <f t="shared" si="162"/>
        <v>3.793563127580183E-2</v>
      </c>
      <c r="H222">
        <f t="shared" si="163"/>
        <v>-3.1036570187241983</v>
      </c>
      <c r="J222">
        <f t="shared" si="164"/>
        <v>15</v>
      </c>
      <c r="M222">
        <f t="shared" si="165"/>
        <v>2.400796458512937E-3</v>
      </c>
      <c r="N222">
        <f t="shared" si="166"/>
        <v>-1.5707963250000001</v>
      </c>
      <c r="O222">
        <f t="shared" si="167"/>
        <v>88.226489910711962</v>
      </c>
      <c r="P222">
        <f t="shared" si="168"/>
        <v>1.5594616197932905</v>
      </c>
      <c r="Q222">
        <f t="shared" si="169"/>
        <v>13.166083473848195</v>
      </c>
      <c r="R222">
        <f t="shared" si="170"/>
        <v>1.494770379055669</v>
      </c>
      <c r="S222">
        <f t="shared" si="171"/>
        <v>0.93765638521832484</v>
      </c>
      <c r="T222">
        <f t="shared" si="172"/>
        <v>-0.35497152746440924</v>
      </c>
      <c r="U222">
        <f t="shared" si="173"/>
        <v>0.92677250267851341</v>
      </c>
      <c r="V222">
        <f t="shared" si="174"/>
        <v>-0.38506903782518342</v>
      </c>
      <c r="X222">
        <f t="shared" si="192"/>
        <v>-8.7529378413742958</v>
      </c>
      <c r="Y222">
        <f t="shared" si="175"/>
        <v>-133.93381288527442</v>
      </c>
      <c r="Z222">
        <f t="shared" si="193"/>
        <v>46.066187114725579</v>
      </c>
      <c r="AC222">
        <v>1</v>
      </c>
      <c r="AD222">
        <f t="shared" si="176"/>
        <v>88.220822496533998</v>
      </c>
      <c r="AE222">
        <f t="shared" si="177"/>
        <v>-9.3788875540851101E-3</v>
      </c>
      <c r="AF222">
        <f t="shared" si="178"/>
        <v>2.3140468805076E-2</v>
      </c>
      <c r="AG222">
        <f t="shared" si="194"/>
        <v>3259.4581127910551</v>
      </c>
      <c r="AH222">
        <f t="shared" si="195"/>
        <v>-1364.2805335124704</v>
      </c>
      <c r="AJ222">
        <f t="shared" si="179"/>
        <v>18000</v>
      </c>
      <c r="AK222">
        <f t="shared" si="180"/>
        <v>6672.1094435217592</v>
      </c>
      <c r="AL222">
        <v>1</v>
      </c>
      <c r="AM222">
        <f t="shared" si="181"/>
        <v>13.128052179982323</v>
      </c>
      <c r="AN222">
        <f t="shared" si="196"/>
        <v>609.13981718026173</v>
      </c>
      <c r="AO222">
        <f t="shared" si="197"/>
        <v>-1324.7098613256087</v>
      </c>
      <c r="AQ222">
        <f t="shared" si="182"/>
        <v>0.28292544914415052</v>
      </c>
      <c r="AR222">
        <f t="shared" si="183"/>
        <v>-53.1899844391003</v>
      </c>
      <c r="AT222">
        <f t="shared" si="209"/>
        <v>-71643.876697567801</v>
      </c>
      <c r="AU222">
        <f t="shared" si="210"/>
        <v>-173756.5159819581</v>
      </c>
      <c r="AV222">
        <f t="shared" si="198"/>
        <v>-1.9618809728501703</v>
      </c>
      <c r="AW222">
        <f t="shared" si="199"/>
        <v>-66367.148357013561</v>
      </c>
      <c r="AX222">
        <f t="shared" si="200"/>
        <v>-37001.432880452259</v>
      </c>
      <c r="AY222">
        <f t="shared" si="208"/>
        <v>-2.632989437517824</v>
      </c>
      <c r="BA222">
        <f t="shared" si="184"/>
        <v>2.4734818140042125</v>
      </c>
      <c r="BB222">
        <f t="shared" si="201"/>
        <v>7.8661744322158196</v>
      </c>
      <c r="BC222">
        <f t="shared" si="202"/>
        <v>0.67110846466765373</v>
      </c>
      <c r="BD222">
        <f t="shared" si="185"/>
        <v>-141.54831733510144</v>
      </c>
      <c r="BF222">
        <f t="shared" si="186"/>
        <v>-8.575319456788387</v>
      </c>
      <c r="BG222">
        <f t="shared" si="187"/>
        <v>-138.07553250016733</v>
      </c>
      <c r="BH222">
        <f t="shared" si="203"/>
        <v>41.924467499832673</v>
      </c>
      <c r="BI222">
        <f t="shared" si="204"/>
        <v>41.924467499832673</v>
      </c>
      <c r="BJ222">
        <f t="shared" si="188"/>
        <v>0</v>
      </c>
      <c r="BK222">
        <f t="shared" si="205"/>
        <v>0</v>
      </c>
      <c r="BM222">
        <f t="shared" si="206"/>
        <v>-16.441493889004207</v>
      </c>
      <c r="BN222">
        <f t="shared" si="189"/>
        <v>-176.52721516506588</v>
      </c>
      <c r="BQ222" s="56">
        <f t="shared" si="207"/>
        <v>24.768135232500956</v>
      </c>
      <c r="BR222" s="59"/>
      <c r="BS222" s="59"/>
      <c r="BT222" s="59">
        <v>13182.566999999999</v>
      </c>
      <c r="BU222" s="59">
        <v>-4.1132799999999996</v>
      </c>
      <c r="BV222" s="59">
        <v>-198.27600000000001</v>
      </c>
      <c r="BW222" s="61"/>
      <c r="BY222" s="59"/>
      <c r="BZ222" s="59"/>
      <c r="CA222" s="59"/>
      <c r="CC222" s="59"/>
    </row>
    <row r="223" spans="1:81" x14ac:dyDescent="0.2">
      <c r="A223">
        <f t="shared" si="190"/>
        <v>94500</v>
      </c>
      <c r="B223">
        <f t="shared" si="191"/>
        <v>94.5</v>
      </c>
      <c r="C223">
        <f t="shared" si="159"/>
        <v>1.0002598958673778</v>
      </c>
      <c r="D223">
        <f t="shared" si="160"/>
        <v>2.2796473044761085E-2</v>
      </c>
      <c r="F223">
        <f t="shared" si="161"/>
        <v>9.9327919540025313E-3</v>
      </c>
      <c r="G223">
        <f t="shared" si="162"/>
        <v>3.7731068871060931E-2</v>
      </c>
      <c r="H223">
        <f t="shared" si="163"/>
        <v>-3.1038615811289394</v>
      </c>
      <c r="J223">
        <f t="shared" si="164"/>
        <v>15</v>
      </c>
      <c r="M223">
        <f t="shared" si="165"/>
        <v>2.3880938317483182E-3</v>
      </c>
      <c r="N223">
        <f t="shared" si="166"/>
        <v>-1.5707963250000001</v>
      </c>
      <c r="O223">
        <f t="shared" si="167"/>
        <v>88.695719620435028</v>
      </c>
      <c r="P223">
        <f t="shared" si="168"/>
        <v>1.559521586692205</v>
      </c>
      <c r="Q223">
        <f t="shared" si="169"/>
        <v>13.235712891521976</v>
      </c>
      <c r="R223">
        <f t="shared" si="170"/>
        <v>1.4951710967450693</v>
      </c>
      <c r="S223">
        <f t="shared" si="171"/>
        <v>0.93705286939426169</v>
      </c>
      <c r="T223">
        <f t="shared" si="172"/>
        <v>-0.35670389818369841</v>
      </c>
      <c r="U223">
        <f t="shared" si="173"/>
        <v>0.92607590253090399</v>
      </c>
      <c r="V223">
        <f t="shared" si="174"/>
        <v>-0.38691933419939778</v>
      </c>
      <c r="X223">
        <f t="shared" si="192"/>
        <v>-8.8122496062870077</v>
      </c>
      <c r="Y223">
        <f t="shared" si="175"/>
        <v>-134.11750144163344</v>
      </c>
      <c r="Z223">
        <f t="shared" si="193"/>
        <v>45.882498558366564</v>
      </c>
      <c r="AC223">
        <v>1</v>
      </c>
      <c r="AD223">
        <f t="shared" si="176"/>
        <v>88.690082190664498</v>
      </c>
      <c r="AE223">
        <f t="shared" si="177"/>
        <v>-9.4789283137017375E-3</v>
      </c>
      <c r="AF223">
        <f t="shared" si="178"/>
        <v>2.3263556405102997E-2</v>
      </c>
      <c r="AG223">
        <f t="shared" si="194"/>
        <v>3254.5600700008113</v>
      </c>
      <c r="AH223">
        <f t="shared" si="195"/>
        <v>-1369.0830860748092</v>
      </c>
      <c r="AJ223">
        <f t="shared" si="179"/>
        <v>18000</v>
      </c>
      <c r="AK223">
        <f t="shared" si="180"/>
        <v>6707.5993873702801</v>
      </c>
      <c r="AL223">
        <v>1</v>
      </c>
      <c r="AM223">
        <f t="shared" si="181"/>
        <v>13.197882244769461</v>
      </c>
      <c r="AN223">
        <f t="shared" si="196"/>
        <v>608.08092427275028</v>
      </c>
      <c r="AO223">
        <f t="shared" si="197"/>
        <v>-1317.7810464720546</v>
      </c>
      <c r="AQ223">
        <f t="shared" si="182"/>
        <v>0.27993953306085884</v>
      </c>
      <c r="AR223">
        <f t="shared" si="183"/>
        <v>-52.908571748502325</v>
      </c>
      <c r="AT223">
        <f t="shared" si="209"/>
        <v>-71525.150662935484</v>
      </c>
      <c r="AU223">
        <f t="shared" si="210"/>
        <v>-172577.38545328597</v>
      </c>
      <c r="AV223">
        <f t="shared" si="198"/>
        <v>-1.9636994451785852</v>
      </c>
      <c r="AW223">
        <f t="shared" si="199"/>
        <v>-65636.823810385526</v>
      </c>
      <c r="AX223">
        <f t="shared" si="200"/>
        <v>-36757.73668734236</v>
      </c>
      <c r="AY223">
        <f t="shared" si="208"/>
        <v>-2.6310913957118967</v>
      </c>
      <c r="BA223">
        <f t="shared" si="184"/>
        <v>2.4832645047266673</v>
      </c>
      <c r="BB223">
        <f t="shared" si="201"/>
        <v>7.9004596172303954</v>
      </c>
      <c r="BC223">
        <f t="shared" si="202"/>
        <v>0.66739195053331146</v>
      </c>
      <c r="BD223">
        <f t="shared" si="185"/>
        <v>-141.76125790974331</v>
      </c>
      <c r="BF223">
        <f t="shared" si="186"/>
        <v>-8.6340312859595567</v>
      </c>
      <c r="BG223">
        <f t="shared" si="187"/>
        <v>-138.29328520970279</v>
      </c>
      <c r="BH223">
        <f t="shared" si="203"/>
        <v>41.706714790297212</v>
      </c>
      <c r="BI223">
        <f t="shared" si="204"/>
        <v>41.706714790297212</v>
      </c>
      <c r="BJ223">
        <f t="shared" si="188"/>
        <v>0</v>
      </c>
      <c r="BK223">
        <f t="shared" si="205"/>
        <v>0</v>
      </c>
      <c r="BM223">
        <f t="shared" si="206"/>
        <v>-16.534490903189955</v>
      </c>
      <c r="BN223">
        <f t="shared" si="189"/>
        <v>-176.53202729995948</v>
      </c>
      <c r="BQ223" s="56">
        <f t="shared" si="207"/>
        <v>24.802420417515535</v>
      </c>
      <c r="BR223" s="59"/>
      <c r="BS223" s="59"/>
      <c r="BT223" s="59">
        <v>13489.629000000001</v>
      </c>
      <c r="BU223" s="59">
        <v>-3.8779599999999999</v>
      </c>
      <c r="BV223" s="59">
        <v>-197.578</v>
      </c>
      <c r="BW223" s="61"/>
      <c r="BY223" s="59"/>
      <c r="BZ223" s="59"/>
      <c r="CA223" s="59"/>
      <c r="CC223" s="59"/>
    </row>
    <row r="224" spans="1:81" x14ac:dyDescent="0.2">
      <c r="A224">
        <f t="shared" si="190"/>
        <v>95000</v>
      </c>
      <c r="B224">
        <f t="shared" si="191"/>
        <v>95</v>
      </c>
      <c r="C224">
        <f t="shared" si="159"/>
        <v>1.0002626530018752</v>
      </c>
      <c r="D224">
        <f t="shared" si="160"/>
        <v>2.2917047188700135E-2</v>
      </c>
      <c r="F224">
        <f t="shared" si="161"/>
        <v>9.8275507817047539E-3</v>
      </c>
      <c r="G224">
        <f t="shared" si="162"/>
        <v>3.7528720705693505E-2</v>
      </c>
      <c r="H224">
        <f t="shared" si="163"/>
        <v>-3.1040639292943069</v>
      </c>
      <c r="J224">
        <f t="shared" si="164"/>
        <v>15</v>
      </c>
      <c r="M224">
        <f t="shared" si="165"/>
        <v>2.3755249168443799E-3</v>
      </c>
      <c r="N224">
        <f t="shared" si="166"/>
        <v>-1.5707963250000001</v>
      </c>
      <c r="O224">
        <f t="shared" si="167"/>
        <v>89.164949645753509</v>
      </c>
      <c r="P224">
        <f t="shared" si="168"/>
        <v>1.5595809224404225</v>
      </c>
      <c r="Q224">
        <f t="shared" si="169"/>
        <v>13.305344412271326</v>
      </c>
      <c r="R224">
        <f t="shared" si="170"/>
        <v>1.4955676203059542</v>
      </c>
      <c r="S224">
        <f t="shared" si="171"/>
        <v>0.93644732501364114</v>
      </c>
      <c r="T224">
        <f t="shared" si="172"/>
        <v>-0.35843403509685062</v>
      </c>
      <c r="U224">
        <f t="shared" si="173"/>
        <v>0.92537718780610811</v>
      </c>
      <c r="V224">
        <f t="shared" si="174"/>
        <v>-0.38876684483171592</v>
      </c>
      <c r="X224">
        <f t="shared" si="192"/>
        <v>-8.8713473676218211</v>
      </c>
      <c r="Y224">
        <f t="shared" si="175"/>
        <v>-134.30105203862232</v>
      </c>
      <c r="Z224">
        <f t="shared" si="193"/>
        <v>45.698947961377684</v>
      </c>
      <c r="AC224">
        <v>1</v>
      </c>
      <c r="AD224">
        <f t="shared" si="176"/>
        <v>89.159341884794998</v>
      </c>
      <c r="AE224">
        <f t="shared" si="177"/>
        <v>-9.5794997935285328E-3</v>
      </c>
      <c r="AF224">
        <f t="shared" si="178"/>
        <v>2.3386644005130002E-2</v>
      </c>
      <c r="AG224">
        <f t="shared" si="194"/>
        <v>3249.6508586084483</v>
      </c>
      <c r="AH224">
        <f t="shared" si="195"/>
        <v>-1373.8623516068203</v>
      </c>
      <c r="AJ224">
        <f t="shared" si="179"/>
        <v>18000</v>
      </c>
      <c r="AK224">
        <f t="shared" si="180"/>
        <v>6743.0893312188</v>
      </c>
      <c r="AL224">
        <v>1</v>
      </c>
      <c r="AM224">
        <f t="shared" si="181"/>
        <v>13.267712309556602</v>
      </c>
      <c r="AN224">
        <f t="shared" si="196"/>
        <v>607.03858076462939</v>
      </c>
      <c r="AO224">
        <f t="shared" si="197"/>
        <v>-1310.9239191678428</v>
      </c>
      <c r="AQ224">
        <f t="shared" si="182"/>
        <v>0.27700063710146533</v>
      </c>
      <c r="AR224">
        <f t="shared" si="183"/>
        <v>-52.630121049278415</v>
      </c>
      <c r="AT224">
        <f t="shared" si="209"/>
        <v>-71406.386511921388</v>
      </c>
      <c r="AU224">
        <f t="shared" si="210"/>
        <v>-171410.07880313898</v>
      </c>
      <c r="AV224">
        <f t="shared" si="198"/>
        <v>-1.9655154666834911</v>
      </c>
      <c r="AW224">
        <f t="shared" si="199"/>
        <v>-64917.993092308956</v>
      </c>
      <c r="AX224">
        <f t="shared" si="200"/>
        <v>-36517.561721146973</v>
      </c>
      <c r="AY224">
        <f t="shared" si="208"/>
        <v>-2.6291892613932442</v>
      </c>
      <c r="BA224">
        <f t="shared" si="184"/>
        <v>2.4929982884810711</v>
      </c>
      <c r="BB224">
        <f t="shared" si="201"/>
        <v>7.9344396069508658</v>
      </c>
      <c r="BC224">
        <f t="shared" si="202"/>
        <v>0.66367379470975307</v>
      </c>
      <c r="BD224">
        <f t="shared" si="185"/>
        <v>-141.97429254624862</v>
      </c>
      <c r="BF224">
        <f t="shared" si="186"/>
        <v>-8.6925482041199853</v>
      </c>
      <c r="BG224">
        <f t="shared" si="187"/>
        <v>-138.51100515251511</v>
      </c>
      <c r="BH224">
        <f t="shared" si="203"/>
        <v>41.488994847484889</v>
      </c>
      <c r="BI224">
        <f t="shared" si="204"/>
        <v>41.488994847484889</v>
      </c>
      <c r="BJ224">
        <f t="shared" si="188"/>
        <v>0</v>
      </c>
      <c r="BK224">
        <f t="shared" si="205"/>
        <v>0</v>
      </c>
      <c r="BM224">
        <f t="shared" si="206"/>
        <v>-16.626987811070851</v>
      </c>
      <c r="BN224">
        <f t="shared" si="189"/>
        <v>-176.53671260626649</v>
      </c>
      <c r="BQ224" s="56">
        <f t="shared" si="207"/>
        <v>24.836400407236003</v>
      </c>
      <c r="BR224" s="59"/>
      <c r="BS224" s="59"/>
      <c r="BT224" s="59">
        <v>13803.843000000001</v>
      </c>
      <c r="BU224" s="59">
        <v>-4.0306600000000001</v>
      </c>
      <c r="BV224" s="59">
        <v>-195.64599999999999</v>
      </c>
      <c r="BW224" s="61"/>
      <c r="BY224" s="59"/>
      <c r="BZ224" s="59"/>
      <c r="CA224" s="59"/>
      <c r="CC224" s="59"/>
    </row>
    <row r="225" spans="1:81" x14ac:dyDescent="0.2">
      <c r="A225">
        <f t="shared" si="190"/>
        <v>95500</v>
      </c>
      <c r="B225">
        <f t="shared" si="191"/>
        <v>95.5</v>
      </c>
      <c r="C225">
        <f t="shared" si="159"/>
        <v>1.0002654246782352</v>
      </c>
      <c r="D225">
        <f t="shared" si="160"/>
        <v>2.3037620666184432E-2</v>
      </c>
      <c r="F225">
        <f t="shared" si="161"/>
        <v>9.7239783557332999E-3</v>
      </c>
      <c r="G225">
        <f t="shared" si="162"/>
        <v>3.7328550715820898E-2</v>
      </c>
      <c r="H225">
        <f t="shared" si="163"/>
        <v>-3.1042640992841792</v>
      </c>
      <c r="J225">
        <f t="shared" si="164"/>
        <v>15</v>
      </c>
      <c r="M225">
        <f t="shared" si="165"/>
        <v>2.363087613614828E-3</v>
      </c>
      <c r="N225">
        <f t="shared" si="166"/>
        <v>-1.5707963250000001</v>
      </c>
      <c r="O225">
        <f t="shared" si="167"/>
        <v>89.634179981711029</v>
      </c>
      <c r="P225">
        <f t="shared" si="168"/>
        <v>1.5596396369496461</v>
      </c>
      <c r="Q225">
        <f t="shared" si="169"/>
        <v>13.374978003249758</v>
      </c>
      <c r="R225">
        <f t="shared" si="170"/>
        <v>1.4959600151197978</v>
      </c>
      <c r="S225">
        <f t="shared" si="171"/>
        <v>0.93583976687172532</v>
      </c>
      <c r="T225">
        <f t="shared" si="172"/>
        <v>-0.36016193218382819</v>
      </c>
      <c r="U225">
        <f t="shared" si="173"/>
        <v>0.92467637758001564</v>
      </c>
      <c r="V225">
        <f t="shared" si="174"/>
        <v>-0.39061156342489883</v>
      </c>
      <c r="X225">
        <f t="shared" si="192"/>
        <v>-8.9302338305682945</v>
      </c>
      <c r="Y225">
        <f t="shared" si="175"/>
        <v>-134.4844617230404</v>
      </c>
      <c r="Z225">
        <f t="shared" si="193"/>
        <v>45.515538276959603</v>
      </c>
      <c r="AC225">
        <v>1</v>
      </c>
      <c r="AD225">
        <f t="shared" si="176"/>
        <v>89.628601578925498</v>
      </c>
      <c r="AE225">
        <f t="shared" si="177"/>
        <v>-9.6806019935654977E-3</v>
      </c>
      <c r="AF225">
        <f t="shared" si="178"/>
        <v>2.3509731605157E-2</v>
      </c>
      <c r="AG225">
        <f t="shared" si="194"/>
        <v>3244.7306461316475</v>
      </c>
      <c r="AH225">
        <f t="shared" si="195"/>
        <v>-1378.6182890499506</v>
      </c>
      <c r="AJ225">
        <f t="shared" si="179"/>
        <v>18000</v>
      </c>
      <c r="AK225">
        <f t="shared" si="180"/>
        <v>6778.5792750673199</v>
      </c>
      <c r="AL225">
        <v>1</v>
      </c>
      <c r="AM225">
        <f t="shared" si="181"/>
        <v>13.337542374343741</v>
      </c>
      <c r="AN225">
        <f t="shared" si="196"/>
        <v>606.01244422063814</v>
      </c>
      <c r="AO225">
        <f t="shared" si="197"/>
        <v>-1304.1373791050628</v>
      </c>
      <c r="AQ225">
        <f t="shared" si="182"/>
        <v>0.2741077791787731</v>
      </c>
      <c r="AR225">
        <f t="shared" si="183"/>
        <v>-52.354585823145662</v>
      </c>
      <c r="AT225">
        <f t="shared" si="209"/>
        <v>-71287.583619979414</v>
      </c>
      <c r="AU225">
        <f t="shared" si="210"/>
        <v>-170254.41908343695</v>
      </c>
      <c r="AV225">
        <f t="shared" si="198"/>
        <v>-1.9673290258086382</v>
      </c>
      <c r="AW225">
        <f t="shared" si="199"/>
        <v>-64210.41861546669</v>
      </c>
      <c r="AX225">
        <f t="shared" si="200"/>
        <v>-36280.833149930069</v>
      </c>
      <c r="AY225">
        <f t="shared" si="208"/>
        <v>-2.6272831321159038</v>
      </c>
      <c r="BA225">
        <f t="shared" si="184"/>
        <v>2.5026830106139974</v>
      </c>
      <c r="BB225">
        <f t="shared" si="201"/>
        <v>7.9681169085910151</v>
      </c>
      <c r="BC225">
        <f t="shared" si="202"/>
        <v>0.65995410630726559</v>
      </c>
      <c r="BD225">
        <f t="shared" si="185"/>
        <v>-142.18741499305844</v>
      </c>
      <c r="BF225">
        <f t="shared" si="186"/>
        <v>-8.7508730969139439</v>
      </c>
      <c r="BG225">
        <f t="shared" si="187"/>
        <v>-138.72868814355394</v>
      </c>
      <c r="BH225">
        <f t="shared" si="203"/>
        <v>41.271311856446061</v>
      </c>
      <c r="BI225">
        <f t="shared" si="204"/>
        <v>41.271311856446061</v>
      </c>
      <c r="BJ225">
        <f t="shared" si="188"/>
        <v>0</v>
      </c>
      <c r="BK225">
        <f t="shared" si="205"/>
        <v>0</v>
      </c>
      <c r="BM225">
        <f t="shared" si="206"/>
        <v>-16.718990005504956</v>
      </c>
      <c r="BN225">
        <f t="shared" si="189"/>
        <v>-176.5412731504955</v>
      </c>
      <c r="BQ225" s="56">
        <f t="shared" si="207"/>
        <v>24.870077708876153</v>
      </c>
      <c r="BR225" s="59"/>
      <c r="BS225" s="59"/>
      <c r="BT225" s="59">
        <v>14125.375</v>
      </c>
      <c r="BU225" s="59">
        <v>-4.0179099999999996</v>
      </c>
      <c r="BV225" s="59">
        <v>-192.58199999999999</v>
      </c>
      <c r="BW225" s="61"/>
      <c r="BY225" s="59"/>
      <c r="BZ225" s="59"/>
      <c r="CA225" s="59"/>
      <c r="CC225" s="59"/>
    </row>
    <row r="226" spans="1:81" x14ac:dyDescent="0.2">
      <c r="A226">
        <f t="shared" si="190"/>
        <v>96000</v>
      </c>
      <c r="B226">
        <f t="shared" si="191"/>
        <v>96</v>
      </c>
      <c r="C226">
        <f t="shared" si="159"/>
        <v>1.0002682108963366</v>
      </c>
      <c r="D226">
        <f t="shared" si="160"/>
        <v>2.3158193473713756E-2</v>
      </c>
      <c r="F226">
        <f t="shared" si="161"/>
        <v>9.6220394787230861E-3</v>
      </c>
      <c r="G226">
        <f t="shared" si="162"/>
        <v>3.7130523622689288E-2</v>
      </c>
      <c r="H226">
        <f t="shared" si="163"/>
        <v>-3.1044621263773111</v>
      </c>
      <c r="J226">
        <f t="shared" si="164"/>
        <v>15</v>
      </c>
      <c r="M226">
        <f t="shared" si="165"/>
        <v>2.3507798656272508E-3</v>
      </c>
      <c r="N226">
        <f t="shared" si="166"/>
        <v>-1.5707963250000001</v>
      </c>
      <c r="O226">
        <f t="shared" si="167"/>
        <v>90.103410623454451</v>
      </c>
      <c r="P226">
        <f t="shared" si="168"/>
        <v>1.5596977399251286</v>
      </c>
      <c r="Q226">
        <f t="shared" si="169"/>
        <v>13.444613632290308</v>
      </c>
      <c r="R226">
        <f t="shared" si="170"/>
        <v>1.4963483452186619</v>
      </c>
      <c r="S226">
        <f t="shared" si="171"/>
        <v>0.93523020975849014</v>
      </c>
      <c r="T226">
        <f t="shared" si="172"/>
        <v>-0.36188758349366851</v>
      </c>
      <c r="U226">
        <f t="shared" si="173"/>
        <v>0.92397349090267067</v>
      </c>
      <c r="V226">
        <f t="shared" si="174"/>
        <v>-0.39245348377673567</v>
      </c>
      <c r="X226">
        <f t="shared" si="192"/>
        <v>-8.9889116504362825</v>
      </c>
      <c r="Y226">
        <f t="shared" si="175"/>
        <v>-134.66772759524946</v>
      </c>
      <c r="Z226">
        <f t="shared" si="193"/>
        <v>45.33227240475054</v>
      </c>
      <c r="AC226">
        <v>1</v>
      </c>
      <c r="AD226">
        <f t="shared" si="176"/>
        <v>90.097861273055997</v>
      </c>
      <c r="AE226">
        <f t="shared" si="177"/>
        <v>-9.782234913812627E-3</v>
      </c>
      <c r="AF226">
        <f t="shared" si="178"/>
        <v>2.3632819205184001E-2</v>
      </c>
      <c r="AG226">
        <f t="shared" si="194"/>
        <v>3239.7995996015679</v>
      </c>
      <c r="AH226">
        <f t="shared" si="195"/>
        <v>-1383.3508593764107</v>
      </c>
      <c r="AJ226">
        <f t="shared" si="179"/>
        <v>18000</v>
      </c>
      <c r="AK226">
        <f t="shared" si="180"/>
        <v>6814.0692189158408</v>
      </c>
      <c r="AL226">
        <v>1</v>
      </c>
      <c r="AM226">
        <f t="shared" si="181"/>
        <v>13.407372439130882</v>
      </c>
      <c r="AN226">
        <f t="shared" si="196"/>
        <v>605.00218100039376</v>
      </c>
      <c r="AO226">
        <f t="shared" si="197"/>
        <v>-1297.4203482429118</v>
      </c>
      <c r="AQ226">
        <f t="shared" si="182"/>
        <v>0.27126000271260003</v>
      </c>
      <c r="AR226">
        <f t="shared" si="183"/>
        <v>-52.081920520819203</v>
      </c>
      <c r="AT226">
        <f t="shared" si="209"/>
        <v>-71168.741462272956</v>
      </c>
      <c r="AU226">
        <f t="shared" si="210"/>
        <v>-169110.23300769765</v>
      </c>
      <c r="AV226">
        <f t="shared" si="198"/>
        <v>-1.9691401112023283</v>
      </c>
      <c r="AW226">
        <f t="shared" si="199"/>
        <v>-63513.868885335607</v>
      </c>
      <c r="AX226">
        <f t="shared" si="200"/>
        <v>-36047.47819048955</v>
      </c>
      <c r="AY226">
        <f t="shared" si="208"/>
        <v>-2.6253731041336938</v>
      </c>
      <c r="BA226">
        <f t="shared" si="184"/>
        <v>2.5123185192800528</v>
      </c>
      <c r="BB226">
        <f t="shared" si="201"/>
        <v>8.0014939942674701</v>
      </c>
      <c r="BC226">
        <f t="shared" si="202"/>
        <v>0.6562329929313655</v>
      </c>
      <c r="BD226">
        <f t="shared" si="185"/>
        <v>-142.40061908483082</v>
      </c>
      <c r="BF226">
        <f t="shared" si="186"/>
        <v>-8.8090087975831093</v>
      </c>
      <c r="BG226">
        <f t="shared" si="187"/>
        <v>-138.94633003900159</v>
      </c>
      <c r="BH226">
        <f t="shared" si="203"/>
        <v>41.053669960998405</v>
      </c>
      <c r="BI226">
        <f t="shared" si="204"/>
        <v>41.053669960998405</v>
      </c>
      <c r="BJ226">
        <f t="shared" si="188"/>
        <v>0</v>
      </c>
      <c r="BK226">
        <f t="shared" si="205"/>
        <v>0</v>
      </c>
      <c r="BM226">
        <f t="shared" si="206"/>
        <v>-16.810502791850578</v>
      </c>
      <c r="BN226">
        <f t="shared" si="189"/>
        <v>-176.5457109541708</v>
      </c>
      <c r="BQ226" s="56">
        <f t="shared" si="207"/>
        <v>24.903454794552605</v>
      </c>
      <c r="BR226" s="59"/>
      <c r="BS226" s="59"/>
      <c r="BT226" s="59">
        <v>14454.397999999999</v>
      </c>
      <c r="BU226" s="59">
        <v>-3.9652699999999999</v>
      </c>
      <c r="BV226" s="59">
        <v>-192.25399999999999</v>
      </c>
      <c r="BW226" s="61"/>
      <c r="BY226" s="59"/>
      <c r="BZ226" s="59"/>
      <c r="CA226" s="59"/>
      <c r="CC226" s="59"/>
    </row>
    <row r="227" spans="1:81" x14ac:dyDescent="0.2">
      <c r="A227">
        <f t="shared" si="190"/>
        <v>96500</v>
      </c>
      <c r="B227">
        <f t="shared" si="191"/>
        <v>96.5</v>
      </c>
      <c r="C227">
        <f t="shared" si="159"/>
        <v>1.0002710116560578</v>
      </c>
      <c r="D227">
        <f t="shared" si="160"/>
        <v>2.3278765607787986E-2</v>
      </c>
      <c r="F227">
        <f t="shared" si="161"/>
        <v>9.5216998790507261E-3</v>
      </c>
      <c r="G227">
        <f t="shared" si="162"/>
        <v>3.693460491126601E-2</v>
      </c>
      <c r="H227">
        <f t="shared" si="163"/>
        <v>-3.1046580450887342</v>
      </c>
      <c r="J227">
        <f t="shared" si="164"/>
        <v>15</v>
      </c>
      <c r="M227">
        <f t="shared" si="165"/>
        <v>2.3385996590695969E-3</v>
      </c>
      <c r="N227">
        <f t="shared" si="166"/>
        <v>-1.5707963250000001</v>
      </c>
      <c r="O227">
        <f t="shared" si="167"/>
        <v>90.572641566231198</v>
      </c>
      <c r="P227">
        <f t="shared" si="168"/>
        <v>1.5597552408710187</v>
      </c>
      <c r="Q227">
        <f t="shared" si="169"/>
        <v>13.514251267888067</v>
      </c>
      <c r="R227">
        <f t="shared" si="170"/>
        <v>1.4967326733197659</v>
      </c>
      <c r="S227">
        <f t="shared" si="171"/>
        <v>0.93461866845785457</v>
      </c>
      <c r="T227">
        <f t="shared" si="172"/>
        <v>-0.36361098314436857</v>
      </c>
      <c r="U227">
        <f t="shared" si="173"/>
        <v>0.9232685467972388</v>
      </c>
      <c r="V227">
        <f t="shared" si="174"/>
        <v>-0.39429259977976533</v>
      </c>
      <c r="X227">
        <f t="shared" si="192"/>
        <v>-9.0473834338025867</v>
      </c>
      <c r="Y227">
        <f t="shared" si="175"/>
        <v>-134.85084680809052</v>
      </c>
      <c r="Z227">
        <f t="shared" si="193"/>
        <v>45.149153191909477</v>
      </c>
      <c r="AC227">
        <v>1</v>
      </c>
      <c r="AD227">
        <f t="shared" si="176"/>
        <v>90.567120967186497</v>
      </c>
      <c r="AE227">
        <f t="shared" si="177"/>
        <v>-9.8843985542699225E-3</v>
      </c>
      <c r="AF227">
        <f t="shared" si="178"/>
        <v>2.3755906805210999E-2</v>
      </c>
      <c r="AG227">
        <f t="shared" si="194"/>
        <v>3234.8578855532865</v>
      </c>
      <c r="AH227">
        <f t="shared" si="195"/>
        <v>-1388.0600255595541</v>
      </c>
      <c r="AJ227">
        <f t="shared" si="179"/>
        <v>18000</v>
      </c>
      <c r="AK227">
        <f t="shared" si="180"/>
        <v>6849.5591627643607</v>
      </c>
      <c r="AL227">
        <v>1</v>
      </c>
      <c r="AM227">
        <f t="shared" si="181"/>
        <v>13.47720250391802</v>
      </c>
      <c r="AN227">
        <f t="shared" si="196"/>
        <v>604.0074659892249</v>
      </c>
      <c r="AO227">
        <f t="shared" si="197"/>
        <v>-1290.7717702507998</v>
      </c>
      <c r="AQ227">
        <f t="shared" si="182"/>
        <v>0.26845637583892618</v>
      </c>
      <c r="AR227">
        <f t="shared" si="183"/>
        <v>-51.812080536912752</v>
      </c>
      <c r="AT227">
        <f t="shared" si="209"/>
        <v>-71049.859610051193</v>
      </c>
      <c r="AU227">
        <f t="shared" si="210"/>
        <v>-167977.35085566278</v>
      </c>
      <c r="AV227">
        <f t="shared" si="198"/>
        <v>-1.9709487117143012</v>
      </c>
      <c r="AW227">
        <f t="shared" si="199"/>
        <v>-62828.118313937477</v>
      </c>
      <c r="AX227">
        <f t="shared" si="200"/>
        <v>-35817.426040429578</v>
      </c>
      <c r="AY227">
        <f t="shared" si="208"/>
        <v>-2.6234592724330579</v>
      </c>
      <c r="BA227">
        <f t="shared" si="184"/>
        <v>2.5219046654564239</v>
      </c>
      <c r="BB227">
        <f t="shared" si="201"/>
        <v>8.0345733017692069</v>
      </c>
      <c r="BC227">
        <f t="shared" si="202"/>
        <v>0.65251056071875668</v>
      </c>
      <c r="BD227">
        <f t="shared" si="185"/>
        <v>-142.61389874038053</v>
      </c>
      <c r="BF227">
        <f t="shared" si="186"/>
        <v>-8.8669580880941599</v>
      </c>
      <c r="BG227">
        <f t="shared" si="187"/>
        <v>-139.16392673543911</v>
      </c>
      <c r="BH227">
        <f t="shared" si="203"/>
        <v>40.836073264560895</v>
      </c>
      <c r="BI227">
        <f t="shared" si="204"/>
        <v>40.836073264560895</v>
      </c>
      <c r="BJ227">
        <f t="shared" si="188"/>
        <v>0</v>
      </c>
      <c r="BK227">
        <f t="shared" si="205"/>
        <v>0</v>
      </c>
      <c r="BM227">
        <f t="shared" si="206"/>
        <v>-16.901531389863365</v>
      </c>
      <c r="BN227">
        <f t="shared" si="189"/>
        <v>-176.5500279950586</v>
      </c>
      <c r="BQ227" s="56">
        <f t="shared" si="207"/>
        <v>24.936534102054342</v>
      </c>
      <c r="BR227" s="59"/>
      <c r="BS227" s="59"/>
      <c r="BT227" s="59">
        <v>14791.084000000001</v>
      </c>
      <c r="BU227" s="59">
        <v>-3.9583900000000001</v>
      </c>
      <c r="BV227" s="59">
        <v>-191.02600000000001</v>
      </c>
      <c r="BW227" s="61"/>
      <c r="BY227" s="59"/>
      <c r="BZ227" s="59"/>
      <c r="CA227" s="59"/>
      <c r="CC227" s="59"/>
    </row>
    <row r="228" spans="1:81" x14ac:dyDescent="0.2">
      <c r="A228">
        <f t="shared" si="190"/>
        <v>97000</v>
      </c>
      <c r="B228">
        <f t="shared" si="191"/>
        <v>97</v>
      </c>
      <c r="C228">
        <f t="shared" si="159"/>
        <v>1.0002738269572771</v>
      </c>
      <c r="D228">
        <f t="shared" si="160"/>
        <v>2.3399337064907131E-2</v>
      </c>
      <c r="F228">
        <f t="shared" si="161"/>
        <v>9.4229261816890959E-3</v>
      </c>
      <c r="G228">
        <f t="shared" si="162"/>
        <v>3.6740760809536914E-2</v>
      </c>
      <c r="H228">
        <f t="shared" si="163"/>
        <v>-3.1048518891904635</v>
      </c>
      <c r="J228">
        <f t="shared" si="164"/>
        <v>15</v>
      </c>
      <c r="M228">
        <f t="shared" si="165"/>
        <v>2.3265450216517123E-3</v>
      </c>
      <c r="N228">
        <f t="shared" si="166"/>
        <v>-1.5707963250000001</v>
      </c>
      <c r="O228">
        <f t="shared" si="167"/>
        <v>91.041872805386703</v>
      </c>
      <c r="P228">
        <f t="shared" si="168"/>
        <v>1.5598121490955428</v>
      </c>
      <c r="Q228">
        <f t="shared" si="169"/>
        <v>13.583890879183267</v>
      </c>
      <c r="R228">
        <f t="shared" si="170"/>
        <v>1.4971130608590018</v>
      </c>
      <c r="S228">
        <f t="shared" si="171"/>
        <v>0.93400515774691151</v>
      </c>
      <c r="T228">
        <f t="shared" si="172"/>
        <v>-0.36533212532276615</v>
      </c>
      <c r="U228">
        <f t="shared" si="173"/>
        <v>0.92256156425898461</v>
      </c>
      <c r="V228">
        <f t="shared" si="174"/>
        <v>-0.39612890542099122</v>
      </c>
      <c r="X228">
        <f t="shared" si="192"/>
        <v>-9.1056517396250989</v>
      </c>
      <c r="Y228">
        <f t="shared" si="175"/>
        <v>-135.03381656582954</v>
      </c>
      <c r="Z228">
        <f t="shared" si="193"/>
        <v>44.96618343417046</v>
      </c>
      <c r="AC228">
        <v>1</v>
      </c>
      <c r="AD228">
        <f t="shared" si="176"/>
        <v>91.036380661316997</v>
      </c>
      <c r="AE228">
        <f t="shared" si="177"/>
        <v>-9.9870929149373892E-3</v>
      </c>
      <c r="AF228">
        <f t="shared" si="178"/>
        <v>2.3878994405238E-2</v>
      </c>
      <c r="AG228">
        <f t="shared" si="194"/>
        <v>3229.905670016376</v>
      </c>
      <c r="AH228">
        <f t="shared" si="195"/>
        <v>-1392.745752544816</v>
      </c>
      <c r="AJ228">
        <f t="shared" si="179"/>
        <v>18000</v>
      </c>
      <c r="AK228">
        <f t="shared" si="180"/>
        <v>6885.0491066128798</v>
      </c>
      <c r="AL228">
        <v>1</v>
      </c>
      <c r="AM228">
        <f t="shared" si="181"/>
        <v>13.547032568705161</v>
      </c>
      <c r="AN228">
        <f t="shared" si="196"/>
        <v>603.02798233854651</v>
      </c>
      <c r="AO228">
        <f t="shared" si="197"/>
        <v>-1284.1906099679713</v>
      </c>
      <c r="AQ228">
        <f t="shared" si="182"/>
        <v>0.26569599064750116</v>
      </c>
      <c r="AR228">
        <f t="shared" si="183"/>
        <v>-51.545022185615217</v>
      </c>
      <c r="AT228">
        <f t="shared" si="209"/>
        <v>-70930.937727150915</v>
      </c>
      <c r="AU228">
        <f t="shared" si="210"/>
        <v>-166855.60638088098</v>
      </c>
      <c r="AV228">
        <f t="shared" si="198"/>
        <v>-1.9727548163927009</v>
      </c>
      <c r="AW228">
        <f t="shared" si="199"/>
        <v>-62152.947040185849</v>
      </c>
      <c r="AX228">
        <f t="shared" si="200"/>
        <v>-35590.607812857801</v>
      </c>
      <c r="AY228">
        <f t="shared" si="208"/>
        <v>-2.6215417307647626</v>
      </c>
      <c r="BA228">
        <f t="shared" si="184"/>
        <v>2.5314413029571163</v>
      </c>
      <c r="BB228">
        <f t="shared" si="201"/>
        <v>8.0673572353075365</v>
      </c>
      <c r="BC228">
        <f t="shared" si="202"/>
        <v>0.64878691437206171</v>
      </c>
      <c r="BD228">
        <f t="shared" si="185"/>
        <v>-142.82724796068928</v>
      </c>
      <c r="BF228">
        <f t="shared" si="186"/>
        <v>-8.9247237002343791</v>
      </c>
      <c r="BG228">
        <f t="shared" si="187"/>
        <v>-139.38147416904255</v>
      </c>
      <c r="BH228">
        <f t="shared" si="203"/>
        <v>40.618525830957452</v>
      </c>
      <c r="BI228">
        <f t="shared" si="204"/>
        <v>40.618525830957452</v>
      </c>
      <c r="BJ228">
        <f t="shared" si="188"/>
        <v>0</v>
      </c>
      <c r="BK228">
        <f t="shared" si="205"/>
        <v>0</v>
      </c>
      <c r="BM228">
        <f t="shared" si="206"/>
        <v>-16.992080935541914</v>
      </c>
      <c r="BN228">
        <f t="shared" si="189"/>
        <v>-176.5542262083533</v>
      </c>
      <c r="BQ228" s="56">
        <f t="shared" si="207"/>
        <v>24.969318035592675</v>
      </c>
      <c r="BR228" s="59"/>
      <c r="BS228" s="59"/>
      <c r="BT228" s="59">
        <v>15135.611999999999</v>
      </c>
      <c r="BU228" s="59">
        <v>-3.8792200000000001</v>
      </c>
      <c r="BV228" s="59">
        <v>-189.453</v>
      </c>
      <c r="BW228" s="61"/>
      <c r="BY228" s="59"/>
      <c r="BZ228" s="59"/>
      <c r="CA228" s="59"/>
      <c r="CC228" s="59"/>
    </row>
    <row r="229" spans="1:81" x14ac:dyDescent="0.2">
      <c r="A229">
        <f t="shared" si="190"/>
        <v>97500</v>
      </c>
      <c r="B229">
        <f t="shared" si="191"/>
        <v>97.5</v>
      </c>
      <c r="C229">
        <f t="shared" si="159"/>
        <v>1.0002766567998713</v>
      </c>
      <c r="D229">
        <f t="shared" si="160"/>
        <v>2.3519907841571312E-2</v>
      </c>
      <c r="F229">
        <f t="shared" si="161"/>
        <v>9.3256858801297072E-3</v>
      </c>
      <c r="G229">
        <f t="shared" si="162"/>
        <v>3.6548958268477767E-2</v>
      </c>
      <c r="H229">
        <f t="shared" si="163"/>
        <v>-3.1050436917315225</v>
      </c>
      <c r="J229">
        <f t="shared" si="164"/>
        <v>15</v>
      </c>
      <c r="M229">
        <f t="shared" si="165"/>
        <v>2.3146140215406777E-3</v>
      </c>
      <c r="N229">
        <f t="shared" si="166"/>
        <v>-1.5707963250000001</v>
      </c>
      <c r="O229">
        <f t="shared" si="167"/>
        <v>91.511104336361839</v>
      </c>
      <c r="P229">
        <f t="shared" si="168"/>
        <v>1.559868473716028</v>
      </c>
      <c r="Q229">
        <f t="shared" si="169"/>
        <v>13.653532435944879</v>
      </c>
      <c r="R229">
        <f t="shared" si="170"/>
        <v>1.4974895680234304</v>
      </c>
      <c r="S229">
        <f t="shared" si="171"/>
        <v>0.93338969239516822</v>
      </c>
      <c r="T229">
        <f t="shared" si="172"/>
        <v>-0.367051004284417</v>
      </c>
      <c r="U229">
        <f t="shared" si="173"/>
        <v>0.9218525622542636</v>
      </c>
      <c r="V229">
        <f t="shared" si="174"/>
        <v>-0.39796239478159212</v>
      </c>
      <c r="X229">
        <f t="shared" si="192"/>
        <v>-9.1637190803253592</v>
      </c>
      <c r="Y229">
        <f t="shared" si="175"/>
        <v>-135.21663412313191</v>
      </c>
      <c r="Z229">
        <f t="shared" si="193"/>
        <v>44.783365876868089</v>
      </c>
      <c r="AC229">
        <v>1</v>
      </c>
      <c r="AD229">
        <f t="shared" si="176"/>
        <v>91.505640355447497</v>
      </c>
      <c r="AE229">
        <f t="shared" si="177"/>
        <v>-1.0090317995815026E-2</v>
      </c>
      <c r="AF229">
        <f t="shared" si="178"/>
        <v>2.4002082005265001E-2</v>
      </c>
      <c r="AG229">
        <f t="shared" si="194"/>
        <v>3224.9431185056387</v>
      </c>
      <c r="AH229">
        <f t="shared" si="195"/>
        <v>-1397.4080072212032</v>
      </c>
      <c r="AJ229">
        <f t="shared" si="179"/>
        <v>18000</v>
      </c>
      <c r="AK229">
        <f t="shared" si="180"/>
        <v>6920.5390504613997</v>
      </c>
      <c r="AL229">
        <v>1</v>
      </c>
      <c r="AM229">
        <f t="shared" si="181"/>
        <v>13.6168626334923</v>
      </c>
      <c r="AN229">
        <f t="shared" si="196"/>
        <v>602.06342121539774</v>
      </c>
      <c r="AO229">
        <f t="shared" si="197"/>
        <v>-1277.675852879084</v>
      </c>
      <c r="AQ229">
        <f t="shared" si="182"/>
        <v>0.26297796244674698</v>
      </c>
      <c r="AR229">
        <f t="shared" si="183"/>
        <v>-51.280702677115656</v>
      </c>
      <c r="AT229">
        <f t="shared" si="209"/>
        <v>-70811.975566619934</v>
      </c>
      <c r="AU229">
        <f t="shared" si="210"/>
        <v>-165744.8367211436</v>
      </c>
      <c r="AV229">
        <f t="shared" si="198"/>
        <v>-1.9745584144811228</v>
      </c>
      <c r="AW229">
        <f t="shared" si="199"/>
        <v>-61488.140756564237</v>
      </c>
      <c r="AX229">
        <f t="shared" si="200"/>
        <v>-35366.956473592792</v>
      </c>
      <c r="AY229">
        <f t="shared" si="208"/>
        <v>-2.61962057167448</v>
      </c>
      <c r="BA229">
        <f t="shared" si="184"/>
        <v>2.5409282884468722</v>
      </c>
      <c r="BB229">
        <f t="shared" si="201"/>
        <v>8.0998481662471438</v>
      </c>
      <c r="BC229">
        <f t="shared" si="202"/>
        <v>0.64506215719335724</v>
      </c>
      <c r="BD229">
        <f t="shared" si="185"/>
        <v>-143.04066082698395</v>
      </c>
      <c r="BF229">
        <f t="shared" si="186"/>
        <v>-8.9823083166763844</v>
      </c>
      <c r="BG229">
        <f t="shared" si="187"/>
        <v>-139.59896831480901</v>
      </c>
      <c r="BH229">
        <f t="shared" si="203"/>
        <v>40.401031685190986</v>
      </c>
      <c r="BI229">
        <f t="shared" si="204"/>
        <v>40.401031685190986</v>
      </c>
      <c r="BJ229">
        <f t="shared" si="188"/>
        <v>0</v>
      </c>
      <c r="BK229">
        <f t="shared" si="205"/>
        <v>0</v>
      </c>
      <c r="BM229">
        <f t="shared" si="206"/>
        <v>-17.08215648292353</v>
      </c>
      <c r="BN229">
        <f t="shared" si="189"/>
        <v>-176.55830748782506</v>
      </c>
      <c r="BQ229" s="56">
        <f t="shared" si="207"/>
        <v>25.00180896653228</v>
      </c>
      <c r="BR229" s="59"/>
      <c r="BS229" s="59"/>
      <c r="BT229" s="59">
        <v>15488.165999999999</v>
      </c>
      <c r="BU229" s="59">
        <v>-3.9822899999999999</v>
      </c>
      <c r="BV229" s="59">
        <v>-188.48099999999999</v>
      </c>
      <c r="BW229" s="61"/>
      <c r="BY229" s="59"/>
      <c r="BZ229" s="59"/>
      <c r="CA229" s="59"/>
      <c r="CC229" s="59"/>
    </row>
    <row r="230" spans="1:81" x14ac:dyDescent="0.2">
      <c r="A230">
        <f t="shared" si="190"/>
        <v>98000</v>
      </c>
      <c r="B230">
        <f t="shared" si="191"/>
        <v>98</v>
      </c>
      <c r="C230">
        <f t="shared" si="159"/>
        <v>1.0002795011837171</v>
      </c>
      <c r="D230">
        <f t="shared" si="160"/>
        <v>2.3640477934280767E-2</v>
      </c>
      <c r="F230">
        <f t="shared" si="161"/>
        <v>9.2299473093282337E-3</v>
      </c>
      <c r="G230">
        <f t="shared" si="162"/>
        <v>3.6359164942674202E-2</v>
      </c>
      <c r="H230">
        <f t="shared" si="163"/>
        <v>-3.105233485057326</v>
      </c>
      <c r="J230">
        <f t="shared" si="164"/>
        <v>15</v>
      </c>
      <c r="M230">
        <f t="shared" si="165"/>
        <v>2.3028047663287356E-3</v>
      </c>
      <c r="N230">
        <f t="shared" si="166"/>
        <v>-1.5707963250000001</v>
      </c>
      <c r="O230">
        <f t="shared" si="167"/>
        <v>91.980336154690491</v>
      </c>
      <c r="P230">
        <f t="shared" si="168"/>
        <v>1.5599242236637707</v>
      </c>
      <c r="Q230">
        <f t="shared" si="169"/>
        <v>13.723175908554689</v>
      </c>
      <c r="R230">
        <f t="shared" si="170"/>
        <v>1.4978622537827959</v>
      </c>
      <c r="S230">
        <f t="shared" si="171"/>
        <v>0.93277228716379135</v>
      </c>
      <c r="T230">
        <f t="shared" si="172"/>
        <v>-0.36876761435346783</v>
      </c>
      <c r="U230">
        <f t="shared" si="173"/>
        <v>0.92114155971952238</v>
      </c>
      <c r="V230">
        <f t="shared" si="174"/>
        <v>-0.39979306203662662</v>
      </c>
      <c r="X230">
        <f t="shared" si="192"/>
        <v>-9.2215879228408486</v>
      </c>
      <c r="Y230">
        <f t="shared" si="175"/>
        <v>-135.39929678406369</v>
      </c>
      <c r="Z230">
        <f t="shared" si="193"/>
        <v>44.600703215936306</v>
      </c>
      <c r="AC230">
        <v>1</v>
      </c>
      <c r="AD230">
        <f t="shared" si="176"/>
        <v>91.974900049577997</v>
      </c>
      <c r="AE230">
        <f t="shared" si="177"/>
        <v>-1.0194073796902826E-2</v>
      </c>
      <c r="AF230">
        <f t="shared" si="178"/>
        <v>2.4125169605291999E-2</v>
      </c>
      <c r="AG230">
        <f t="shared" si="194"/>
        <v>3219.9703960119764</v>
      </c>
      <c r="AH230">
        <f t="shared" si="195"/>
        <v>-1402.0467583933121</v>
      </c>
      <c r="AJ230">
        <f t="shared" si="179"/>
        <v>18000</v>
      </c>
      <c r="AK230">
        <f t="shared" si="180"/>
        <v>6956.0289943099197</v>
      </c>
      <c r="AL230">
        <v>1</v>
      </c>
      <c r="AM230">
        <f t="shared" si="181"/>
        <v>13.686692698279442</v>
      </c>
      <c r="AN230">
        <f t="shared" si="196"/>
        <v>601.11348156076929</v>
      </c>
      <c r="AO230">
        <f t="shared" si="197"/>
        <v>-1271.2265046051959</v>
      </c>
      <c r="AQ230">
        <f t="shared" si="182"/>
        <v>0.26030142905484549</v>
      </c>
      <c r="AR230">
        <f t="shared" si="183"/>
        <v>-51.019080094749718</v>
      </c>
      <c r="AT230">
        <f t="shared" si="209"/>
        <v>-70692.972967456386</v>
      </c>
      <c r="AU230">
        <f t="shared" si="210"/>
        <v>-164644.88231166947</v>
      </c>
      <c r="AV230">
        <f t="shared" si="198"/>
        <v>-1.976359495415734</v>
      </c>
      <c r="AW230">
        <f t="shared" si="199"/>
        <v>-60833.490541881903</v>
      </c>
      <c r="AX230">
        <f t="shared" si="200"/>
        <v>-35146.406780771562</v>
      </c>
      <c r="AY230">
        <f t="shared" si="208"/>
        <v>-2.617695886532303</v>
      </c>
      <c r="BA230">
        <f t="shared" si="184"/>
        <v>2.5503654814547705</v>
      </c>
      <c r="BB230">
        <f t="shared" si="201"/>
        <v>8.132048433818742</v>
      </c>
      <c r="BC230">
        <f t="shared" si="202"/>
        <v>0.64133639111656904</v>
      </c>
      <c r="BD230">
        <f t="shared" si="185"/>
        <v>-143.25413149888084</v>
      </c>
      <c r="BF230">
        <f t="shared" si="186"/>
        <v>-9.0397145720130876</v>
      </c>
      <c r="BG230">
        <f t="shared" si="187"/>
        <v>-139.81640518581096</v>
      </c>
      <c r="BH230">
        <f t="shared" si="203"/>
        <v>40.183594814189036</v>
      </c>
      <c r="BI230">
        <f t="shared" si="204"/>
        <v>40.183594814189036</v>
      </c>
      <c r="BJ230">
        <f t="shared" si="188"/>
        <v>0</v>
      </c>
      <c r="BK230">
        <f t="shared" si="205"/>
        <v>0</v>
      </c>
      <c r="BM230">
        <f t="shared" si="206"/>
        <v>-17.171763005831828</v>
      </c>
      <c r="BN230">
        <f t="shared" si="189"/>
        <v>-176.56227368693013</v>
      </c>
      <c r="BQ230" s="56">
        <f t="shared" si="207"/>
        <v>25.034009234103877</v>
      </c>
      <c r="BR230" s="59"/>
      <c r="BS230" s="59"/>
      <c r="BT230" s="59">
        <v>15848.932000000001</v>
      </c>
      <c r="BU230" s="59">
        <v>-3.9450400000000001</v>
      </c>
      <c r="BV230" s="59">
        <v>-186.14400000000001</v>
      </c>
      <c r="BW230" s="61"/>
      <c r="BY230" s="59"/>
      <c r="BZ230" s="59"/>
      <c r="CA230" s="59"/>
      <c r="CC230" s="59"/>
    </row>
    <row r="231" spans="1:81" x14ac:dyDescent="0.2">
      <c r="A231">
        <f t="shared" si="190"/>
        <v>98500</v>
      </c>
      <c r="B231">
        <f t="shared" si="191"/>
        <v>98.5</v>
      </c>
      <c r="C231">
        <f t="shared" si="159"/>
        <v>1.0002823601086905</v>
      </c>
      <c r="D231">
        <f t="shared" si="160"/>
        <v>2.3761047339535851E-2</v>
      </c>
      <c r="F231">
        <f t="shared" si="161"/>
        <v>9.1356796196307849E-3</v>
      </c>
      <c r="G231">
        <f t="shared" si="162"/>
        <v>3.6171349171565663E-2</v>
      </c>
      <c r="H231">
        <f t="shared" si="163"/>
        <v>-3.1054213008284344</v>
      </c>
      <c r="J231">
        <f t="shared" si="164"/>
        <v>15</v>
      </c>
      <c r="M231">
        <f t="shared" si="165"/>
        <v>2.2911154020326505E-3</v>
      </c>
      <c r="N231">
        <f t="shared" si="166"/>
        <v>-1.5707963250000001</v>
      </c>
      <c r="O231">
        <f t="shared" si="167"/>
        <v>92.449568255997249</v>
      </c>
      <c r="P231">
        <f t="shared" si="168"/>
        <v>1.5599794076887565</v>
      </c>
      <c r="Q231">
        <f t="shared" si="169"/>
        <v>13.792821267991876</v>
      </c>
      <c r="R231">
        <f t="shared" si="170"/>
        <v>1.498231175920093</v>
      </c>
      <c r="S231">
        <f t="shared" si="171"/>
        <v>0.9321529568048571</v>
      </c>
      <c r="T231">
        <f t="shared" si="172"/>
        <v>-0.37048194992252642</v>
      </c>
      <c r="U231">
        <f t="shared" si="173"/>
        <v>0.9204285755603121</v>
      </c>
      <c r="V231">
        <f t="shared" si="174"/>
        <v>-0.40162090145473323</v>
      </c>
      <c r="X231">
        <f t="shared" si="192"/>
        <v>-9.2792606896477601</v>
      </c>
      <c r="Y231">
        <f t="shared" si="175"/>
        <v>-135.58180190112029</v>
      </c>
      <c r="Z231">
        <f t="shared" si="193"/>
        <v>44.418198098879714</v>
      </c>
      <c r="AC231">
        <v>1</v>
      </c>
      <c r="AD231">
        <f t="shared" si="176"/>
        <v>92.444159743708497</v>
      </c>
      <c r="AE231">
        <f t="shared" si="177"/>
        <v>-1.0298360318200797E-2</v>
      </c>
      <c r="AF231">
        <f t="shared" si="178"/>
        <v>2.4248257205319E-2</v>
      </c>
      <c r="AG231">
        <f t="shared" si="194"/>
        <v>3214.9876669934119</v>
      </c>
      <c r="AH231">
        <f t="shared" si="195"/>
        <v>-1406.6619767538541</v>
      </c>
      <c r="AJ231">
        <f t="shared" si="179"/>
        <v>18000</v>
      </c>
      <c r="AK231">
        <f t="shared" si="180"/>
        <v>6991.5189381584405</v>
      </c>
      <c r="AL231">
        <v>1</v>
      </c>
      <c r="AM231">
        <f t="shared" si="181"/>
        <v>13.756522763066583</v>
      </c>
      <c r="AN231">
        <f t="shared" si="196"/>
        <v>600.17786985637861</v>
      </c>
      <c r="AO231">
        <f t="shared" si="197"/>
        <v>-1264.8415904096451</v>
      </c>
      <c r="AQ231">
        <f t="shared" si="182"/>
        <v>0.25766555011594949</v>
      </c>
      <c r="AR231">
        <f t="shared" si="183"/>
        <v>-50.760113372842049</v>
      </c>
      <c r="AT231">
        <f t="shared" si="209"/>
        <v>-70573.929851459892</v>
      </c>
      <c r="AU231">
        <f t="shared" si="210"/>
        <v>-163555.58680094202</v>
      </c>
      <c r="AV231">
        <f t="shared" si="198"/>
        <v>-1.9781580488224713</v>
      </c>
      <c r="AW231">
        <f t="shared" si="199"/>
        <v>-60188.792699865851</v>
      </c>
      <c r="AX231">
        <f t="shared" si="200"/>
        <v>-34928.895226753411</v>
      </c>
      <c r="AY231">
        <f t="shared" si="208"/>
        <v>-2.615767765561225</v>
      </c>
      <c r="BA231">
        <f t="shared" si="184"/>
        <v>2.5597527443874735</v>
      </c>
      <c r="BB231">
        <f t="shared" si="201"/>
        <v>8.163960345813825</v>
      </c>
      <c r="BC231">
        <f t="shared" si="202"/>
        <v>0.63760971673875377</v>
      </c>
      <c r="BD231">
        <f t="shared" si="185"/>
        <v>-143.4676542125932</v>
      </c>
      <c r="BF231">
        <f t="shared" si="186"/>
        <v>-9.0969450537638501</v>
      </c>
      <c r="BG231">
        <f t="shared" si="187"/>
        <v>-140.0337808324787</v>
      </c>
      <c r="BH231">
        <f t="shared" si="203"/>
        <v>39.966219167521302</v>
      </c>
      <c r="BI231">
        <f t="shared" si="204"/>
        <v>39.966219167521302</v>
      </c>
      <c r="BJ231">
        <f t="shared" si="188"/>
        <v>0</v>
      </c>
      <c r="BK231">
        <f t="shared" si="205"/>
        <v>0</v>
      </c>
      <c r="BM231">
        <f t="shared" si="206"/>
        <v>-17.260905399577673</v>
      </c>
      <c r="BN231">
        <f t="shared" si="189"/>
        <v>-176.56612661988552</v>
      </c>
      <c r="BQ231" s="56">
        <f t="shared" si="207"/>
        <v>25.065921146098962</v>
      </c>
      <c r="BR231" s="59"/>
      <c r="BS231" s="59"/>
      <c r="BT231" s="59">
        <v>16218.101000000001</v>
      </c>
      <c r="BU231" s="59">
        <v>-3.9639700000000002</v>
      </c>
      <c r="BV231" s="59">
        <v>-185.626</v>
      </c>
      <c r="BW231" s="61"/>
      <c r="BY231" s="59"/>
      <c r="BZ231" s="59"/>
      <c r="CA231" s="59"/>
      <c r="CC231" s="59"/>
    </row>
    <row r="232" spans="1:81" x14ac:dyDescent="0.2">
      <c r="A232">
        <f t="shared" si="190"/>
        <v>99000</v>
      </c>
      <c r="B232">
        <f t="shared" si="191"/>
        <v>99</v>
      </c>
      <c r="C232">
        <f t="shared" si="159"/>
        <v>1.0002852335746668</v>
      </c>
      <c r="D232">
        <f t="shared" si="160"/>
        <v>2.3881616053837051E-2</v>
      </c>
      <c r="F232">
        <f t="shared" si="161"/>
        <v>9.0428527516403113E-3</v>
      </c>
      <c r="G232">
        <f t="shared" si="162"/>
        <v>3.5985479961289944E-2</v>
      </c>
      <c r="H232">
        <f t="shared" si="163"/>
        <v>-3.1056071700387102</v>
      </c>
      <c r="J232">
        <f t="shared" si="164"/>
        <v>15</v>
      </c>
      <c r="M232">
        <f t="shared" si="165"/>
        <v>2.2795441121233949E-3</v>
      </c>
      <c r="N232">
        <f t="shared" si="166"/>
        <v>-1.5707963250000001</v>
      </c>
      <c r="O232">
        <f t="shared" si="167"/>
        <v>92.918800635995069</v>
      </c>
      <c r="P232">
        <f t="shared" si="168"/>
        <v>1.5600340343642385</v>
      </c>
      <c r="Q232">
        <f t="shared" si="169"/>
        <v>13.86246848581805</v>
      </c>
      <c r="R232">
        <f t="shared" si="170"/>
        <v>1.4985963910612183</v>
      </c>
      <c r="S232">
        <f t="shared" si="171"/>
        <v>0.93153171606061025</v>
      </c>
      <c r="T232">
        <f t="shared" si="172"/>
        <v>-0.3721940054525264</v>
      </c>
      <c r="U232">
        <f t="shared" si="173"/>
        <v>0.91971362865031181</v>
      </c>
      <c r="V232">
        <f t="shared" si="174"/>
        <v>-0.40344590739782493</v>
      </c>
      <c r="X232">
        <f t="shared" si="192"/>
        <v>-9.3367397597555186</v>
      </c>
      <c r="Y232">
        <f t="shared" si="175"/>
        <v>-135.76414687427987</v>
      </c>
      <c r="Z232">
        <f t="shared" si="193"/>
        <v>44.235853125720126</v>
      </c>
      <c r="AC232">
        <v>1</v>
      </c>
      <c r="AD232">
        <f t="shared" si="176"/>
        <v>92.913419437838996</v>
      </c>
      <c r="AE232">
        <f t="shared" si="177"/>
        <v>-1.0403177559708935E-2</v>
      </c>
      <c r="AF232">
        <f t="shared" si="178"/>
        <v>2.4371344805346001E-2</v>
      </c>
      <c r="AG232">
        <f t="shared" si="194"/>
        <v>3209.9950953662487</v>
      </c>
      <c r="AH232">
        <f t="shared" si="195"/>
        <v>-1411.2536348566755</v>
      </c>
      <c r="AJ232">
        <f t="shared" si="179"/>
        <v>18000</v>
      </c>
      <c r="AK232">
        <f t="shared" si="180"/>
        <v>7027.0088820069604</v>
      </c>
      <c r="AL232">
        <v>1</v>
      </c>
      <c r="AM232">
        <f t="shared" si="181"/>
        <v>13.826352827853722</v>
      </c>
      <c r="AN232">
        <f t="shared" si="196"/>
        <v>599.25629989954803</v>
      </c>
      <c r="AO232">
        <f t="shared" si="197"/>
        <v>-1258.5201547183133</v>
      </c>
      <c r="AQ232">
        <f t="shared" si="182"/>
        <v>0.25506950644050502</v>
      </c>
      <c r="AR232">
        <f t="shared" si="183"/>
        <v>-50.503762275219998</v>
      </c>
      <c r="AT232">
        <f t="shared" si="209"/>
        <v>-70454.846220190157</v>
      </c>
      <c r="AU232">
        <f t="shared" si="210"/>
        <v>-162476.79696910444</v>
      </c>
      <c r="AV232">
        <f t="shared" si="198"/>
        <v>-1.9799540645143068</v>
      </c>
      <c r="AW232">
        <f t="shared" si="199"/>
        <v>-59553.848603357677</v>
      </c>
      <c r="AX232">
        <f t="shared" si="200"/>
        <v>-34714.359982220398</v>
      </c>
      <c r="AY232">
        <f t="shared" si="208"/>
        <v>-2.6138362978646286</v>
      </c>
      <c r="BA232">
        <f t="shared" si="184"/>
        <v>2.569089942542135</v>
      </c>
      <c r="BB232">
        <f t="shared" si="201"/>
        <v>8.1955861792620492</v>
      </c>
      <c r="BC232">
        <f t="shared" si="202"/>
        <v>0.63388223335032179</v>
      </c>
      <c r="BD232">
        <f t="shared" si="185"/>
        <v>-143.68122327919951</v>
      </c>
      <c r="BF232">
        <f t="shared" si="186"/>
        <v>-9.1540023033529199</v>
      </c>
      <c r="BG232">
        <f t="shared" si="187"/>
        <v>-140.25109134190876</v>
      </c>
      <c r="BH232">
        <f t="shared" si="203"/>
        <v>39.748908658091239</v>
      </c>
      <c r="BI232">
        <f t="shared" si="204"/>
        <v>39.748908658091239</v>
      </c>
      <c r="BJ232">
        <f t="shared" si="188"/>
        <v>0</v>
      </c>
      <c r="BK232">
        <f t="shared" si="205"/>
        <v>0</v>
      </c>
      <c r="BM232">
        <f t="shared" si="206"/>
        <v>-17.349588482614969</v>
      </c>
      <c r="BN232">
        <f t="shared" si="189"/>
        <v>-176.56986806270928</v>
      </c>
      <c r="BQ232" s="56">
        <f t="shared" si="207"/>
        <v>25.097546979547186</v>
      </c>
      <c r="BR232" s="59"/>
      <c r="BS232" s="59"/>
      <c r="BT232" s="59">
        <v>16595.868999999999</v>
      </c>
      <c r="BU232" s="59">
        <v>-3.91065</v>
      </c>
      <c r="BV232" s="59">
        <v>-184.43100000000001</v>
      </c>
      <c r="BW232" s="61"/>
      <c r="BY232" s="59"/>
      <c r="BZ232" s="59"/>
      <c r="CA232" s="59"/>
      <c r="CC232" s="59"/>
    </row>
    <row r="233" spans="1:81" x14ac:dyDescent="0.2">
      <c r="A233">
        <f t="shared" si="190"/>
        <v>99500</v>
      </c>
      <c r="B233">
        <f t="shared" si="191"/>
        <v>99.5</v>
      </c>
      <c r="C233">
        <f t="shared" si="159"/>
        <v>1.0002881215815207</v>
      </c>
      <c r="D233">
        <f t="shared" si="160"/>
        <v>2.400218407368496E-2</v>
      </c>
      <c r="F233">
        <f t="shared" si="161"/>
        <v>8.9514374119845728E-3</v>
      </c>
      <c r="G233">
        <f t="shared" si="162"/>
        <v>3.5801526967105819E-2</v>
      </c>
      <c r="H233">
        <f t="shared" si="163"/>
        <v>-3.1057911230328945</v>
      </c>
      <c r="J233">
        <f t="shared" si="164"/>
        <v>15</v>
      </c>
      <c r="M233">
        <f t="shared" si="165"/>
        <v>2.2680891165850862E-3</v>
      </c>
      <c r="N233">
        <f t="shared" si="166"/>
        <v>-1.5707963250000001</v>
      </c>
      <c r="O233">
        <f t="shared" si="167"/>
        <v>93.388033290483051</v>
      </c>
      <c r="P233">
        <f t="shared" si="168"/>
        <v>1.5600881120911763</v>
      </c>
      <c r="Q233">
        <f t="shared" si="169"/>
        <v>13.932117534162728</v>
      </c>
      <c r="R233">
        <f t="shared" si="170"/>
        <v>1.4989579547037388</v>
      </c>
      <c r="S233">
        <f t="shared" si="171"/>
        <v>0.93090857966272678</v>
      </c>
      <c r="T233">
        <f t="shared" si="172"/>
        <v>-0.37390377547259007</v>
      </c>
      <c r="U233">
        <f t="shared" si="173"/>
        <v>0.91899673783036495</v>
      </c>
      <c r="V233">
        <f t="shared" si="174"/>
        <v>-0.40526807432077933</v>
      </c>
      <c r="X233">
        <f t="shared" si="192"/>
        <v>-9.3940274696737731</v>
      </c>
      <c r="Y233">
        <f t="shared" si="175"/>
        <v>-135.94632915008233</v>
      </c>
      <c r="Z233">
        <f t="shared" si="193"/>
        <v>44.053670849917665</v>
      </c>
      <c r="AC233">
        <v>1</v>
      </c>
      <c r="AD233">
        <f t="shared" si="176"/>
        <v>93.382679131969496</v>
      </c>
      <c r="AE233">
        <f t="shared" si="177"/>
        <v>-1.0508525521427241E-2</v>
      </c>
      <c r="AF233">
        <f t="shared" si="178"/>
        <v>2.4494432405372999E-2</v>
      </c>
      <c r="AG233">
        <f t="shared" si="194"/>
        <v>3204.9928444963875</v>
      </c>
      <c r="AH233">
        <f t="shared" si="195"/>
        <v>-1415.8217070902515</v>
      </c>
      <c r="AJ233">
        <f t="shared" si="179"/>
        <v>18000</v>
      </c>
      <c r="AK233">
        <f t="shared" si="180"/>
        <v>7062.4988258554804</v>
      </c>
      <c r="AL233">
        <v>1</v>
      </c>
      <c r="AM233">
        <f t="shared" si="181"/>
        <v>13.896182892640862</v>
      </c>
      <c r="AN233">
        <f t="shared" si="196"/>
        <v>598.34849258587428</v>
      </c>
      <c r="AO233">
        <f t="shared" si="197"/>
        <v>-1252.2612606537934</v>
      </c>
      <c r="AQ233">
        <f t="shared" si="182"/>
        <v>0.25251249936871878</v>
      </c>
      <c r="AR233">
        <f t="shared" si="183"/>
        <v>-50.249987374375031</v>
      </c>
      <c r="AT233">
        <f t="shared" si="209"/>
        <v>-70335.722152028611</v>
      </c>
      <c r="AU233">
        <f t="shared" si="210"/>
        <v>-161408.36264882362</v>
      </c>
      <c r="AV233">
        <f t="shared" si="198"/>
        <v>-1.9817475324885838</v>
      </c>
      <c r="AW233">
        <f t="shared" si="199"/>
        <v>-58928.464543894166</v>
      </c>
      <c r="AX233">
        <f t="shared" si="200"/>
        <v>-34502.740842380452</v>
      </c>
      <c r="AY233">
        <f t="shared" si="208"/>
        <v>-2.6119015714528069</v>
      </c>
      <c r="BA233">
        <f t="shared" si="184"/>
        <v>2.578376944118955</v>
      </c>
      <c r="BB233">
        <f t="shared" si="201"/>
        <v>8.2269281810917541</v>
      </c>
      <c r="BC233">
        <f t="shared" si="202"/>
        <v>0.63015403896422306</v>
      </c>
      <c r="BD233">
        <f t="shared" si="185"/>
        <v>-143.89483308297142</v>
      </c>
      <c r="BF233">
        <f t="shared" si="186"/>
        <v>-9.2108888170609777</v>
      </c>
      <c r="BG233">
        <f t="shared" si="187"/>
        <v>-140.46833283719883</v>
      </c>
      <c r="BH233">
        <f t="shared" si="203"/>
        <v>39.53166716280117</v>
      </c>
      <c r="BI233">
        <f t="shared" si="204"/>
        <v>39.53166716280117</v>
      </c>
      <c r="BJ233">
        <f t="shared" si="188"/>
        <v>0</v>
      </c>
      <c r="BK233">
        <f t="shared" si="205"/>
        <v>0</v>
      </c>
      <c r="BM233">
        <f t="shared" si="206"/>
        <v>-17.437816998152734</v>
      </c>
      <c r="BN233">
        <f t="shared" si="189"/>
        <v>-176.57349975422744</v>
      </c>
      <c r="BQ233" s="56">
        <f t="shared" si="207"/>
        <v>25.128888981376893</v>
      </c>
      <c r="BR233" s="59"/>
      <c r="BS233" s="59"/>
      <c r="BT233" s="59">
        <v>16982.437000000002</v>
      </c>
      <c r="BU233" s="59">
        <v>-3.9488799999999999</v>
      </c>
      <c r="BV233" s="59">
        <v>-182.72200000000001</v>
      </c>
      <c r="BW233" s="61"/>
      <c r="BY233" s="59"/>
      <c r="BZ233" s="59"/>
      <c r="CA233" s="59"/>
      <c r="CC233" s="59"/>
    </row>
    <row r="234" spans="1:81" x14ac:dyDescent="0.2">
      <c r="A234">
        <f t="shared" si="190"/>
        <v>100000</v>
      </c>
      <c r="B234">
        <f t="shared" si="191"/>
        <v>100</v>
      </c>
      <c r="C234">
        <f t="shared" si="159"/>
        <v>1.0002910241291263</v>
      </c>
      <c r="D234">
        <f t="shared" si="160"/>
        <v>2.4122751395580306E-2</v>
      </c>
      <c r="F234">
        <f t="shared" si="161"/>
        <v>8.861405049948758E-3</v>
      </c>
      <c r="G234">
        <f t="shared" si="162"/>
        <v>3.5619460476372322E-2</v>
      </c>
      <c r="H234">
        <f t="shared" si="163"/>
        <v>-3.105973189523628</v>
      </c>
      <c r="J234">
        <f t="shared" si="164"/>
        <v>15</v>
      </c>
      <c r="M234">
        <f t="shared" si="165"/>
        <v>2.2567486710021608E-3</v>
      </c>
      <c r="N234">
        <f t="shared" si="166"/>
        <v>-1.5707963250000001</v>
      </c>
      <c r="O234">
        <f t="shared" si="167"/>
        <v>93.857266215344325</v>
      </c>
      <c r="P234">
        <f t="shared" si="168"/>
        <v>1.5601416491025417</v>
      </c>
      <c r="Q234">
        <f t="shared" si="169"/>
        <v>14.001768385709243</v>
      </c>
      <c r="R234">
        <f t="shared" si="170"/>
        <v>1.4993159212448091</v>
      </c>
      <c r="S234">
        <f t="shared" si="171"/>
        <v>0.93028356233158416</v>
      </c>
      <c r="T234">
        <f t="shared" si="172"/>
        <v>-0.37561125457988626</v>
      </c>
      <c r="U234">
        <f t="shared" si="173"/>
        <v>0.91827792190752566</v>
      </c>
      <c r="V234">
        <f t="shared" si="174"/>
        <v>-0.40708739677112293</v>
      </c>
      <c r="X234">
        <f t="shared" si="192"/>
        <v>-9.4511261143529079</v>
      </c>
      <c r="Y234">
        <f t="shared" si="175"/>
        <v>-136.12834622073203</v>
      </c>
      <c r="Z234">
        <f t="shared" si="193"/>
        <v>43.871653779267973</v>
      </c>
      <c r="AC234">
        <v>1</v>
      </c>
      <c r="AD234">
        <f t="shared" si="176"/>
        <v>93.851938826099996</v>
      </c>
      <c r="AE234">
        <f t="shared" si="177"/>
        <v>-1.0614404203355713E-2</v>
      </c>
      <c r="AF234">
        <f t="shared" si="178"/>
        <v>2.46175200054E-2</v>
      </c>
      <c r="AG234">
        <f t="shared" si="194"/>
        <v>3199.9810771907773</v>
      </c>
      <c r="AH234">
        <f t="shared" si="195"/>
        <v>-1420.3661696516367</v>
      </c>
      <c r="AJ234">
        <f t="shared" si="179"/>
        <v>18000</v>
      </c>
      <c r="AK234">
        <f t="shared" si="180"/>
        <v>7097.9887697039994</v>
      </c>
      <c r="AL234">
        <v>1</v>
      </c>
      <c r="AM234">
        <f t="shared" si="181"/>
        <v>13.966012957428001</v>
      </c>
      <c r="AN234">
        <f t="shared" si="196"/>
        <v>597.45417569937956</v>
      </c>
      <c r="AO234">
        <f t="shared" si="197"/>
        <v>-1246.0639895830011</v>
      </c>
      <c r="AQ234">
        <f t="shared" si="182"/>
        <v>0.24999375015624609</v>
      </c>
      <c r="AR234">
        <f t="shared" si="183"/>
        <v>-49.998750031249216</v>
      </c>
      <c r="AT234">
        <f t="shared" si="209"/>
        <v>-70216.557799339163</v>
      </c>
      <c r="AU234">
        <f t="shared" si="210"/>
        <v>-160350.13664853555</v>
      </c>
      <c r="AV234">
        <f t="shared" si="198"/>
        <v>-1.9835384429244161</v>
      </c>
      <c r="AW234">
        <f t="shared" si="199"/>
        <v>-58312.451586461175</v>
      </c>
      <c r="AX234">
        <f t="shared" si="200"/>
        <v>-34293.979175182969</v>
      </c>
      <c r="AY234">
        <f t="shared" si="208"/>
        <v>-2.6099636732685649</v>
      </c>
      <c r="BA234">
        <f t="shared" si="184"/>
        <v>2.5876136202333502</v>
      </c>
      <c r="BB234">
        <f t="shared" si="201"/>
        <v>8.2579885687740102</v>
      </c>
      <c r="BC234">
        <f t="shared" si="202"/>
        <v>0.62642523034414888</v>
      </c>
      <c r="BD234">
        <f t="shared" si="185"/>
        <v>-144.10847807975779</v>
      </c>
      <c r="BF234">
        <f t="shared" si="186"/>
        <v>-9.2676070469508538</v>
      </c>
      <c r="BG234">
        <f t="shared" si="187"/>
        <v>-140.68550147680725</v>
      </c>
      <c r="BH234">
        <f t="shared" si="203"/>
        <v>39.314498523192754</v>
      </c>
      <c r="BI234">
        <f t="shared" si="204"/>
        <v>39.314498523192754</v>
      </c>
      <c r="BJ234">
        <f t="shared" si="188"/>
        <v>0</v>
      </c>
      <c r="BK234">
        <f t="shared" si="205"/>
        <v>0</v>
      </c>
      <c r="BM234">
        <f t="shared" si="206"/>
        <v>-17.525595615724864</v>
      </c>
      <c r="BN234">
        <f t="shared" si="189"/>
        <v>-176.57702339704946</v>
      </c>
      <c r="BQ234" s="56">
        <f t="shared" si="207"/>
        <v>25.159949369059149</v>
      </c>
      <c r="BR234" s="59"/>
      <c r="BS234" s="59"/>
      <c r="BT234" s="59">
        <v>17378.008000000002</v>
      </c>
      <c r="BU234" s="59">
        <v>-3.8028900000000001</v>
      </c>
      <c r="BV234" s="59">
        <v>-181.726</v>
      </c>
      <c r="BW234" s="61"/>
      <c r="BY234" s="59"/>
      <c r="BZ234" s="59"/>
      <c r="CA234" s="59"/>
      <c r="CC234" s="59"/>
    </row>
    <row r="235" spans="1:81" x14ac:dyDescent="0.2">
      <c r="A235">
        <f>A234+5000</f>
        <v>105000</v>
      </c>
      <c r="B235">
        <f t="shared" si="191"/>
        <v>105</v>
      </c>
      <c r="C235">
        <f t="shared" si="159"/>
        <v>1.0003208493183622</v>
      </c>
      <c r="D235">
        <f t="shared" si="160"/>
        <v>2.5328385457388865E-2</v>
      </c>
      <c r="F235">
        <f t="shared" si="161"/>
        <v>8.0313522051163825E-3</v>
      </c>
      <c r="G235">
        <f t="shared" si="162"/>
        <v>3.3896436915358867E-2</v>
      </c>
      <c r="H235">
        <f t="shared" si="163"/>
        <v>-3.1076962130846413</v>
      </c>
      <c r="J235">
        <f t="shared" si="164"/>
        <v>15</v>
      </c>
      <c r="M235">
        <f t="shared" si="165"/>
        <v>2.1492844485734865E-3</v>
      </c>
      <c r="N235">
        <f t="shared" si="166"/>
        <v>-1.5707963250000001</v>
      </c>
      <c r="O235">
        <f t="shared" si="167"/>
        <v>98.549609484834392</v>
      </c>
      <c r="P235">
        <f t="shared" si="168"/>
        <v>1.5606489790085558</v>
      </c>
      <c r="Q235">
        <f t="shared" si="169"/>
        <v>14.698370437384177</v>
      </c>
      <c r="R235">
        <f t="shared" si="170"/>
        <v>1.5027089785961441</v>
      </c>
      <c r="S235">
        <f t="shared" si="171"/>
        <v>0.92393316666573033</v>
      </c>
      <c r="T235">
        <f t="shared" si="172"/>
        <v>-0.39255890517957631</v>
      </c>
      <c r="U235">
        <f t="shared" si="173"/>
        <v>0.91098799356199633</v>
      </c>
      <c r="V235">
        <f t="shared" si="174"/>
        <v>-0.42512304132662587</v>
      </c>
      <c r="X235">
        <f t="shared" si="192"/>
        <v>-10.012190906980871</v>
      </c>
      <c r="Y235">
        <f t="shared" si="175"/>
        <v>-137.93890989501006</v>
      </c>
      <c r="Z235">
        <f t="shared" si="193"/>
        <v>42.061090104989944</v>
      </c>
      <c r="AC235">
        <v>1</v>
      </c>
      <c r="AD235">
        <f t="shared" si="176"/>
        <v>98.544535767404994</v>
      </c>
      <c r="AE235">
        <f t="shared" si="177"/>
        <v>-1.1702380634199677E-2</v>
      </c>
      <c r="AF235">
        <f t="shared" si="178"/>
        <v>2.5848396005669998E-2</v>
      </c>
      <c r="AG235">
        <f t="shared" si="194"/>
        <v>3149.3754016655494</v>
      </c>
      <c r="AH235">
        <f t="shared" si="195"/>
        <v>-1464.5082697577056</v>
      </c>
      <c r="AJ235">
        <f t="shared" si="179"/>
        <v>18000</v>
      </c>
      <c r="AK235">
        <f t="shared" si="180"/>
        <v>7452.8882081892007</v>
      </c>
      <c r="AL235">
        <v>1</v>
      </c>
      <c r="AM235">
        <f t="shared" si="181"/>
        <v>14.664313605299402</v>
      </c>
      <c r="AN235">
        <f t="shared" si="196"/>
        <v>589.19763218060223</v>
      </c>
      <c r="AO235">
        <f t="shared" si="197"/>
        <v>-1187.290645606997</v>
      </c>
      <c r="AQ235">
        <f t="shared" si="182"/>
        <v>0.22675222784063853</v>
      </c>
      <c r="AR235">
        <f t="shared" si="183"/>
        <v>-47.617967846534093</v>
      </c>
      <c r="AT235">
        <f t="shared" si="209"/>
        <v>-69022.779811671528</v>
      </c>
      <c r="AU235">
        <f t="shared" si="210"/>
        <v>-150298.93712603414</v>
      </c>
      <c r="AV235">
        <f t="shared" si="198"/>
        <v>-2.0013048471387016</v>
      </c>
      <c r="AW235">
        <f t="shared" si="199"/>
        <v>-52629.312842022424</v>
      </c>
      <c r="AX235">
        <f t="shared" si="200"/>
        <v>-32351.654428685619</v>
      </c>
      <c r="AY235">
        <f t="shared" si="208"/>
        <v>-2.5904286550734463</v>
      </c>
      <c r="BA235">
        <f t="shared" si="184"/>
        <v>2.6771862331704668</v>
      </c>
      <c r="BB235">
        <f t="shared" si="201"/>
        <v>8.5535716615054511</v>
      </c>
      <c r="BC235">
        <f t="shared" si="202"/>
        <v>0.58912380793474473</v>
      </c>
      <c r="BD235">
        <f t="shared" si="185"/>
        <v>-146.2456921560935</v>
      </c>
      <c r="BF235">
        <f t="shared" si="186"/>
        <v>-9.8260433070586206</v>
      </c>
      <c r="BG235">
        <f t="shared" si="187"/>
        <v>-142.85235978784561</v>
      </c>
      <c r="BH235">
        <f t="shared" si="203"/>
        <v>37.147640212154386</v>
      </c>
      <c r="BI235">
        <f t="shared" si="204"/>
        <v>37.147640212154386</v>
      </c>
      <c r="BJ235">
        <f t="shared" si="188"/>
        <v>0</v>
      </c>
      <c r="BK235">
        <f t="shared" si="205"/>
        <v>0</v>
      </c>
      <c r="BM235">
        <f t="shared" si="206"/>
        <v>-18.37961496856407</v>
      </c>
      <c r="BN235">
        <f t="shared" si="189"/>
        <v>-176.60666763175212</v>
      </c>
      <c r="BQ235" s="56">
        <f t="shared" si="207"/>
        <v>25.45553246179059</v>
      </c>
      <c r="BR235" s="59"/>
      <c r="BS235" s="59"/>
      <c r="BT235" s="59">
        <v>17782.794000000002</v>
      </c>
      <c r="BU235" s="59">
        <v>-3.8474200000000001</v>
      </c>
      <c r="BV235" s="59">
        <v>-180.351</v>
      </c>
      <c r="BW235" s="61"/>
      <c r="BY235" s="59"/>
      <c r="BZ235" s="59"/>
      <c r="CA235" s="59"/>
      <c r="CC235" s="59"/>
    </row>
    <row r="236" spans="1:81" x14ac:dyDescent="0.2">
      <c r="A236">
        <f t="shared" ref="A236:A299" si="211">A235+5000</f>
        <v>110000</v>
      </c>
      <c r="B236">
        <f t="shared" si="191"/>
        <v>110</v>
      </c>
      <c r="C236">
        <f t="shared" si="159"/>
        <v>1.0003521284395254</v>
      </c>
      <c r="D236">
        <f t="shared" si="160"/>
        <v>2.6533945875655773E-2</v>
      </c>
      <c r="F236">
        <f t="shared" si="161"/>
        <v>7.3129303080420082E-3</v>
      </c>
      <c r="G236">
        <f t="shared" si="162"/>
        <v>3.2333499005645722E-2</v>
      </c>
      <c r="H236">
        <f t="shared" si="163"/>
        <v>-3.1092591509943546</v>
      </c>
      <c r="J236">
        <f t="shared" si="164"/>
        <v>15</v>
      </c>
      <c r="M236">
        <f t="shared" si="165"/>
        <v>2.0515897009110553E-3</v>
      </c>
      <c r="N236">
        <f t="shared" si="166"/>
        <v>-1.5707963250000001</v>
      </c>
      <c r="O236">
        <f t="shared" si="167"/>
        <v>103.24197581369604</v>
      </c>
      <c r="P236">
        <f t="shared" si="168"/>
        <v>1.5611101925538995</v>
      </c>
      <c r="Q236">
        <f t="shared" si="169"/>
        <v>15.395126394145866</v>
      </c>
      <c r="R236">
        <f t="shared" si="170"/>
        <v>1.505794941399047</v>
      </c>
      <c r="S236">
        <f t="shared" si="171"/>
        <v>0.91741075915718329</v>
      </c>
      <c r="T236">
        <f t="shared" si="172"/>
        <v>-0.40927202059320328</v>
      </c>
      <c r="U236">
        <f t="shared" si="173"/>
        <v>0.90352595702510285</v>
      </c>
      <c r="V236">
        <f t="shared" si="174"/>
        <v>-0.44286891592318955</v>
      </c>
      <c r="X236">
        <f t="shared" si="192"/>
        <v>-10.55659733093086</v>
      </c>
      <c r="Y236">
        <f t="shared" si="175"/>
        <v>-139.73050257893431</v>
      </c>
      <c r="Z236">
        <f t="shared" si="193"/>
        <v>40.269497421065694</v>
      </c>
      <c r="AC236">
        <v>1</v>
      </c>
      <c r="AD236">
        <f t="shared" si="176"/>
        <v>103.23713270870999</v>
      </c>
      <c r="AE236">
        <f t="shared" si="177"/>
        <v>-1.2843429086060414E-2</v>
      </c>
      <c r="AF236">
        <f t="shared" si="178"/>
        <v>2.707927200594E-2</v>
      </c>
      <c r="AG236">
        <f t="shared" si="194"/>
        <v>3097.9927151431111</v>
      </c>
      <c r="AH236">
        <f t="shared" si="195"/>
        <v>-1506.2757129189083</v>
      </c>
      <c r="AJ236">
        <f t="shared" si="179"/>
        <v>18000</v>
      </c>
      <c r="AK236">
        <f t="shared" si="180"/>
        <v>7807.7876466744001</v>
      </c>
      <c r="AL236">
        <v>1</v>
      </c>
      <c r="AM236">
        <f t="shared" si="181"/>
        <v>15.362614253170801</v>
      </c>
      <c r="AN236">
        <f t="shared" si="196"/>
        <v>582.03484357136369</v>
      </c>
      <c r="AO236">
        <f t="shared" si="197"/>
        <v>-1133.7891370170685</v>
      </c>
      <c r="AQ236">
        <f t="shared" si="182"/>
        <v>0.20660730150203507</v>
      </c>
      <c r="AR236">
        <f t="shared" si="183"/>
        <v>-45.45360633044772</v>
      </c>
      <c r="AT236">
        <f t="shared" si="209"/>
        <v>-67825.595365181856</v>
      </c>
      <c r="AU236">
        <f t="shared" si="210"/>
        <v>-141126.14884907409</v>
      </c>
      <c r="AV236">
        <f t="shared" si="198"/>
        <v>-2.0188059537180241</v>
      </c>
      <c r="AW236">
        <f t="shared" si="199"/>
        <v>-47706.055106771775</v>
      </c>
      <c r="AX236">
        <f t="shared" si="200"/>
        <v>-30640.55316808894</v>
      </c>
      <c r="AY236">
        <f t="shared" si="208"/>
        <v>-2.5706650202972616</v>
      </c>
      <c r="BA236">
        <f t="shared" si="184"/>
        <v>2.7616065747610059</v>
      </c>
      <c r="BB236">
        <f t="shared" si="201"/>
        <v>8.8232361598667488</v>
      </c>
      <c r="BC236">
        <f t="shared" si="202"/>
        <v>0.55185906657923756</v>
      </c>
      <c r="BD236">
        <f t="shared" si="185"/>
        <v>-148.38080456285039</v>
      </c>
      <c r="BF236">
        <f t="shared" si="186"/>
        <v>-10.37005195596085</v>
      </c>
      <c r="BG236">
        <f t="shared" si="187"/>
        <v>-145.00794841657876</v>
      </c>
      <c r="BH236">
        <f t="shared" si="203"/>
        <v>34.992051583421244</v>
      </c>
      <c r="BI236">
        <f t="shared" si="204"/>
        <v>34.992051583421244</v>
      </c>
      <c r="BJ236">
        <f t="shared" si="188"/>
        <v>0</v>
      </c>
      <c r="BK236">
        <f t="shared" si="205"/>
        <v>0</v>
      </c>
      <c r="BM236">
        <f t="shared" si="206"/>
        <v>-19.193288115827599</v>
      </c>
      <c r="BN236">
        <f t="shared" si="189"/>
        <v>-176.62714385372837</v>
      </c>
      <c r="BQ236" s="56">
        <f t="shared" si="207"/>
        <v>25.725196960151887</v>
      </c>
      <c r="BR236" s="59"/>
      <c r="BS236" s="59"/>
      <c r="BT236" s="59">
        <v>18197.008999999998</v>
      </c>
      <c r="BU236" s="59">
        <v>-3.8303199999999999</v>
      </c>
      <c r="BV236" s="59">
        <v>-179.43</v>
      </c>
      <c r="BY236" s="59"/>
      <c r="BZ236" s="59"/>
      <c r="CA236" s="59"/>
      <c r="CC236" s="59"/>
    </row>
    <row r="237" spans="1:81" x14ac:dyDescent="0.2">
      <c r="A237">
        <f t="shared" si="211"/>
        <v>115000</v>
      </c>
      <c r="B237">
        <f t="shared" si="191"/>
        <v>115</v>
      </c>
      <c r="C237">
        <f t="shared" si="159"/>
        <v>1.0003848613562356</v>
      </c>
      <c r="D237">
        <f t="shared" si="160"/>
        <v>2.7739429153194637E-2</v>
      </c>
      <c r="F237">
        <f t="shared" si="161"/>
        <v>6.6869465113621896E-3</v>
      </c>
      <c r="G237">
        <f t="shared" si="162"/>
        <v>3.0909199260352915E-2</v>
      </c>
      <c r="H237">
        <f t="shared" si="163"/>
        <v>-3.1106834507396472</v>
      </c>
      <c r="J237">
        <f t="shared" si="164"/>
        <v>15</v>
      </c>
      <c r="M237">
        <f t="shared" si="165"/>
        <v>1.9623901486975313E-3</v>
      </c>
      <c r="N237">
        <f t="shared" si="166"/>
        <v>-1.5707963250000001</v>
      </c>
      <c r="O237">
        <f t="shared" si="167"/>
        <v>107.9343621944621</v>
      </c>
      <c r="P237">
        <f t="shared" si="168"/>
        <v>1.5615313041775805</v>
      </c>
      <c r="Q237">
        <f t="shared" si="169"/>
        <v>16.092016264549308</v>
      </c>
      <c r="R237">
        <f t="shared" si="170"/>
        <v>1.5086136442736551</v>
      </c>
      <c r="S237">
        <f t="shared" si="171"/>
        <v>0.91073076643868656</v>
      </c>
      <c r="T237">
        <f t="shared" si="172"/>
        <v>-0.42574629476213999</v>
      </c>
      <c r="U237">
        <f t="shared" si="173"/>
        <v>0.89590992513561762</v>
      </c>
      <c r="V237">
        <f t="shared" si="174"/>
        <v>-0.46032104251109307</v>
      </c>
      <c r="X237">
        <f t="shared" si="192"/>
        <v>-11.086077542906805</v>
      </c>
      <c r="Y237">
        <f t="shared" si="175"/>
        <v>-141.50125172132707</v>
      </c>
      <c r="Z237">
        <f t="shared" si="193"/>
        <v>38.498748278672934</v>
      </c>
      <c r="AC237">
        <v>1</v>
      </c>
      <c r="AD237">
        <f t="shared" si="176"/>
        <v>107.92972965001501</v>
      </c>
      <c r="AE237">
        <f t="shared" si="177"/>
        <v>-1.4037549558937934E-2</v>
      </c>
      <c r="AF237">
        <f t="shared" si="178"/>
        <v>2.8310148006209998E-2</v>
      </c>
      <c r="AG237">
        <f t="shared" si="194"/>
        <v>3045.9854214511715</v>
      </c>
      <c r="AH237">
        <f t="shared" si="195"/>
        <v>-1545.6708774473611</v>
      </c>
      <c r="AJ237">
        <f t="shared" si="179"/>
        <v>18000</v>
      </c>
      <c r="AK237">
        <f t="shared" si="180"/>
        <v>8162.6870851595995</v>
      </c>
      <c r="AL237">
        <v>1</v>
      </c>
      <c r="AM237">
        <f t="shared" si="181"/>
        <v>16.060914901042199</v>
      </c>
      <c r="AN237">
        <f t="shared" si="196"/>
        <v>575.78104852900481</v>
      </c>
      <c r="AO237">
        <f t="shared" si="197"/>
        <v>-1084.8833368975966</v>
      </c>
      <c r="AQ237">
        <f t="shared" si="182"/>
        <v>0.18903234343396155</v>
      </c>
      <c r="AR237">
        <f t="shared" si="183"/>
        <v>-43.477438989811155</v>
      </c>
      <c r="AT237">
        <f t="shared" si="209"/>
        <v>-66626.021510262915</v>
      </c>
      <c r="AU237">
        <f t="shared" si="210"/>
        <v>-132723.82711313901</v>
      </c>
      <c r="AV237">
        <f t="shared" si="198"/>
        <v>-2.0360345932325483</v>
      </c>
      <c r="AW237">
        <f t="shared" si="199"/>
        <v>-43414.363822352308</v>
      </c>
      <c r="AX237">
        <f t="shared" si="200"/>
        <v>-29121.644006853378</v>
      </c>
      <c r="AY237">
        <f t="shared" si="208"/>
        <v>-2.5507452666108272</v>
      </c>
      <c r="BA237">
        <f t="shared" si="184"/>
        <v>2.8407953150884246</v>
      </c>
      <c r="BB237">
        <f t="shared" si="201"/>
        <v>9.0687988615053463</v>
      </c>
      <c r="BC237">
        <f t="shared" si="202"/>
        <v>0.51471067337827892</v>
      </c>
      <c r="BD237">
        <f t="shared" si="185"/>
        <v>-150.50925071138991</v>
      </c>
      <c r="BF237">
        <f t="shared" si="186"/>
        <v>-10.901476751053323</v>
      </c>
      <c r="BG237">
        <f t="shared" si="187"/>
        <v>-147.14893182522286</v>
      </c>
      <c r="BH237">
        <f t="shared" si="203"/>
        <v>32.85106817477714</v>
      </c>
      <c r="BI237">
        <f t="shared" si="204"/>
        <v>32.85106817477714</v>
      </c>
      <c r="BJ237">
        <f t="shared" si="188"/>
        <v>0</v>
      </c>
      <c r="BK237">
        <f t="shared" si="205"/>
        <v>0</v>
      </c>
      <c r="BM237">
        <f t="shared" si="206"/>
        <v>-19.97027561255867</v>
      </c>
      <c r="BN237">
        <f t="shared" si="189"/>
        <v>-176.63968111383298</v>
      </c>
      <c r="BQ237" s="56">
        <f t="shared" si="207"/>
        <v>25.970759661790485</v>
      </c>
      <c r="BR237" s="59"/>
      <c r="BS237" s="59"/>
      <c r="BT237" s="59">
        <v>18620.870999999999</v>
      </c>
      <c r="BU237" s="59">
        <v>-3.77474</v>
      </c>
      <c r="BV237" s="59">
        <v>-178.09100000000001</v>
      </c>
      <c r="BY237" s="59"/>
      <c r="BZ237" s="59"/>
      <c r="CA237" s="59"/>
      <c r="CC237" s="59"/>
    </row>
    <row r="238" spans="1:81" x14ac:dyDescent="0.2">
      <c r="A238">
        <f t="shared" si="211"/>
        <v>120000</v>
      </c>
      <c r="B238">
        <f t="shared" si="191"/>
        <v>120</v>
      </c>
      <c r="C238">
        <f t="shared" si="159"/>
        <v>1.0004190479257913</v>
      </c>
      <c r="D238">
        <f t="shared" si="160"/>
        <v>2.8944831794163382E-2</v>
      </c>
      <c r="F238">
        <f t="shared" si="161"/>
        <v>6.1381692634384878E-3</v>
      </c>
      <c r="G238">
        <f t="shared" si="162"/>
        <v>2.9605776840007553E-2</v>
      </c>
      <c r="H238">
        <f t="shared" si="163"/>
        <v>-3.1119868731599927</v>
      </c>
      <c r="J238">
        <f t="shared" si="164"/>
        <v>15</v>
      </c>
      <c r="M238">
        <f t="shared" si="165"/>
        <v>1.8806238925018009E-3</v>
      </c>
      <c r="N238">
        <f t="shared" si="166"/>
        <v>-1.5707963250000001</v>
      </c>
      <c r="O238">
        <f t="shared" si="167"/>
        <v>112.62676612085578</v>
      </c>
      <c r="P238">
        <f t="shared" si="168"/>
        <v>1.5619173260563854</v>
      </c>
      <c r="Q238">
        <f t="shared" si="169"/>
        <v>16.789023372875132</v>
      </c>
      <c r="R238">
        <f t="shared" si="170"/>
        <v>1.5111983257594668</v>
      </c>
      <c r="S238">
        <f t="shared" si="171"/>
        <v>0.90390735904446129</v>
      </c>
      <c r="T238">
        <f t="shared" si="172"/>
        <v>-0.44197806207295953</v>
      </c>
      <c r="U238">
        <f t="shared" si="173"/>
        <v>0.88815749405567601</v>
      </c>
      <c r="V238">
        <f t="shared" si="174"/>
        <v>-0.47747628896863442</v>
      </c>
      <c r="X238">
        <f t="shared" si="192"/>
        <v>-11.60210049145997</v>
      </c>
      <c r="Y238">
        <f t="shared" si="175"/>
        <v>-143.24959405748635</v>
      </c>
      <c r="Z238">
        <f t="shared" si="193"/>
        <v>36.750405942513652</v>
      </c>
      <c r="AC238">
        <v>1</v>
      </c>
      <c r="AD238">
        <f t="shared" si="176"/>
        <v>112.62232659132</v>
      </c>
      <c r="AE238">
        <f t="shared" si="177"/>
        <v>-1.5284742052832225E-2</v>
      </c>
      <c r="AF238">
        <f t="shared" si="178"/>
        <v>2.954102400648E-2</v>
      </c>
      <c r="AG238">
        <f t="shared" si="194"/>
        <v>2993.4988383583773</v>
      </c>
      <c r="AH238">
        <f t="shared" si="195"/>
        <v>-1582.7094405903042</v>
      </c>
      <c r="AJ238">
        <f t="shared" si="179"/>
        <v>18000</v>
      </c>
      <c r="AK238">
        <f t="shared" si="180"/>
        <v>8517.5865236448008</v>
      </c>
      <c r="AL238">
        <v>1</v>
      </c>
      <c r="AM238">
        <f t="shared" si="181"/>
        <v>16.759215548913602</v>
      </c>
      <c r="AN238">
        <f t="shared" si="196"/>
        <v>570.28887009810899</v>
      </c>
      <c r="AO238">
        <f t="shared" si="197"/>
        <v>-1040.0075754757956</v>
      </c>
      <c r="AQ238">
        <f t="shared" si="182"/>
        <v>0.1736080970816479</v>
      </c>
      <c r="AR238">
        <f t="shared" si="183"/>
        <v>-41.66594329959549</v>
      </c>
      <c r="AT238">
        <f t="shared" si="209"/>
        <v>-65425.386174426589</v>
      </c>
      <c r="AU238">
        <f t="shared" si="210"/>
        <v>-125001.72404065914</v>
      </c>
      <c r="AV238">
        <f t="shared" si="198"/>
        <v>-2.0529849739477783</v>
      </c>
      <c r="AW238">
        <f t="shared" si="199"/>
        <v>-39651.848320043318</v>
      </c>
      <c r="AX238">
        <f t="shared" si="200"/>
        <v>-27764.075804818542</v>
      </c>
      <c r="AY238">
        <f t="shared" si="208"/>
        <v>-2.5307349847635283</v>
      </c>
      <c r="BA238">
        <f t="shared" si="184"/>
        <v>2.914703797310179</v>
      </c>
      <c r="BB238">
        <f t="shared" si="201"/>
        <v>9.2918885353834586</v>
      </c>
      <c r="BC238">
        <f t="shared" si="202"/>
        <v>0.47775001081574997</v>
      </c>
      <c r="BD238">
        <f t="shared" si="185"/>
        <v>-152.62694068664982</v>
      </c>
      <c r="BF238">
        <f t="shared" si="186"/>
        <v>-11.421870038413289</v>
      </c>
      <c r="BG238">
        <f t="shared" si="187"/>
        <v>-149.27223792015627</v>
      </c>
      <c r="BH238">
        <f t="shared" si="203"/>
        <v>30.727762079843728</v>
      </c>
      <c r="BI238">
        <f t="shared" si="204"/>
        <v>30.727762079843728</v>
      </c>
      <c r="BJ238">
        <f t="shared" si="188"/>
        <v>0</v>
      </c>
      <c r="BK238">
        <f t="shared" si="205"/>
        <v>0</v>
      </c>
      <c r="BM238">
        <f t="shared" si="206"/>
        <v>-20.713758573796746</v>
      </c>
      <c r="BN238">
        <f t="shared" si="189"/>
        <v>-176.64529723350645</v>
      </c>
      <c r="BQ238" s="56">
        <f t="shared" si="207"/>
        <v>26.193849335668595</v>
      </c>
      <c r="BR238" s="59"/>
      <c r="BS238" s="59"/>
      <c r="BT238" s="59">
        <v>19054.607</v>
      </c>
      <c r="BU238" s="59">
        <v>-3.7312500000000002</v>
      </c>
      <c r="BV238" s="59">
        <v>-176.916</v>
      </c>
      <c r="BY238" s="59"/>
      <c r="BZ238" s="59"/>
      <c r="CA238" s="59"/>
      <c r="CC238" s="59"/>
    </row>
    <row r="239" spans="1:81" x14ac:dyDescent="0.2">
      <c r="A239">
        <f t="shared" si="211"/>
        <v>125000</v>
      </c>
      <c r="B239">
        <f t="shared" si="191"/>
        <v>125</v>
      </c>
      <c r="C239">
        <f t="shared" si="159"/>
        <v>1.0004546879991747</v>
      </c>
      <c r="D239">
        <f t="shared" si="160"/>
        <v>3.0150150304124913E-2</v>
      </c>
      <c r="F239">
        <f t="shared" si="161"/>
        <v>5.6543846934637276E-3</v>
      </c>
      <c r="G239">
        <f t="shared" si="162"/>
        <v>2.8408394604054654E-2</v>
      </c>
      <c r="H239">
        <f t="shared" si="163"/>
        <v>-3.1131842553959457</v>
      </c>
      <c r="J239">
        <f t="shared" si="164"/>
        <v>15</v>
      </c>
      <c r="M239">
        <f t="shared" si="165"/>
        <v>1.8053989368017288E-3</v>
      </c>
      <c r="N239">
        <f t="shared" si="166"/>
        <v>-1.5707963250000001</v>
      </c>
      <c r="O239">
        <f t="shared" si="167"/>
        <v>117.31918548756487</v>
      </c>
      <c r="P239">
        <f t="shared" si="168"/>
        <v>1.5622724685247706</v>
      </c>
      <c r="Q239">
        <f t="shared" si="169"/>
        <v>17.486133699620698</v>
      </c>
      <c r="R239">
        <f t="shared" si="170"/>
        <v>1.5135769378719435</v>
      </c>
      <c r="S239">
        <f t="shared" si="171"/>
        <v>0.89695439650893172</v>
      </c>
      <c r="T239">
        <f t="shared" si="172"/>
        <v>-0.45796427489440805</v>
      </c>
      <c r="U239">
        <f t="shared" si="173"/>
        <v>0.8802856792710162</v>
      </c>
      <c r="V239">
        <f t="shared" si="174"/>
        <v>-0.49433232744245598</v>
      </c>
      <c r="X239">
        <f t="shared" si="192"/>
        <v>-12.105918986149613</v>
      </c>
      <c r="Y239">
        <f t="shared" si="175"/>
        <v>-144.97422913367035</v>
      </c>
      <c r="Z239">
        <f t="shared" si="193"/>
        <v>35.025770866329651</v>
      </c>
      <c r="AC239">
        <v>1</v>
      </c>
      <c r="AD239">
        <f t="shared" si="176"/>
        <v>117.31492353262499</v>
      </c>
      <c r="AE239">
        <f t="shared" si="177"/>
        <v>-1.6585006567743307E-2</v>
      </c>
      <c r="AF239">
        <f t="shared" si="178"/>
        <v>3.0771900006750001E-2</v>
      </c>
      <c r="AG239">
        <f t="shared" si="194"/>
        <v>2940.6707250532845</v>
      </c>
      <c r="AH239">
        <f t="shared" si="195"/>
        <v>-1617.4185954608465</v>
      </c>
      <c r="AJ239">
        <f t="shared" si="179"/>
        <v>18000</v>
      </c>
      <c r="AK239">
        <f t="shared" si="180"/>
        <v>8872.4859621300002</v>
      </c>
      <c r="AL239">
        <v>1</v>
      </c>
      <c r="AM239">
        <f t="shared" si="181"/>
        <v>17.457516196785001</v>
      </c>
      <c r="AN239">
        <f t="shared" si="196"/>
        <v>565.43960198529965</v>
      </c>
      <c r="AO239">
        <f t="shared" si="197"/>
        <v>-998.68504783203184</v>
      </c>
      <c r="AQ239">
        <f t="shared" si="182"/>
        <v>0.15999744004095934</v>
      </c>
      <c r="AR239">
        <f t="shared" si="183"/>
        <v>-39.999360010239833</v>
      </c>
      <c r="AT239">
        <f t="shared" si="209"/>
        <v>-64225.208899082943</v>
      </c>
      <c r="AU239">
        <f t="shared" si="210"/>
        <v>-117883.7298377277</v>
      </c>
      <c r="AV239">
        <f t="shared" si="198"/>
        <v>-2.0696525338406069</v>
      </c>
      <c r="AW239">
        <f t="shared" si="199"/>
        <v>-36336.005518460632</v>
      </c>
      <c r="AX239">
        <f t="shared" si="200"/>
        <v>-26543.170715254848</v>
      </c>
      <c r="AY239">
        <f t="shared" si="208"/>
        <v>-2.5106938431157544</v>
      </c>
      <c r="BA239">
        <f t="shared" si="184"/>
        <v>2.9833139984211168</v>
      </c>
      <c r="BB239">
        <f t="shared" si="201"/>
        <v>9.4939793186988837</v>
      </c>
      <c r="BC239">
        <f t="shared" si="202"/>
        <v>0.44104130927514751</v>
      </c>
      <c r="BD239">
        <f t="shared" si="185"/>
        <v>-154.73019435873505</v>
      </c>
      <c r="BF239">
        <f t="shared" si="186"/>
        <v>-11.932539984317966</v>
      </c>
      <c r="BG239">
        <f t="shared" si="187"/>
        <v>-151.3750368772352</v>
      </c>
      <c r="BH239">
        <f t="shared" si="203"/>
        <v>28.624963122764797</v>
      </c>
      <c r="BI239">
        <f t="shared" si="204"/>
        <v>28.624963122764797</v>
      </c>
      <c r="BJ239">
        <f t="shared" si="188"/>
        <v>0</v>
      </c>
      <c r="BK239">
        <f t="shared" si="205"/>
        <v>0</v>
      </c>
      <c r="BM239">
        <f t="shared" si="206"/>
        <v>-21.42651930301685</v>
      </c>
      <c r="BN239">
        <f t="shared" si="189"/>
        <v>-176.64484251850018</v>
      </c>
      <c r="BQ239" s="56">
        <f t="shared" si="207"/>
        <v>26.395940118984022</v>
      </c>
      <c r="BR239" s="59"/>
      <c r="BS239" s="59"/>
      <c r="BT239" s="59">
        <v>19498.446</v>
      </c>
      <c r="BU239" s="59">
        <v>-3.7243200000000001</v>
      </c>
      <c r="BV239" s="59">
        <v>-175.511</v>
      </c>
      <c r="BY239" s="59"/>
      <c r="BZ239" s="59"/>
      <c r="CA239" s="59"/>
      <c r="CC239" s="59"/>
    </row>
    <row r="240" spans="1:81" x14ac:dyDescent="0.2">
      <c r="A240">
        <f t="shared" si="211"/>
        <v>130000</v>
      </c>
      <c r="B240">
        <f t="shared" si="191"/>
        <v>130</v>
      </c>
      <c r="C240">
        <f t="shared" si="159"/>
        <v>1.0004917814210526</v>
      </c>
      <c r="D240">
        <f t="shared" si="160"/>
        <v>3.1355381190107709E-2</v>
      </c>
      <c r="F240">
        <f t="shared" si="161"/>
        <v>5.2257055642930443E-3</v>
      </c>
      <c r="G240">
        <f t="shared" si="162"/>
        <v>2.73045588185735E-2</v>
      </c>
      <c r="H240">
        <f t="shared" si="163"/>
        <v>-3.1142880911814266</v>
      </c>
      <c r="J240">
        <f t="shared" si="164"/>
        <v>15</v>
      </c>
      <c r="M240">
        <f t="shared" si="165"/>
        <v>1.7359605161555082E-3</v>
      </c>
      <c r="N240">
        <f t="shared" si="166"/>
        <v>-1.5707963250000001</v>
      </c>
      <c r="O240">
        <f t="shared" si="167"/>
        <v>122.0116185131418</v>
      </c>
      <c r="P240">
        <f t="shared" si="168"/>
        <v>1.5626002942522668</v>
      </c>
      <c r="Q240">
        <f t="shared" si="169"/>
        <v>18.183335373267173</v>
      </c>
      <c r="R240">
        <f t="shared" si="170"/>
        <v>1.5157731558912386</v>
      </c>
      <c r="S240">
        <f t="shared" si="171"/>
        <v>0.88988537916056465</v>
      </c>
      <c r="T240">
        <f t="shared" si="172"/>
        <v>-0.47370247888242917</v>
      </c>
      <c r="U240">
        <f t="shared" si="173"/>
        <v>0.87231086249988976</v>
      </c>
      <c r="V240">
        <f t="shared" si="174"/>
        <v>-0.51088759036643672</v>
      </c>
      <c r="X240">
        <f t="shared" si="192"/>
        <v>-12.598606941000165</v>
      </c>
      <c r="Y240">
        <f t="shared" si="175"/>
        <v>-146.67408193019625</v>
      </c>
      <c r="Z240">
        <f t="shared" si="193"/>
        <v>33.325918069803748</v>
      </c>
      <c r="AC240">
        <v>1</v>
      </c>
      <c r="AD240">
        <f t="shared" si="176"/>
        <v>122.00752047393</v>
      </c>
      <c r="AE240">
        <f t="shared" si="177"/>
        <v>-1.7938343103671157E-2</v>
      </c>
      <c r="AF240">
        <f t="shared" si="178"/>
        <v>3.2002776007019999E-2</v>
      </c>
      <c r="AG240">
        <f t="shared" si="194"/>
        <v>2887.6309359409961</v>
      </c>
      <c r="AH240">
        <f t="shared" si="195"/>
        <v>-1649.8354540900705</v>
      </c>
      <c r="AJ240">
        <f t="shared" si="179"/>
        <v>18000</v>
      </c>
      <c r="AK240">
        <f t="shared" si="180"/>
        <v>9227.3854006151996</v>
      </c>
      <c r="AL240">
        <v>1</v>
      </c>
      <c r="AM240">
        <f t="shared" si="181"/>
        <v>18.155816844656403</v>
      </c>
      <c r="AN240">
        <f t="shared" si="196"/>
        <v>561.13677323026411</v>
      </c>
      <c r="AO240">
        <f t="shared" si="197"/>
        <v>-960.51107895496978</v>
      </c>
      <c r="AQ240">
        <f t="shared" si="182"/>
        <v>0.14792680581648202</v>
      </c>
      <c r="AR240">
        <f t="shared" si="183"/>
        <v>-38.460969512285324</v>
      </c>
      <c r="AT240">
        <f t="shared" si="209"/>
        <v>-63027.113079315001</v>
      </c>
      <c r="AU240">
        <f t="shared" si="210"/>
        <v>-111305.14027880492</v>
      </c>
      <c r="AV240">
        <f t="shared" si="198"/>
        <v>-2.0860338148228967</v>
      </c>
      <c r="AW240">
        <f t="shared" si="199"/>
        <v>-33399.760784769889</v>
      </c>
      <c r="AX240">
        <f t="shared" si="200"/>
        <v>-25438.973616517105</v>
      </c>
      <c r="AY240">
        <f t="shared" si="208"/>
        <v>-2.4906762746506237</v>
      </c>
      <c r="BA240">
        <f t="shared" si="184"/>
        <v>3.0466379898583704</v>
      </c>
      <c r="BB240">
        <f t="shared" si="201"/>
        <v>9.6764170637961939</v>
      </c>
      <c r="BC240">
        <f t="shared" si="202"/>
        <v>0.40464245982772695</v>
      </c>
      <c r="BD240">
        <f t="shared" si="185"/>
        <v>-156.81569481358736</v>
      </c>
      <c r="BF240">
        <f t="shared" si="186"/>
        <v>-12.434588519680599</v>
      </c>
      <c r="BG240">
        <f t="shared" si="187"/>
        <v>-153.45472782075885</v>
      </c>
      <c r="BH240">
        <f t="shared" si="203"/>
        <v>26.545272179241152</v>
      </c>
      <c r="BI240">
        <f t="shared" si="204"/>
        <v>26.545272179241152</v>
      </c>
      <c r="BJ240">
        <f t="shared" si="188"/>
        <v>0</v>
      </c>
      <c r="BK240">
        <f t="shared" si="205"/>
        <v>0</v>
      </c>
      <c r="BM240">
        <f t="shared" si="206"/>
        <v>-22.111005583476793</v>
      </c>
      <c r="BN240">
        <f t="shared" si="189"/>
        <v>-176.63903300717149</v>
      </c>
      <c r="BQ240" s="56">
        <f t="shared" si="207"/>
        <v>26.578377864081332</v>
      </c>
      <c r="BR240" s="59"/>
      <c r="BS240" s="59"/>
      <c r="BT240" s="59">
        <v>19952.623</v>
      </c>
      <c r="BU240" s="59">
        <v>-3.67421</v>
      </c>
      <c r="BV240" s="59">
        <v>-174.244</v>
      </c>
      <c r="BY240" s="59"/>
      <c r="BZ240" s="59"/>
      <c r="CA240" s="59"/>
      <c r="CC240" s="59"/>
    </row>
    <row r="241" spans="1:81" x14ac:dyDescent="0.2">
      <c r="A241">
        <f t="shared" si="211"/>
        <v>135000</v>
      </c>
      <c r="B241">
        <f t="shared" si="191"/>
        <v>135</v>
      </c>
      <c r="C241">
        <f t="shared" si="159"/>
        <v>1.0005303280297819</v>
      </c>
      <c r="D241">
        <f t="shared" si="160"/>
        <v>3.2560520960666327E-2</v>
      </c>
      <c r="F241">
        <f t="shared" si="161"/>
        <v>4.8440582869455117E-3</v>
      </c>
      <c r="G241">
        <f t="shared" si="162"/>
        <v>2.6283672293214107E-2</v>
      </c>
      <c r="H241">
        <f t="shared" si="163"/>
        <v>-3.1153089777067859</v>
      </c>
      <c r="J241">
        <f t="shared" si="164"/>
        <v>15</v>
      </c>
      <c r="M241">
        <f t="shared" si="165"/>
        <v>1.6716656822238229E-3</v>
      </c>
      <c r="N241">
        <f t="shared" si="166"/>
        <v>-1.5707963250000001</v>
      </c>
      <c r="O241">
        <f t="shared" si="167"/>
        <v>126.70406368003489</v>
      </c>
      <c r="P241">
        <f t="shared" si="168"/>
        <v>1.5629038381648801</v>
      </c>
      <c r="Q241">
        <f t="shared" si="169"/>
        <v>18.880618274358572</v>
      </c>
      <c r="R241">
        <f t="shared" si="170"/>
        <v>1.5178071654225438</v>
      </c>
      <c r="S241">
        <f t="shared" si="171"/>
        <v>0.88271340651662755</v>
      </c>
      <c r="T241">
        <f t="shared" si="172"/>
        <v>-0.48919078647156877</v>
      </c>
      <c r="U241">
        <f t="shared" si="173"/>
        <v>0.86424874901510496</v>
      </c>
      <c r="V241">
        <f t="shared" si="174"/>
        <v>-0.52714122485068948</v>
      </c>
      <c r="X241">
        <f t="shared" si="192"/>
        <v>-13.081089168388221</v>
      </c>
      <c r="Y241">
        <f t="shared" si="175"/>
        <v>-148.34827236642906</v>
      </c>
      <c r="Z241">
        <f t="shared" si="193"/>
        <v>31.651727633570943</v>
      </c>
      <c r="AC241">
        <v>1</v>
      </c>
      <c r="AD241">
        <f t="shared" si="176"/>
        <v>126.700117415235</v>
      </c>
      <c r="AE241">
        <f t="shared" si="177"/>
        <v>-1.9344751660615788E-2</v>
      </c>
      <c r="AF241">
        <f t="shared" si="178"/>
        <v>3.3233652007289997E-2</v>
      </c>
      <c r="AG241">
        <f t="shared" si="194"/>
        <v>2834.5011913781</v>
      </c>
      <c r="AH241">
        <f t="shared" si="195"/>
        <v>-1680.0056044602532</v>
      </c>
      <c r="AJ241">
        <f t="shared" si="179"/>
        <v>18000</v>
      </c>
      <c r="AK241">
        <f t="shared" si="180"/>
        <v>9582.2848391004009</v>
      </c>
      <c r="AL241">
        <v>1</v>
      </c>
      <c r="AM241">
        <f t="shared" si="181"/>
        <v>18.854117492527802</v>
      </c>
      <c r="AN241">
        <f t="shared" si="196"/>
        <v>557.30133562969115</v>
      </c>
      <c r="AO241">
        <f t="shared" si="197"/>
        <v>-925.1400216044658</v>
      </c>
      <c r="AQ241">
        <f t="shared" si="182"/>
        <v>0.13717232959767356</v>
      </c>
      <c r="AR241">
        <f t="shared" si="183"/>
        <v>-37.03652899137186</v>
      </c>
      <c r="AT241">
        <f t="shared" si="209"/>
        <v>-61832.761143590658</v>
      </c>
      <c r="AU241">
        <f t="shared" si="210"/>
        <v>-105210.53583305403</v>
      </c>
      <c r="AV241">
        <f t="shared" si="198"/>
        <v>-2.1021263535068471</v>
      </c>
      <c r="AW241">
        <f t="shared" si="199"/>
        <v>-30788.132438814991</v>
      </c>
      <c r="AX241">
        <f t="shared" si="200"/>
        <v>-24435.18779818101</v>
      </c>
      <c r="AY241">
        <f t="shared" si="208"/>
        <v>-2.4707319576264775</v>
      </c>
      <c r="BA241">
        <f t="shared" si="184"/>
        <v>3.1047169119198341</v>
      </c>
      <c r="BB241">
        <f t="shared" si="201"/>
        <v>9.8404401469609244</v>
      </c>
      <c r="BC241">
        <f t="shared" si="202"/>
        <v>0.36860560411963039</v>
      </c>
      <c r="BD241">
        <f t="shared" si="185"/>
        <v>-158.88045455494256</v>
      </c>
      <c r="BF241">
        <f t="shared" si="186"/>
        <v>-12.928942317722822</v>
      </c>
      <c r="BG241">
        <f t="shared" si="187"/>
        <v>-155.50893062879047</v>
      </c>
      <c r="BH241">
        <f t="shared" si="203"/>
        <v>24.491069371209534</v>
      </c>
      <c r="BI241">
        <f t="shared" si="204"/>
        <v>24.491069371209534</v>
      </c>
      <c r="BJ241">
        <f t="shared" si="188"/>
        <v>0</v>
      </c>
      <c r="BK241">
        <f t="shared" si="205"/>
        <v>0</v>
      </c>
      <c r="BM241">
        <f t="shared" si="206"/>
        <v>-22.769382464683744</v>
      </c>
      <c r="BN241">
        <f t="shared" si="189"/>
        <v>-176.62847607384791</v>
      </c>
      <c r="BQ241" s="56">
        <f t="shared" si="207"/>
        <v>26.742400947246061</v>
      </c>
      <c r="BR241" s="59"/>
      <c r="BS241" s="59"/>
      <c r="BT241" s="59">
        <v>20417.379000000001</v>
      </c>
      <c r="BU241" s="59">
        <v>-3.6440899999999998</v>
      </c>
      <c r="BV241" s="59">
        <v>-173.369</v>
      </c>
      <c r="BY241" s="59"/>
      <c r="BZ241" s="59"/>
      <c r="CA241" s="59"/>
      <c r="CC241" s="59"/>
    </row>
    <row r="242" spans="1:81" x14ac:dyDescent="0.2">
      <c r="A242">
        <f t="shared" si="211"/>
        <v>140000</v>
      </c>
      <c r="B242">
        <f t="shared" si="191"/>
        <v>140</v>
      </c>
      <c r="C242">
        <f t="shared" si="159"/>
        <v>1.0005703276574121</v>
      </c>
      <c r="D242">
        <f t="shared" si="160"/>
        <v>3.3765566125941872E-2</v>
      </c>
      <c r="F242">
        <f t="shared" si="161"/>
        <v>4.5027973644406315E-3</v>
      </c>
      <c r="G242">
        <f t="shared" si="162"/>
        <v>2.5336686363322595E-2</v>
      </c>
      <c r="H242">
        <f t="shared" si="163"/>
        <v>-3.1162559636366778</v>
      </c>
      <c r="J242">
        <f t="shared" si="164"/>
        <v>15</v>
      </c>
      <c r="M242">
        <f t="shared" si="165"/>
        <v>1.611963336430115E-3</v>
      </c>
      <c r="N242">
        <f t="shared" si="166"/>
        <v>-1.5707963250000001</v>
      </c>
      <c r="O242">
        <f t="shared" si="167"/>
        <v>131.39651968746858</v>
      </c>
      <c r="P242">
        <f t="shared" si="168"/>
        <v>1.563185701672966</v>
      </c>
      <c r="Q242">
        <f t="shared" si="169"/>
        <v>19.577973723984098</v>
      </c>
      <c r="R242">
        <f t="shared" si="170"/>
        <v>1.5196962819612443</v>
      </c>
      <c r="S242">
        <f t="shared" si="171"/>
        <v>0.87545114209806307</v>
      </c>
      <c r="T242">
        <f t="shared" si="172"/>
        <v>-0.50442784895175974</v>
      </c>
      <c r="U242">
        <f t="shared" si="173"/>
        <v>0.85611433477009269</v>
      </c>
      <c r="V242">
        <f t="shared" si="174"/>
        <v>-0.54309304607587128</v>
      </c>
      <c r="X242">
        <f t="shared" si="192"/>
        <v>-13.554165448888963</v>
      </c>
      <c r="Y242">
        <f t="shared" si="175"/>
        <v>-149.99609007321436</v>
      </c>
      <c r="Z242">
        <f t="shared" si="193"/>
        <v>30.003909926785639</v>
      </c>
      <c r="AC242">
        <v>1</v>
      </c>
      <c r="AD242">
        <f t="shared" si="176"/>
        <v>131.39271435654001</v>
      </c>
      <c r="AE242">
        <f t="shared" si="177"/>
        <v>-2.0804232238577199E-2</v>
      </c>
      <c r="AF242">
        <f t="shared" si="178"/>
        <v>3.4464528007560002E-2</v>
      </c>
      <c r="AG242">
        <f t="shared" si="194"/>
        <v>2781.3949549627359</v>
      </c>
      <c r="AH242">
        <f t="shared" si="195"/>
        <v>-1707.9818002248392</v>
      </c>
      <c r="AJ242">
        <f t="shared" si="179"/>
        <v>18000</v>
      </c>
      <c r="AK242">
        <f t="shared" si="180"/>
        <v>9937.1842775856003</v>
      </c>
      <c r="AL242">
        <v>1</v>
      </c>
      <c r="AM242">
        <f t="shared" si="181"/>
        <v>19.552418140399201</v>
      </c>
      <c r="AN242">
        <f t="shared" si="196"/>
        <v>553.86802295589769</v>
      </c>
      <c r="AO242">
        <f t="shared" si="197"/>
        <v>-892.27490184433555</v>
      </c>
      <c r="AQ242">
        <f t="shared" si="182"/>
        <v>0.12754939350263389</v>
      </c>
      <c r="AR242">
        <f t="shared" si="183"/>
        <v>-35.713830180737489</v>
      </c>
      <c r="AT242">
        <f t="shared" si="209"/>
        <v>-60643.806725423427</v>
      </c>
      <c r="AU242">
        <f t="shared" si="210"/>
        <v>-99552.119129831364</v>
      </c>
      <c r="AV242">
        <f t="shared" si="198"/>
        <v>-2.1179285846057985</v>
      </c>
      <c r="AW242">
        <f t="shared" si="199"/>
        <v>-28455.707848456626</v>
      </c>
      <c r="AX242">
        <f t="shared" si="200"/>
        <v>-23518.383177737913</v>
      </c>
      <c r="AY242">
        <f t="shared" si="208"/>
        <v>-2.4509061560135663</v>
      </c>
      <c r="BA242">
        <f t="shared" si="184"/>
        <v>3.1576194971466869</v>
      </c>
      <c r="BB242">
        <f t="shared" si="201"/>
        <v>9.9871959001096862</v>
      </c>
      <c r="BC242">
        <f t="shared" si="202"/>
        <v>0.33297757140776785</v>
      </c>
      <c r="BD242">
        <f t="shared" si="185"/>
        <v>-160.92179046401887</v>
      </c>
      <c r="BF242">
        <f t="shared" si="186"/>
        <v>-13.416378463444246</v>
      </c>
      <c r="BG242">
        <f t="shared" si="187"/>
        <v>-157.53548083279804</v>
      </c>
      <c r="BH242">
        <f t="shared" si="203"/>
        <v>22.464519167201956</v>
      </c>
      <c r="BI242">
        <f t="shared" si="204"/>
        <v>22.464519167201956</v>
      </c>
      <c r="BJ242">
        <f t="shared" si="188"/>
        <v>0</v>
      </c>
      <c r="BK242">
        <f t="shared" si="205"/>
        <v>0</v>
      </c>
      <c r="BM242">
        <f t="shared" si="206"/>
        <v>-23.403574363553936</v>
      </c>
      <c r="BN242">
        <f t="shared" si="189"/>
        <v>-176.61369036877917</v>
      </c>
      <c r="BQ242" s="56">
        <f t="shared" si="207"/>
        <v>26.889156700394821</v>
      </c>
      <c r="BR242" s="59"/>
      <c r="BS242" s="59"/>
      <c r="BT242" s="59">
        <v>20892.960999999999</v>
      </c>
      <c r="BU242" s="59">
        <v>-3.5620099999999999</v>
      </c>
      <c r="BV242" s="59">
        <v>-172.084</v>
      </c>
      <c r="BY242" s="59"/>
      <c r="BZ242" s="59"/>
      <c r="CA242" s="59"/>
      <c r="CC242" s="59"/>
    </row>
    <row r="243" spans="1:81" x14ac:dyDescent="0.2">
      <c r="A243">
        <f t="shared" si="211"/>
        <v>145000</v>
      </c>
      <c r="B243">
        <f t="shared" si="191"/>
        <v>145</v>
      </c>
      <c r="C243">
        <f t="shared" si="159"/>
        <v>1.0006117801296892</v>
      </c>
      <c r="D243">
        <f t="shared" si="160"/>
        <v>3.4970513197722361E-2</v>
      </c>
      <c r="F243">
        <f t="shared" si="161"/>
        <v>4.1964122903794523E-3</v>
      </c>
      <c r="G243">
        <f t="shared" si="162"/>
        <v>2.4455827039795944E-2</v>
      </c>
      <c r="H243">
        <f t="shared" si="163"/>
        <v>-3.1171368229602043</v>
      </c>
      <c r="J243">
        <f t="shared" si="164"/>
        <v>15</v>
      </c>
      <c r="M243">
        <f t="shared" si="165"/>
        <v>1.5563783937945937E-3</v>
      </c>
      <c r="N243">
        <f t="shared" si="166"/>
        <v>-1.5707963250000001</v>
      </c>
      <c r="O243">
        <f t="shared" si="167"/>
        <v>136.08898541407157</v>
      </c>
      <c r="P243">
        <f t="shared" si="168"/>
        <v>1.5634481274064373</v>
      </c>
      <c r="Q243">
        <f t="shared" si="169"/>
        <v>20.275394236404281</v>
      </c>
      <c r="R243">
        <f t="shared" si="170"/>
        <v>1.5214554430906746</v>
      </c>
      <c r="S243">
        <f t="shared" si="171"/>
        <v>0.86811078441107248</v>
      </c>
      <c r="T243">
        <f t="shared" si="172"/>
        <v>-0.51941282750579298</v>
      </c>
      <c r="U243">
        <f t="shared" si="173"/>
        <v>0.84792188263526869</v>
      </c>
      <c r="V243">
        <f t="shared" si="174"/>
        <v>-0.55874349026712733</v>
      </c>
      <c r="X243">
        <f t="shared" si="192"/>
        <v>-14.018530148938238</v>
      </c>
      <c r="Y243">
        <f t="shared" si="175"/>
        <v>-151.61697324664044</v>
      </c>
      <c r="Z243">
        <f t="shared" si="193"/>
        <v>28.383026753359559</v>
      </c>
      <c r="AC243">
        <v>1</v>
      </c>
      <c r="AD243">
        <f t="shared" si="176"/>
        <v>136.08531129784501</v>
      </c>
      <c r="AE243">
        <f t="shared" si="177"/>
        <v>-2.2316784837555389E-2</v>
      </c>
      <c r="AF243">
        <f t="shared" si="178"/>
        <v>3.5695404007830001E-2</v>
      </c>
      <c r="AG243">
        <f t="shared" si="194"/>
        <v>2728.4174063904534</v>
      </c>
      <c r="AH243">
        <f t="shared" si="195"/>
        <v>-1733.822768664583</v>
      </c>
      <c r="AJ243">
        <f t="shared" si="179"/>
        <v>18000</v>
      </c>
      <c r="AK243">
        <f t="shared" si="180"/>
        <v>10292.0837160708</v>
      </c>
      <c r="AL243">
        <v>1</v>
      </c>
      <c r="AM243">
        <f t="shared" si="181"/>
        <v>20.250718788270603</v>
      </c>
      <c r="AN243">
        <f t="shared" si="196"/>
        <v>550.78256713989344</v>
      </c>
      <c r="AO243">
        <f t="shared" si="197"/>
        <v>-861.65916456095613</v>
      </c>
      <c r="AQ243">
        <f t="shared" si="182"/>
        <v>0.11890465036087561</v>
      </c>
      <c r="AR243">
        <f t="shared" si="183"/>
        <v>-34.482348604653929</v>
      </c>
      <c r="AT243">
        <f t="shared" si="209"/>
        <v>-59461.859610033018</v>
      </c>
      <c r="AU243">
        <f t="shared" si="210"/>
        <v>-94288.399736257139</v>
      </c>
      <c r="AV243">
        <f t="shared" si="198"/>
        <v>-2.1334397542556802</v>
      </c>
      <c r="AW243">
        <f t="shared" si="199"/>
        <v>-26364.713192059811</v>
      </c>
      <c r="AX243">
        <f t="shared" si="200"/>
        <v>-22677.399703134903</v>
      </c>
      <c r="AY243">
        <f t="shared" si="208"/>
        <v>-2.4312399678739784</v>
      </c>
      <c r="BA243">
        <f t="shared" si="184"/>
        <v>3.2054401951159988</v>
      </c>
      <c r="BB243">
        <f t="shared" si="201"/>
        <v>10.117753570591217</v>
      </c>
      <c r="BC243">
        <f t="shared" si="202"/>
        <v>0.29780021361829823</v>
      </c>
      <c r="BD243">
        <f t="shared" si="185"/>
        <v>-162.93730460208019</v>
      </c>
      <c r="BF243">
        <f t="shared" si="186"/>
        <v>-13.897546012141229</v>
      </c>
      <c r="BG243">
        <f t="shared" si="187"/>
        <v>-159.53242611067128</v>
      </c>
      <c r="BH243">
        <f t="shared" si="203"/>
        <v>20.467573889328719</v>
      </c>
      <c r="BI243">
        <f t="shared" si="204"/>
        <v>20.467573889328719</v>
      </c>
      <c r="BJ243">
        <f t="shared" si="188"/>
        <v>0</v>
      </c>
      <c r="BK243">
        <f t="shared" si="205"/>
        <v>0</v>
      </c>
      <c r="BM243">
        <f t="shared" si="206"/>
        <v>-24.015299582732446</v>
      </c>
      <c r="BN243">
        <f t="shared" si="189"/>
        <v>-176.59512150859112</v>
      </c>
      <c r="BQ243" s="56">
        <f t="shared" si="207"/>
        <v>27.019714370876354</v>
      </c>
      <c r="BR243" s="59"/>
      <c r="BS243" s="59"/>
      <c r="BT243" s="59">
        <v>21379.620999999999</v>
      </c>
      <c r="BU243" s="59">
        <v>-3.5589</v>
      </c>
      <c r="BV243" s="59">
        <v>-170.62899999999999</v>
      </c>
      <c r="BY243" s="59"/>
      <c r="BZ243" s="59"/>
      <c r="CA243" s="59"/>
      <c r="CC243" s="59"/>
    </row>
    <row r="244" spans="1:81" x14ac:dyDescent="0.2">
      <c r="A244">
        <f t="shared" si="211"/>
        <v>150000</v>
      </c>
      <c r="B244">
        <f t="shared" si="191"/>
        <v>150</v>
      </c>
      <c r="C244">
        <f t="shared" si="159"/>
        <v>1.0006546852660596</v>
      </c>
      <c r="D244">
        <f t="shared" si="160"/>
        <v>3.6175358689503077E-2</v>
      </c>
      <c r="F244">
        <f t="shared" si="161"/>
        <v>3.9203023790219862E-3</v>
      </c>
      <c r="G244">
        <f t="shared" si="162"/>
        <v>2.3634377466158044E-2</v>
      </c>
      <c r="H244">
        <f t="shared" si="163"/>
        <v>-3.1179582725338419</v>
      </c>
      <c r="J244">
        <f t="shared" si="164"/>
        <v>15</v>
      </c>
      <c r="M244">
        <f t="shared" si="165"/>
        <v>1.5044991140014405E-3</v>
      </c>
      <c r="N244">
        <f t="shared" si="166"/>
        <v>-1.5707963250000001</v>
      </c>
      <c r="O244">
        <f t="shared" si="167"/>
        <v>140.78145988797866</v>
      </c>
      <c r="P244">
        <f t="shared" si="168"/>
        <v>1.5636930590048947</v>
      </c>
      <c r="Q244">
        <f t="shared" si="169"/>
        <v>20.972873320931861</v>
      </c>
      <c r="R244">
        <f t="shared" si="170"/>
        <v>1.5230976028251504</v>
      </c>
      <c r="S244">
        <f t="shared" si="171"/>
        <v>0.86070404378319232</v>
      </c>
      <c r="T244">
        <f t="shared" si="172"/>
        <v>-0.53414536355579201</v>
      </c>
      <c r="U244">
        <f t="shared" si="173"/>
        <v>0.83968490699306186</v>
      </c>
      <c r="V244">
        <f t="shared" si="174"/>
        <v>-0.5740935677586777</v>
      </c>
      <c r="X244">
        <f t="shared" si="192"/>
        <v>-14.474788336690427</v>
      </c>
      <c r="Y244">
        <f t="shared" si="175"/>
        <v>-153.21049070419025</v>
      </c>
      <c r="Z244">
        <f t="shared" si="193"/>
        <v>26.789509295809751</v>
      </c>
      <c r="AC244">
        <v>1</v>
      </c>
      <c r="AD244">
        <f t="shared" si="176"/>
        <v>140.77790823914998</v>
      </c>
      <c r="AE244">
        <f t="shared" si="177"/>
        <v>-2.3882409457550356E-2</v>
      </c>
      <c r="AF244">
        <f t="shared" si="178"/>
        <v>3.6926280008099999E-2</v>
      </c>
      <c r="AG244">
        <f t="shared" si="194"/>
        <v>2675.6654986309413</v>
      </c>
      <c r="AH244">
        <f t="shared" si="195"/>
        <v>-1757.5921266780267</v>
      </c>
      <c r="AJ244">
        <f t="shared" si="179"/>
        <v>18000</v>
      </c>
      <c r="AK244">
        <f t="shared" si="180"/>
        <v>10646.983154556001</v>
      </c>
      <c r="AL244">
        <v>1</v>
      </c>
      <c r="AM244">
        <f t="shared" si="181"/>
        <v>20.949019436142002</v>
      </c>
      <c r="AN244">
        <f t="shared" si="196"/>
        <v>547.99954857832108</v>
      </c>
      <c r="AO244">
        <f t="shared" si="197"/>
        <v>-833.07003960829115</v>
      </c>
      <c r="AQ244">
        <f t="shared" si="182"/>
        <v>0.11110987655692714</v>
      </c>
      <c r="AR244">
        <f t="shared" si="183"/>
        <v>-33.332962967078146</v>
      </c>
      <c r="AT244">
        <f t="shared" si="209"/>
        <v>-58288.460406526276</v>
      </c>
      <c r="AU244">
        <f t="shared" si="210"/>
        <v>-89383.144822386472</v>
      </c>
      <c r="AV244">
        <f t="shared" si="198"/>
        <v>-2.1486598413558395</v>
      </c>
      <c r="AW244">
        <f t="shared" si="199"/>
        <v>-24483.522596640392</v>
      </c>
      <c r="AX244">
        <f t="shared" si="200"/>
        <v>-21902.892492355782</v>
      </c>
      <c r="AY244">
        <f t="shared" si="208"/>
        <v>-2.411770516619375</v>
      </c>
      <c r="BA244">
        <f t="shared" si="184"/>
        <v>3.2482969640423689</v>
      </c>
      <c r="BB244">
        <f t="shared" si="201"/>
        <v>10.233114524371912</v>
      </c>
      <c r="BC244">
        <f t="shared" si="202"/>
        <v>0.26311067526353549</v>
      </c>
      <c r="BD244">
        <f t="shared" si="185"/>
        <v>-164.92486874533643</v>
      </c>
      <c r="BF244">
        <f t="shared" si="186"/>
        <v>-14.372984308745711</v>
      </c>
      <c r="BG244">
        <f t="shared" si="187"/>
        <v>-161.49802328591028</v>
      </c>
      <c r="BH244">
        <f t="shared" si="203"/>
        <v>18.501976714089722</v>
      </c>
      <c r="BI244">
        <f t="shared" si="204"/>
        <v>18.501976714089722</v>
      </c>
      <c r="BJ244">
        <f t="shared" si="188"/>
        <v>0</v>
      </c>
      <c r="BK244">
        <f t="shared" si="205"/>
        <v>0</v>
      </c>
      <c r="BM244">
        <f t="shared" si="206"/>
        <v>-24.60609883311762</v>
      </c>
      <c r="BN244">
        <f t="shared" si="189"/>
        <v>-176.57315454057385</v>
      </c>
      <c r="BQ244" s="56">
        <f t="shared" si="207"/>
        <v>27.135075324657048</v>
      </c>
      <c r="BR244" s="59"/>
      <c r="BS244" s="59"/>
      <c r="BT244" s="59">
        <v>21877.616000000002</v>
      </c>
      <c r="BU244" s="59">
        <v>-3.49654</v>
      </c>
      <c r="BV244" s="59">
        <v>-169.465</v>
      </c>
      <c r="BY244" s="59"/>
      <c r="BZ244" s="59"/>
      <c r="CA244" s="59"/>
      <c r="CC244" s="59"/>
    </row>
    <row r="245" spans="1:81" x14ac:dyDescent="0.2">
      <c r="A245">
        <f t="shared" si="211"/>
        <v>155000</v>
      </c>
      <c r="B245">
        <f t="shared" si="191"/>
        <v>155</v>
      </c>
      <c r="C245">
        <f t="shared" si="159"/>
        <v>1.0006990428796736</v>
      </c>
      <c r="D245">
        <f t="shared" si="160"/>
        <v>3.7380099116546758E-2</v>
      </c>
      <c r="F245">
        <f t="shared" si="161"/>
        <v>3.6706020932284517E-3</v>
      </c>
      <c r="G245">
        <f t="shared" si="162"/>
        <v>2.286650358665571E-2</v>
      </c>
      <c r="H245">
        <f t="shared" si="163"/>
        <v>-3.1187261464133447</v>
      </c>
      <c r="J245">
        <f t="shared" si="164"/>
        <v>15</v>
      </c>
      <c r="M245">
        <f t="shared" si="165"/>
        <v>1.4559668845175232E-3</v>
      </c>
      <c r="N245">
        <f t="shared" si="166"/>
        <v>-1.5707963250000001</v>
      </c>
      <c r="O245">
        <f t="shared" si="167"/>
        <v>145.47394226271862</v>
      </c>
      <c r="P245">
        <f t="shared" si="168"/>
        <v>1.5639221893368969</v>
      </c>
      <c r="Q245">
        <f t="shared" si="169"/>
        <v>21.670405321999169</v>
      </c>
      <c r="R245">
        <f t="shared" si="170"/>
        <v>1.5246340500515068</v>
      </c>
      <c r="S245">
        <f t="shared" si="171"/>
        <v>0.85324212469604921</v>
      </c>
      <c r="T245">
        <f t="shared" si="172"/>
        <v>-0.54862554873771674</v>
      </c>
      <c r="U245">
        <f t="shared" si="173"/>
        <v>0.8314161659060002</v>
      </c>
      <c r="V245">
        <f t="shared" si="174"/>
        <v>-0.5891448165961729</v>
      </c>
      <c r="X245">
        <f t="shared" si="192"/>
        <v>-14.923469115266727</v>
      </c>
      <c r="Y245">
        <f t="shared" si="175"/>
        <v>-154.77632648637982</v>
      </c>
      <c r="Z245">
        <f t="shared" si="193"/>
        <v>25.223673513620184</v>
      </c>
      <c r="AC245">
        <v>1</v>
      </c>
      <c r="AD245">
        <f t="shared" si="176"/>
        <v>145.47050518045501</v>
      </c>
      <c r="AE245">
        <f t="shared" si="177"/>
        <v>-2.5501106098562105E-2</v>
      </c>
      <c r="AF245">
        <f t="shared" si="178"/>
        <v>3.8157156008370004E-2</v>
      </c>
      <c r="AG245">
        <f t="shared" si="194"/>
        <v>2623.2280882242958</v>
      </c>
      <c r="AH245">
        <f t="shared" si="195"/>
        <v>-1779.3573971719163</v>
      </c>
      <c r="AJ245">
        <f t="shared" si="179"/>
        <v>18000</v>
      </c>
      <c r="AK245">
        <f t="shared" si="180"/>
        <v>11001.8825930412</v>
      </c>
      <c r="AL245">
        <v>1</v>
      </c>
      <c r="AM245">
        <f t="shared" si="181"/>
        <v>21.647320084013401</v>
      </c>
      <c r="AN245">
        <f t="shared" si="196"/>
        <v>545.48072081092539</v>
      </c>
      <c r="AO245">
        <f t="shared" si="197"/>
        <v>-806.31317001125137</v>
      </c>
      <c r="AQ245">
        <f t="shared" si="182"/>
        <v>0.10405718983153141</v>
      </c>
      <c r="AR245">
        <f t="shared" si="183"/>
        <v>-32.257728847774736</v>
      </c>
      <c r="AT245">
        <f t="shared" si="209"/>
        <v>-57125.062698106136</v>
      </c>
      <c r="AU245">
        <f t="shared" si="210"/>
        <v>-84804.535306261489</v>
      </c>
      <c r="AV245">
        <f t="shared" si="198"/>
        <v>-2.1635894855864479</v>
      </c>
      <c r="AW245">
        <f t="shared" si="199"/>
        <v>-22785.496014860237</v>
      </c>
      <c r="AX245">
        <f t="shared" si="200"/>
        <v>-21186.981224885789</v>
      </c>
      <c r="AY245">
        <f t="shared" si="208"/>
        <v>-2.3925311101728974</v>
      </c>
      <c r="BA245">
        <f t="shared" si="184"/>
        <v>3.2863288029922235</v>
      </c>
      <c r="BB245">
        <f t="shared" si="201"/>
        <v>10.334220264034148</v>
      </c>
      <c r="BC245">
        <f t="shared" si="202"/>
        <v>0.22894162458644951</v>
      </c>
      <c r="BD245">
        <f t="shared" si="185"/>
        <v>-166.88261114133911</v>
      </c>
      <c r="BF245">
        <f t="shared" si="186"/>
        <v>-14.843138708067922</v>
      </c>
      <c r="BG245">
        <f t="shared" si="187"/>
        <v>-163.43073507249983</v>
      </c>
      <c r="BH245">
        <f t="shared" si="203"/>
        <v>16.569264927500171</v>
      </c>
      <c r="BI245">
        <f t="shared" si="204"/>
        <v>16.569264927500171</v>
      </c>
      <c r="BJ245">
        <f t="shared" si="188"/>
        <v>0</v>
      </c>
      <c r="BK245">
        <f t="shared" si="205"/>
        <v>0</v>
      </c>
      <c r="BM245">
        <f t="shared" si="206"/>
        <v>-25.17735897210207</v>
      </c>
      <c r="BN245">
        <f t="shared" si="189"/>
        <v>-176.54812393116072</v>
      </c>
      <c r="BQ245" s="56">
        <f t="shared" si="207"/>
        <v>27.236181064319286</v>
      </c>
      <c r="BR245" s="59"/>
      <c r="BS245" s="59"/>
      <c r="BT245" s="59">
        <v>22387.210999999999</v>
      </c>
      <c r="BU245" s="59">
        <v>-3.4356</v>
      </c>
      <c r="BV245" s="59">
        <v>-168.34299999999999</v>
      </c>
      <c r="BY245" s="59"/>
      <c r="BZ245" s="59"/>
      <c r="CA245" s="59"/>
      <c r="CC245" s="59"/>
    </row>
    <row r="246" spans="1:81" x14ac:dyDescent="0.2">
      <c r="A246">
        <f t="shared" si="211"/>
        <v>160000</v>
      </c>
      <c r="B246">
        <f t="shared" si="191"/>
        <v>160</v>
      </c>
      <c r="C246">
        <f t="shared" si="159"/>
        <v>1.0007448527773894</v>
      </c>
      <c r="D246">
        <f t="shared" si="160"/>
        <v>3.8584730995943804E-2</v>
      </c>
      <c r="F246">
        <f t="shared" si="161"/>
        <v>3.4440443178782891E-3</v>
      </c>
      <c r="G246">
        <f t="shared" si="162"/>
        <v>2.2147113306717772E-2</v>
      </c>
      <c r="H246">
        <f t="shared" si="163"/>
        <v>-3.1194455366932825</v>
      </c>
      <c r="J246">
        <f t="shared" si="164"/>
        <v>15</v>
      </c>
      <c r="M246">
        <f t="shared" si="165"/>
        <v>1.4104679193763505E-3</v>
      </c>
      <c r="N246">
        <f t="shared" si="166"/>
        <v>-1.5707963250000001</v>
      </c>
      <c r="O246">
        <f t="shared" si="167"/>
        <v>150.16643179762289</v>
      </c>
      <c r="P246">
        <f t="shared" si="168"/>
        <v>1.5641369996791521</v>
      </c>
      <c r="Q246">
        <f t="shared" si="169"/>
        <v>22.367985289096556</v>
      </c>
      <c r="R246">
        <f t="shared" si="170"/>
        <v>1.5260746675722177</v>
      </c>
      <c r="S246">
        <f t="shared" si="171"/>
        <v>0.84573571322372276</v>
      </c>
      <c r="T246">
        <f t="shared" si="172"/>
        <v>-0.56285389479223324</v>
      </c>
      <c r="U246">
        <f t="shared" si="173"/>
        <v>0.8231276600592311</v>
      </c>
      <c r="V246">
        <f t="shared" si="174"/>
        <v>-0.60389925706102487</v>
      </c>
      <c r="X246">
        <f t="shared" si="192"/>
        <v>-15.365036724054944</v>
      </c>
      <c r="Y246">
        <f t="shared" si="175"/>
        <v>-156.31426650869608</v>
      </c>
      <c r="Z246">
        <f t="shared" si="193"/>
        <v>23.685733491303921</v>
      </c>
      <c r="AC246">
        <v>1</v>
      </c>
      <c r="AD246">
        <f t="shared" si="176"/>
        <v>150.16310212175998</v>
      </c>
      <c r="AE246">
        <f t="shared" si="177"/>
        <v>-2.7172874760590628E-2</v>
      </c>
      <c r="AF246">
        <f t="shared" si="178"/>
        <v>3.9388032008640002E-2</v>
      </c>
      <c r="AG246">
        <f t="shared" si="194"/>
        <v>2571.1861277863522</v>
      </c>
      <c r="AH246">
        <f t="shared" si="195"/>
        <v>-1799.1891197042166</v>
      </c>
      <c r="AJ246">
        <f t="shared" si="179"/>
        <v>18000</v>
      </c>
      <c r="AK246">
        <f t="shared" si="180"/>
        <v>11356.7820315264</v>
      </c>
      <c r="AL246">
        <v>1</v>
      </c>
      <c r="AM246">
        <f t="shared" si="181"/>
        <v>22.3456207318848</v>
      </c>
      <c r="AN246">
        <f t="shared" si="196"/>
        <v>543.19369367731281</v>
      </c>
      <c r="AO246">
        <f t="shared" si="197"/>
        <v>-781.21823133844305</v>
      </c>
      <c r="AQ246">
        <f t="shared" si="182"/>
        <v>9.7655296334996727E-2</v>
      </c>
      <c r="AR246">
        <f t="shared" si="183"/>
        <v>-31.249694827198955</v>
      </c>
      <c r="AT246">
        <f t="shared" si="209"/>
        <v>-55973.020983932089</v>
      </c>
      <c r="AU246">
        <f t="shared" si="210"/>
        <v>-80524.48218389829</v>
      </c>
      <c r="AV246">
        <f t="shared" si="198"/>
        <v>-2.1782299211441325</v>
      </c>
      <c r="AW246">
        <f t="shared" si="199"/>
        <v>-21248.065564616398</v>
      </c>
      <c r="AX246">
        <f t="shared" si="200"/>
        <v>-20522.977132693948</v>
      </c>
      <c r="AY246">
        <f t="shared" si="208"/>
        <v>-2.3735513855395469</v>
      </c>
      <c r="BA246">
        <f t="shared" si="184"/>
        <v>3.319693102449091</v>
      </c>
      <c r="BB246">
        <f t="shared" si="201"/>
        <v>10.421958721830327</v>
      </c>
      <c r="BC246">
        <f t="shared" si="202"/>
        <v>0.19532146439541442</v>
      </c>
      <c r="BD246">
        <f t="shared" si="185"/>
        <v>-168.8089044290403</v>
      </c>
      <c r="BF246">
        <f t="shared" si="186"/>
        <v>-15.308374170162091</v>
      </c>
      <c r="BG246">
        <f t="shared" si="187"/>
        <v>-165.32922606447602</v>
      </c>
      <c r="BH246">
        <f t="shared" si="203"/>
        <v>14.670773935523982</v>
      </c>
      <c r="BI246">
        <f t="shared" si="204"/>
        <v>14.670773935523982</v>
      </c>
      <c r="BJ246">
        <f t="shared" si="188"/>
        <v>0</v>
      </c>
      <c r="BK246">
        <f t="shared" si="205"/>
        <v>0</v>
      </c>
      <c r="BM246">
        <f t="shared" si="206"/>
        <v>-25.730332891992415</v>
      </c>
      <c r="BN246">
        <f t="shared" si="189"/>
        <v>-176.52032163543575</v>
      </c>
      <c r="BQ246" s="56">
        <f t="shared" si="207"/>
        <v>27.323919522115464</v>
      </c>
      <c r="BR246" s="59"/>
      <c r="BS246" s="59"/>
      <c r="BT246" s="59">
        <v>22908.677</v>
      </c>
      <c r="BU246" s="59">
        <v>-3.37297</v>
      </c>
      <c r="BV246" s="59">
        <v>-167.03899999999999</v>
      </c>
      <c r="BY246" s="59"/>
      <c r="BZ246" s="59"/>
      <c r="CA246" s="59"/>
      <c r="CC246" s="59"/>
    </row>
    <row r="247" spans="1:81" x14ac:dyDescent="0.2">
      <c r="A247">
        <f t="shared" si="211"/>
        <v>165000</v>
      </c>
      <c r="B247">
        <f t="shared" si="191"/>
        <v>165</v>
      </c>
      <c r="C247">
        <f t="shared" si="159"/>
        <v>1.0007921147597785</v>
      </c>
      <c r="D247">
        <f t="shared" si="160"/>
        <v>3.9789250846672335E-2</v>
      </c>
      <c r="F247">
        <f t="shared" si="161"/>
        <v>3.2378524336720976E-3</v>
      </c>
      <c r="G247">
        <f t="shared" si="162"/>
        <v>2.1471741853220726E-2</v>
      </c>
      <c r="H247">
        <f t="shared" si="163"/>
        <v>-3.1201209081467796</v>
      </c>
      <c r="J247">
        <f t="shared" si="164"/>
        <v>15</v>
      </c>
      <c r="M247">
        <f t="shared" si="165"/>
        <v>1.3677264672740368E-3</v>
      </c>
      <c r="N247">
        <f t="shared" si="166"/>
        <v>-1.5707963250000001</v>
      </c>
      <c r="O247">
        <f t="shared" si="167"/>
        <v>154.85892784179592</v>
      </c>
      <c r="P247">
        <f t="shared" si="168"/>
        <v>1.5643387917729883</v>
      </c>
      <c r="Q247">
        <f t="shared" si="169"/>
        <v>23.065608870272317</v>
      </c>
      <c r="R247">
        <f t="shared" si="170"/>
        <v>1.5274281442784474</v>
      </c>
      <c r="S247">
        <f t="shared" si="171"/>
        <v>0.83819496916368208</v>
      </c>
      <c r="T247">
        <f t="shared" si="172"/>
        <v>-0.57683130362900548</v>
      </c>
      <c r="U247">
        <f t="shared" si="173"/>
        <v>0.81483063768362651</v>
      </c>
      <c r="V247">
        <f t="shared" si="174"/>
        <v>-0.61835934744024701</v>
      </c>
      <c r="X247">
        <f t="shared" si="192"/>
        <v>-15.799899834301135</v>
      </c>
      <c r="Y247">
        <f t="shared" si="175"/>
        <v>-157.82418688725488</v>
      </c>
      <c r="Z247">
        <f t="shared" si="193"/>
        <v>22.175813112745118</v>
      </c>
      <c r="AC247">
        <v>1</v>
      </c>
      <c r="AD247">
        <f t="shared" si="176"/>
        <v>154.855699063065</v>
      </c>
      <c r="AE247">
        <f t="shared" si="177"/>
        <v>-2.8897715443635931E-2</v>
      </c>
      <c r="AF247">
        <f t="shared" si="178"/>
        <v>4.061890800891E-2</v>
      </c>
      <c r="AG247">
        <f t="shared" si="194"/>
        <v>2519.6129102997593</v>
      </c>
      <c r="AH247">
        <f t="shared" si="195"/>
        <v>-1817.1600500378524</v>
      </c>
      <c r="AJ247">
        <f t="shared" si="179"/>
        <v>18000</v>
      </c>
      <c r="AK247">
        <f t="shared" si="180"/>
        <v>11711.681470011601</v>
      </c>
      <c r="AL247">
        <v>1</v>
      </c>
      <c r="AM247">
        <f t="shared" si="181"/>
        <v>23.043921379756203</v>
      </c>
      <c r="AN247">
        <f t="shared" si="196"/>
        <v>541.11088994821876</v>
      </c>
      <c r="AO247">
        <f t="shared" si="197"/>
        <v>-757.63533568506261</v>
      </c>
      <c r="AQ247">
        <f t="shared" si="182"/>
        <v>9.1826521335892239E-2</v>
      </c>
      <c r="AR247">
        <f t="shared" si="183"/>
        <v>-30.302752040844435</v>
      </c>
      <c r="AT247">
        <f t="shared" si="209"/>
        <v>-54833.583126159676</v>
      </c>
      <c r="AU247">
        <f t="shared" si="210"/>
        <v>-76518.068745829543</v>
      </c>
      <c r="AV247">
        <f t="shared" si="198"/>
        <v>-2.192582915502189</v>
      </c>
      <c r="AW247">
        <f t="shared" si="199"/>
        <v>-19852.011439636412</v>
      </c>
      <c r="AX247">
        <f t="shared" si="200"/>
        <v>-19905.168397135069</v>
      </c>
      <c r="AY247">
        <f t="shared" si="208"/>
        <v>-2.3548574505421205</v>
      </c>
      <c r="BA247">
        <f t="shared" si="184"/>
        <v>3.3485628907763441</v>
      </c>
      <c r="BB247">
        <f t="shared" si="201"/>
        <v>10.497169200343997</v>
      </c>
      <c r="BC247">
        <f t="shared" si="202"/>
        <v>0.1622745350399315</v>
      </c>
      <c r="BD247">
        <f t="shared" si="185"/>
        <v>-170.70235400914004</v>
      </c>
      <c r="BF247">
        <f t="shared" si="186"/>
        <v>-15.768987085963031</v>
      </c>
      <c r="BG247">
        <f t="shared" si="187"/>
        <v>-167.19235767464366</v>
      </c>
      <c r="BH247">
        <f t="shared" si="203"/>
        <v>12.807642325356341</v>
      </c>
      <c r="BI247">
        <f t="shared" si="204"/>
        <v>12.807642325356341</v>
      </c>
      <c r="BJ247">
        <f t="shared" si="188"/>
        <v>0</v>
      </c>
      <c r="BK247">
        <f t="shared" si="205"/>
        <v>0</v>
      </c>
      <c r="BM247">
        <f t="shared" si="206"/>
        <v>-26.26615628630703</v>
      </c>
      <c r="BN247">
        <f t="shared" si="189"/>
        <v>-176.49000366550362</v>
      </c>
      <c r="BQ247" s="56">
        <f t="shared" si="207"/>
        <v>27.399130000629132</v>
      </c>
      <c r="BR247" s="59"/>
      <c r="BS247" s="59"/>
      <c r="BT247" s="59">
        <v>23442.288</v>
      </c>
      <c r="BU247" s="59">
        <v>-3.29522</v>
      </c>
      <c r="BV247" s="59">
        <v>-165.876</v>
      </c>
      <c r="BY247" s="59"/>
      <c r="BZ247" s="59"/>
      <c r="CA247" s="59"/>
      <c r="CC247" s="59"/>
    </row>
    <row r="248" spans="1:81" x14ac:dyDescent="0.2">
      <c r="A248">
        <f t="shared" si="211"/>
        <v>170000</v>
      </c>
      <c r="B248">
        <f t="shared" si="191"/>
        <v>170</v>
      </c>
      <c r="C248">
        <f t="shared" si="159"/>
        <v>1.0008408286211283</v>
      </c>
      <c r="D248">
        <f t="shared" si="160"/>
        <v>4.099365518965821E-2</v>
      </c>
      <c r="F248">
        <f t="shared" si="161"/>
        <v>3.0496544551586583E-3</v>
      </c>
      <c r="G248">
        <f t="shared" si="162"/>
        <v>2.0836457805982717E-2</v>
      </c>
      <c r="H248">
        <f t="shared" si="163"/>
        <v>-3.1207561921940177</v>
      </c>
      <c r="J248">
        <f t="shared" si="164"/>
        <v>15</v>
      </c>
      <c r="M248">
        <f t="shared" si="165"/>
        <v>1.3274992182365653E-3</v>
      </c>
      <c r="N248">
        <f t="shared" si="166"/>
        <v>-1.5707963250000001</v>
      </c>
      <c r="O248">
        <f t="shared" si="167"/>
        <v>159.55142982091408</v>
      </c>
      <c r="P248">
        <f t="shared" si="168"/>
        <v>1.5645287142243689</v>
      </c>
      <c r="Q248">
        <f t="shared" si="169"/>
        <v>23.763272224362648</v>
      </c>
      <c r="R248">
        <f t="shared" si="170"/>
        <v>1.5287021500515012</v>
      </c>
      <c r="S248">
        <f t="shared" si="171"/>
        <v>0.83062952243537969</v>
      </c>
      <c r="T248">
        <f t="shared" si="172"/>
        <v>-0.59055903779027896</v>
      </c>
      <c r="U248">
        <f t="shared" si="173"/>
        <v>0.80653560468511587</v>
      </c>
      <c r="V248">
        <f t="shared" si="174"/>
        <v>-0.63252794130786372</v>
      </c>
      <c r="X248">
        <f t="shared" si="192"/>
        <v>-16.228419372292304</v>
      </c>
      <c r="Y248">
        <f t="shared" si="175"/>
        <v>-159.30604364916431</v>
      </c>
      <c r="Z248">
        <f t="shared" si="193"/>
        <v>20.693956350835691</v>
      </c>
      <c r="AC248">
        <v>1</v>
      </c>
      <c r="AD248">
        <f t="shared" si="176"/>
        <v>159.54829600437</v>
      </c>
      <c r="AE248">
        <f t="shared" si="177"/>
        <v>-3.067562814769802E-2</v>
      </c>
      <c r="AF248">
        <f t="shared" si="178"/>
        <v>4.1849784009179998E-2</v>
      </c>
      <c r="AG248">
        <f t="shared" si="194"/>
        <v>2468.5743554033502</v>
      </c>
      <c r="AH248">
        <f t="shared" si="195"/>
        <v>-1833.3444436527175</v>
      </c>
      <c r="AJ248">
        <f t="shared" si="179"/>
        <v>18000</v>
      </c>
      <c r="AK248">
        <f t="shared" si="180"/>
        <v>12066.5809084968</v>
      </c>
      <c r="AL248">
        <v>1</v>
      </c>
      <c r="AM248">
        <f t="shared" si="181"/>
        <v>23.742222027627601</v>
      </c>
      <c r="AN248">
        <f t="shared" si="196"/>
        <v>539.20871243566125</v>
      </c>
      <c r="AO248">
        <f t="shared" si="197"/>
        <v>-735.43206138187543</v>
      </c>
      <c r="AQ248">
        <f t="shared" si="182"/>
        <v>8.6504442003096857E-2</v>
      </c>
      <c r="AR248">
        <f t="shared" si="183"/>
        <v>-29.411510281052934</v>
      </c>
      <c r="AT248">
        <f t="shared" si="209"/>
        <v>-53707.886306045846</v>
      </c>
      <c r="AU248">
        <f t="shared" si="210"/>
        <v>-72763.092471586904</v>
      </c>
      <c r="AV248">
        <f t="shared" si="198"/>
        <v>-2.2066507126835568</v>
      </c>
      <c r="AW248">
        <f t="shared" si="199"/>
        <v>-18580.883741319329</v>
      </c>
      <c r="AX248">
        <f t="shared" si="200"/>
        <v>-19328.64996389411</v>
      </c>
      <c r="AY248">
        <f t="shared" si="208"/>
        <v>-2.3364720300944573</v>
      </c>
      <c r="BA248">
        <f t="shared" si="184"/>
        <v>3.3731240503655968</v>
      </c>
      <c r="BB248">
        <f t="shared" si="201"/>
        <v>10.560646262850732</v>
      </c>
      <c r="BC248">
        <f t="shared" si="202"/>
        <v>0.12982131741090042</v>
      </c>
      <c r="BD248">
        <f t="shared" si="185"/>
        <v>-172.56178641302779</v>
      </c>
      <c r="BF248">
        <f t="shared" si="186"/>
        <v>-16.225215602837931</v>
      </c>
      <c r="BG248">
        <f t="shared" si="187"/>
        <v>-169.01918188751253</v>
      </c>
      <c r="BH248">
        <f t="shared" si="203"/>
        <v>10.980818112487469</v>
      </c>
      <c r="BI248">
        <f t="shared" si="204"/>
        <v>10.980818112487469</v>
      </c>
      <c r="BJ248">
        <f t="shared" si="188"/>
        <v>0</v>
      </c>
      <c r="BK248">
        <f t="shared" si="205"/>
        <v>0</v>
      </c>
      <c r="BM248">
        <f t="shared" si="206"/>
        <v>-26.785861865688663</v>
      </c>
      <c r="BN248">
        <f t="shared" si="189"/>
        <v>-176.45739547448477</v>
      </c>
      <c r="BQ248" s="56">
        <f t="shared" si="207"/>
        <v>27.46260706313587</v>
      </c>
      <c r="BR248" s="59"/>
      <c r="BS248" s="59"/>
      <c r="BT248" s="59">
        <v>23988.329000000002</v>
      </c>
      <c r="BU248" s="59">
        <v>-3.2437399999999998</v>
      </c>
      <c r="BV248" s="59">
        <v>-164.703</v>
      </c>
      <c r="BY248" s="59"/>
      <c r="BZ248" s="59"/>
      <c r="CA248" s="59"/>
      <c r="CC248" s="59"/>
    </row>
    <row r="249" spans="1:81" x14ac:dyDescent="0.2">
      <c r="A249">
        <f t="shared" si="211"/>
        <v>175000</v>
      </c>
      <c r="B249">
        <f t="shared" si="191"/>
        <v>175</v>
      </c>
      <c r="C249">
        <f t="shared" si="159"/>
        <v>1.0008909941494479</v>
      </c>
      <c r="D249">
        <f t="shared" si="160"/>
        <v>4.2197940547834926E-2</v>
      </c>
      <c r="F249">
        <f t="shared" si="161"/>
        <v>2.8774142202549215E-3</v>
      </c>
      <c r="G249">
        <f t="shared" si="162"/>
        <v>2.0237785569002843E-2</v>
      </c>
      <c r="H249">
        <f t="shared" si="163"/>
        <v>-3.1213548644309972</v>
      </c>
      <c r="J249">
        <f t="shared" si="164"/>
        <v>15</v>
      </c>
      <c r="M249">
        <f t="shared" si="165"/>
        <v>1.289570669144092E-3</v>
      </c>
      <c r="N249">
        <f t="shared" si="166"/>
        <v>-1.5707963250000001</v>
      </c>
      <c r="O249">
        <f t="shared" si="167"/>
        <v>164.24393722628753</v>
      </c>
      <c r="P249">
        <f t="shared" si="168"/>
        <v>1.5647077843786221</v>
      </c>
      <c r="Q249">
        <f t="shared" si="169"/>
        <v>24.460971948219495</v>
      </c>
      <c r="R249">
        <f t="shared" si="170"/>
        <v>1.5299034808097751</v>
      </c>
      <c r="S249">
        <f t="shared" si="171"/>
        <v>0.82304847331853381</v>
      </c>
      <c r="T249">
        <f t="shared" si="172"/>
        <v>-0.60403869150912914</v>
      </c>
      <c r="U249">
        <f t="shared" si="173"/>
        <v>0.79825233923712424</v>
      </c>
      <c r="V249">
        <f t="shared" si="174"/>
        <v>-0.64640824653041662</v>
      </c>
      <c r="X249">
        <f t="shared" si="192"/>
        <v>-16.650915133235358</v>
      </c>
      <c r="Y249">
        <f t="shared" si="175"/>
        <v>-160.75986360363299</v>
      </c>
      <c r="Z249">
        <f t="shared" si="193"/>
        <v>19.240136396367006</v>
      </c>
      <c r="AC249">
        <v>1</v>
      </c>
      <c r="AD249">
        <f t="shared" si="176"/>
        <v>164.240892945675</v>
      </c>
      <c r="AE249">
        <f t="shared" si="177"/>
        <v>-3.2506612872776869E-2</v>
      </c>
      <c r="AF249">
        <f t="shared" si="178"/>
        <v>4.3080660009450003E-2</v>
      </c>
      <c r="AG249">
        <f t="shared" si="194"/>
        <v>2418.129328633574</v>
      </c>
      <c r="AH249">
        <f t="shared" si="195"/>
        <v>-1847.8174184132174</v>
      </c>
      <c r="AJ249">
        <f t="shared" si="179"/>
        <v>18000</v>
      </c>
      <c r="AK249">
        <f t="shared" si="180"/>
        <v>12421.480346982</v>
      </c>
      <c r="AL249">
        <v>1</v>
      </c>
      <c r="AM249">
        <f t="shared" si="181"/>
        <v>24.440522675499</v>
      </c>
      <c r="AN249">
        <f t="shared" si="196"/>
        <v>537.4668744447182</v>
      </c>
      <c r="AO249">
        <f t="shared" si="197"/>
        <v>-714.49098521370922</v>
      </c>
      <c r="AQ249">
        <f t="shared" si="182"/>
        <v>8.1631986677659779E-2</v>
      </c>
      <c r="AR249">
        <f t="shared" si="183"/>
        <v>-28.571195337180921</v>
      </c>
      <c r="AT249">
        <f t="shared" si="209"/>
        <v>-52596.95570778953</v>
      </c>
      <c r="AU249">
        <f t="shared" si="210"/>
        <v>-69239.686405838642</v>
      </c>
      <c r="AV249">
        <f t="shared" si="198"/>
        <v>-2.2204359806589453</v>
      </c>
      <c r="AW249">
        <f t="shared" si="199"/>
        <v>-17420.537566487754</v>
      </c>
      <c r="AX249">
        <f t="shared" si="200"/>
        <v>-18789.187467631578</v>
      </c>
      <c r="AY249">
        <f t="shared" si="208"/>
        <v>-2.3184146210704819</v>
      </c>
      <c r="BA249">
        <f t="shared" si="184"/>
        <v>3.393572570641779</v>
      </c>
      <c r="BB249">
        <f t="shared" si="201"/>
        <v>10.613142817962579</v>
      </c>
      <c r="BC249">
        <f t="shared" si="202"/>
        <v>9.7978640411536588E-2</v>
      </c>
      <c r="BD249">
        <f t="shared" si="185"/>
        <v>-174.38623741557436</v>
      </c>
      <c r="BF249">
        <f t="shared" si="186"/>
        <v>-16.677248658393594</v>
      </c>
      <c r="BG249">
        <f t="shared" si="187"/>
        <v>-170.80893381415714</v>
      </c>
      <c r="BH249">
        <f t="shared" si="203"/>
        <v>9.1910661858428568</v>
      </c>
      <c r="BI249">
        <f t="shared" si="204"/>
        <v>9.1910661858428568</v>
      </c>
      <c r="BJ249">
        <f t="shared" si="188"/>
        <v>0</v>
      </c>
      <c r="BK249">
        <f t="shared" si="205"/>
        <v>0</v>
      </c>
      <c r="BM249">
        <f t="shared" si="206"/>
        <v>-27.290391476356174</v>
      </c>
      <c r="BN249">
        <f t="shared" si="189"/>
        <v>-176.42269639858279</v>
      </c>
      <c r="BQ249" s="56">
        <f t="shared" si="207"/>
        <v>27.515103618247714</v>
      </c>
      <c r="BR249" s="59"/>
      <c r="BS249" s="59"/>
      <c r="BT249" s="59">
        <v>24547.089</v>
      </c>
      <c r="BU249" s="59">
        <v>-3.1709299999999998</v>
      </c>
      <c r="BV249" s="59">
        <v>-163.65100000000001</v>
      </c>
      <c r="BY249" s="59"/>
      <c r="BZ249" s="59"/>
      <c r="CA249" s="59"/>
      <c r="CC249" s="59"/>
    </row>
    <row r="250" spans="1:81" x14ac:dyDescent="0.2">
      <c r="A250">
        <f t="shared" si="211"/>
        <v>180000</v>
      </c>
      <c r="B250">
        <f t="shared" si="191"/>
        <v>180</v>
      </c>
      <c r="C250">
        <f t="shared" si="159"/>
        <v>1.0009426111264723</v>
      </c>
      <c r="D250">
        <f t="shared" si="160"/>
        <v>4.3402103446203467E-2</v>
      </c>
      <c r="F250">
        <f t="shared" si="161"/>
        <v>2.719375865232175E-3</v>
      </c>
      <c r="G250">
        <f t="shared" si="162"/>
        <v>1.9672641013798894E-2</v>
      </c>
      <c r="H250">
        <f t="shared" si="163"/>
        <v>-3.1219200089862014</v>
      </c>
      <c r="J250">
        <f t="shared" si="164"/>
        <v>15</v>
      </c>
      <c r="M250">
        <f t="shared" si="165"/>
        <v>1.253749261667867E-3</v>
      </c>
      <c r="N250">
        <f t="shared" si="166"/>
        <v>-1.5707963250000001</v>
      </c>
      <c r="O250">
        <f t="shared" si="167"/>
        <v>168.93644960574485</v>
      </c>
      <c r="P250">
        <f t="shared" si="168"/>
        <v>1.5648769065497079</v>
      </c>
      <c r="Q250">
        <f t="shared" si="169"/>
        <v>25.158705016030371</v>
      </c>
      <c r="R250">
        <f t="shared" si="170"/>
        <v>1.5310381794789467</v>
      </c>
      <c r="S250">
        <f t="shared" si="171"/>
        <v>0.81546039610761178</v>
      </c>
      <c r="T250">
        <f t="shared" si="172"/>
        <v>-0.61727216252839612</v>
      </c>
      <c r="U250">
        <f t="shared" si="173"/>
        <v>0.78998991013322073</v>
      </c>
      <c r="V250">
        <f t="shared" si="174"/>
        <v>-0.66000378615997046</v>
      </c>
      <c r="X250">
        <f t="shared" si="192"/>
        <v>-17.067671395372809</v>
      </c>
      <c r="Y250">
        <f t="shared" si="175"/>
        <v>-162.18573619846856</v>
      </c>
      <c r="Z250">
        <f t="shared" si="193"/>
        <v>17.814263801531439</v>
      </c>
      <c r="AC250">
        <v>1</v>
      </c>
      <c r="AD250">
        <f t="shared" si="176"/>
        <v>168.93348988698</v>
      </c>
      <c r="AE250">
        <f t="shared" si="177"/>
        <v>-3.4390669618872514E-2</v>
      </c>
      <c r="AF250">
        <f t="shared" si="178"/>
        <v>4.4311536009720001E-2</v>
      </c>
      <c r="AG250">
        <f t="shared" si="194"/>
        <v>2368.3299853799081</v>
      </c>
      <c r="AH250">
        <f t="shared" si="195"/>
        <v>-1860.6543916145006</v>
      </c>
      <c r="AJ250">
        <f t="shared" si="179"/>
        <v>18000</v>
      </c>
      <c r="AK250">
        <f t="shared" si="180"/>
        <v>12776.379785467199</v>
      </c>
      <c r="AL250">
        <v>1</v>
      </c>
      <c r="AM250">
        <f t="shared" si="181"/>
        <v>25.138823323370403</v>
      </c>
      <c r="AN250">
        <f t="shared" si="196"/>
        <v>535.86785797554921</v>
      </c>
      <c r="AO250">
        <f t="shared" si="197"/>
        <v>-694.70762085307535</v>
      </c>
      <c r="AQ250">
        <f t="shared" si="182"/>
        <v>7.7159898457573636E-2</v>
      </c>
      <c r="AR250">
        <f t="shared" si="183"/>
        <v>-27.777563444726507</v>
      </c>
      <c r="AT250">
        <f t="shared" si="209"/>
        <v>-51501.705310594851</v>
      </c>
      <c r="AU250">
        <f t="shared" si="210"/>
        <v>-65930.004330860218</v>
      </c>
      <c r="AV250">
        <f t="shared" si="198"/>
        <v>-2.2339417625667348</v>
      </c>
      <c r="AW250">
        <f t="shared" si="199"/>
        <v>-16358.756684414255</v>
      </c>
      <c r="AX250">
        <f t="shared" si="200"/>
        <v>-18283.107589790801</v>
      </c>
      <c r="AY250">
        <f t="shared" si="208"/>
        <v>-2.3007016573730761</v>
      </c>
      <c r="BA250">
        <f t="shared" si="184"/>
        <v>3.4101118964010961</v>
      </c>
      <c r="BB250">
        <f t="shared" si="201"/>
        <v>10.655372595640213</v>
      </c>
      <c r="BC250">
        <f t="shared" si="202"/>
        <v>6.6759894806341258E-2</v>
      </c>
      <c r="BD250">
        <f t="shared" si="185"/>
        <v>-176.17493978248854</v>
      </c>
      <c r="BF250">
        <f t="shared" si="186"/>
        <v>-17.125233887029172</v>
      </c>
      <c r="BG250">
        <f t="shared" si="187"/>
        <v>-172.56102312693471</v>
      </c>
      <c r="BH250">
        <f t="shared" si="203"/>
        <v>7.4389768730652861</v>
      </c>
      <c r="BI250">
        <f t="shared" si="204"/>
        <v>7.4389768730652861</v>
      </c>
      <c r="BJ250">
        <f t="shared" si="188"/>
        <v>0</v>
      </c>
      <c r="BK250">
        <f t="shared" si="205"/>
        <v>0</v>
      </c>
      <c r="BM250">
        <f t="shared" si="206"/>
        <v>-27.780606482669388</v>
      </c>
      <c r="BN250">
        <f t="shared" si="189"/>
        <v>-176.38608334444618</v>
      </c>
      <c r="BQ250" s="56">
        <f t="shared" si="207"/>
        <v>27.557333395925351</v>
      </c>
      <c r="BR250" s="59"/>
      <c r="BS250" s="59"/>
      <c r="BT250" s="59">
        <v>25118.864000000001</v>
      </c>
      <c r="BU250" s="59">
        <v>-3.1069800000000001</v>
      </c>
      <c r="BV250" s="59">
        <v>-162.52199999999999</v>
      </c>
      <c r="BY250" s="59"/>
      <c r="BZ250" s="59"/>
      <c r="CA250" s="59"/>
      <c r="CC250" s="59"/>
    </row>
    <row r="251" spans="1:81" x14ac:dyDescent="0.2">
      <c r="A251">
        <f t="shared" si="211"/>
        <v>185000</v>
      </c>
      <c r="B251">
        <f t="shared" si="191"/>
        <v>185</v>
      </c>
      <c r="C251">
        <f t="shared" si="159"/>
        <v>1.0009956793276669</v>
      </c>
      <c r="D251">
        <f t="shared" si="160"/>
        <v>4.4606140411892037E-2</v>
      </c>
      <c r="F251">
        <f t="shared" si="161"/>
        <v>2.5740187303686336E-3</v>
      </c>
      <c r="G251">
        <f t="shared" si="162"/>
        <v>1.9138277750433218E-2</v>
      </c>
      <c r="H251">
        <f t="shared" si="163"/>
        <v>-3.122454372249567</v>
      </c>
      <c r="J251">
        <f t="shared" si="164"/>
        <v>15</v>
      </c>
      <c r="M251">
        <f t="shared" si="165"/>
        <v>1.2198641464876544E-3</v>
      </c>
      <c r="N251">
        <f t="shared" si="166"/>
        <v>-1.5707963250000001</v>
      </c>
      <c r="O251">
        <f t="shared" si="167"/>
        <v>173.62896655599596</v>
      </c>
      <c r="P251">
        <f t="shared" si="168"/>
        <v>1.5650368872936382</v>
      </c>
      <c r="Q251">
        <f t="shared" si="169"/>
        <v>25.856468728450096</v>
      </c>
      <c r="R251">
        <f t="shared" si="170"/>
        <v>1.5321116374202541</v>
      </c>
      <c r="S251">
        <f t="shared" si="171"/>
        <v>0.80787334576978609</v>
      </c>
      <c r="T251">
        <f t="shared" si="172"/>
        <v>-0.63026162481851278</v>
      </c>
      <c r="U251">
        <f t="shared" si="173"/>
        <v>0.78175669824380056</v>
      </c>
      <c r="V251">
        <f t="shared" si="174"/>
        <v>-0.67331836133361267</v>
      </c>
      <c r="X251">
        <f t="shared" si="192"/>
        <v>-17.478941702600689</v>
      </c>
      <c r="Y251">
        <f t="shared" si="175"/>
        <v>-163.58380622314712</v>
      </c>
      <c r="Z251">
        <f t="shared" si="193"/>
        <v>16.416193776852879</v>
      </c>
      <c r="AC251">
        <v>1</v>
      </c>
      <c r="AD251">
        <f t="shared" si="176"/>
        <v>173.626086828285</v>
      </c>
      <c r="AE251">
        <f t="shared" si="177"/>
        <v>-3.6327798385984933E-2</v>
      </c>
      <c r="AF251">
        <f t="shared" si="178"/>
        <v>4.5542412009989999E-2</v>
      </c>
      <c r="AG251">
        <f t="shared" si="194"/>
        <v>2319.2221321586298</v>
      </c>
      <c r="AH251">
        <f t="shared" si="195"/>
        <v>-1871.9305866073191</v>
      </c>
      <c r="AJ251">
        <f t="shared" si="179"/>
        <v>18000</v>
      </c>
      <c r="AK251">
        <f t="shared" si="180"/>
        <v>13131.279223952401</v>
      </c>
      <c r="AL251">
        <v>1</v>
      </c>
      <c r="AM251">
        <f t="shared" si="181"/>
        <v>25.837123971241802</v>
      </c>
      <c r="AN251">
        <f t="shared" si="196"/>
        <v>534.39647257284037</v>
      </c>
      <c r="AO251">
        <f t="shared" si="197"/>
        <v>-675.98868770639388</v>
      </c>
      <c r="AQ251">
        <f t="shared" si="182"/>
        <v>7.3045485423773385E-2</v>
      </c>
      <c r="AR251">
        <f t="shared" si="183"/>
        <v>-27.026829606796152</v>
      </c>
      <c r="AT251">
        <f t="shared" si="209"/>
        <v>-50422.940293536893</v>
      </c>
      <c r="AU251">
        <f t="shared" si="210"/>
        <v>-62817.957464540093</v>
      </c>
      <c r="AV251">
        <f t="shared" si="198"/>
        <v>-2.2471714315077582</v>
      </c>
      <c r="AW251">
        <f t="shared" si="199"/>
        <v>-15384.9470179618</v>
      </c>
      <c r="AX251">
        <f t="shared" si="200"/>
        <v>-17807.20907648667</v>
      </c>
      <c r="AY251">
        <f t="shared" si="208"/>
        <v>-2.2833466850460047</v>
      </c>
      <c r="BA251">
        <f t="shared" si="184"/>
        <v>3.4229504199706908</v>
      </c>
      <c r="BB251">
        <f t="shared" si="201"/>
        <v>10.688012172128944</v>
      </c>
      <c r="BC251">
        <f t="shared" si="202"/>
        <v>3.6175253538246466E-2</v>
      </c>
      <c r="BD251">
        <f t="shared" si="185"/>
        <v>-177.92731064707439</v>
      </c>
      <c r="BF251">
        <f t="shared" si="186"/>
        <v>-17.569284532411118</v>
      </c>
      <c r="BG251">
        <f t="shared" si="187"/>
        <v>-174.27502451468271</v>
      </c>
      <c r="BH251">
        <f t="shared" si="203"/>
        <v>5.7249754853172874</v>
      </c>
      <c r="BI251">
        <f t="shared" si="204"/>
        <v>5.7249754853172874</v>
      </c>
      <c r="BJ251">
        <f t="shared" si="188"/>
        <v>0</v>
      </c>
      <c r="BK251">
        <f t="shared" si="205"/>
        <v>0</v>
      </c>
      <c r="BM251">
        <f t="shared" si="206"/>
        <v>-28.25729670454006</v>
      </c>
      <c r="BN251">
        <f t="shared" si="189"/>
        <v>-176.34771386760832</v>
      </c>
      <c r="BQ251" s="56">
        <f t="shared" si="207"/>
        <v>27.589972972414081</v>
      </c>
      <c r="BR251" s="59"/>
      <c r="BS251" s="59"/>
      <c r="BT251" s="59">
        <v>25703.957999999999</v>
      </c>
      <c r="BU251" s="59">
        <v>-3.0172699999999999</v>
      </c>
      <c r="BV251" s="59">
        <v>-161.32599999999999</v>
      </c>
      <c r="BY251" s="59"/>
      <c r="BZ251" s="59"/>
      <c r="CA251" s="59"/>
      <c r="CC251" s="59"/>
    </row>
    <row r="252" spans="1:81" x14ac:dyDescent="0.2">
      <c r="A252">
        <f t="shared" si="211"/>
        <v>190000</v>
      </c>
      <c r="B252">
        <f t="shared" si="191"/>
        <v>190</v>
      </c>
      <c r="C252">
        <f t="shared" si="159"/>
        <v>1.001050198522232</v>
      </c>
      <c r="D252">
        <f t="shared" si="160"/>
        <v>4.5810047974215708E-2</v>
      </c>
      <c r="F252">
        <f t="shared" si="161"/>
        <v>2.4400205139782443E-3</v>
      </c>
      <c r="G252">
        <f t="shared" si="162"/>
        <v>1.8632242029496305E-2</v>
      </c>
      <c r="H252">
        <f t="shared" si="163"/>
        <v>-3.122960407970504</v>
      </c>
      <c r="J252">
        <f t="shared" si="164"/>
        <v>15</v>
      </c>
      <c r="M252">
        <f t="shared" si="165"/>
        <v>1.1877624584221899E-3</v>
      </c>
      <c r="N252">
        <f t="shared" si="166"/>
        <v>-1.5707963250000001</v>
      </c>
      <c r="O252">
        <f t="shared" si="167"/>
        <v>178.32148771620047</v>
      </c>
      <c r="P252">
        <f t="shared" si="168"/>
        <v>1.5651884482704961</v>
      </c>
      <c r="Q252">
        <f t="shared" si="169"/>
        <v>26.554260669742607</v>
      </c>
      <c r="R252">
        <f t="shared" si="170"/>
        <v>1.5331286799015911</v>
      </c>
      <c r="S252">
        <f t="shared" si="171"/>
        <v>0.80029486720947096</v>
      </c>
      <c r="T252">
        <f t="shared" si="172"/>
        <v>-0.64300950230640908</v>
      </c>
      <c r="U252">
        <f t="shared" si="173"/>
        <v>0.77356042047166262</v>
      </c>
      <c r="V252">
        <f t="shared" si="174"/>
        <v>-0.68635601625883202</v>
      </c>
      <c r="X252">
        <f t="shared" si="192"/>
        <v>-17.88495295175538</v>
      </c>
      <c r="Y252">
        <f t="shared" si="175"/>
        <v>-164.95426724725101</v>
      </c>
      <c r="Z252">
        <f t="shared" si="193"/>
        <v>15.045732752748989</v>
      </c>
      <c r="AC252">
        <v>1</v>
      </c>
      <c r="AD252">
        <f t="shared" si="176"/>
        <v>178.31868376959</v>
      </c>
      <c r="AE252">
        <f t="shared" si="177"/>
        <v>-3.8317999174114131E-2</v>
      </c>
      <c r="AF252">
        <f t="shared" si="178"/>
        <v>4.6773288010260004E-2</v>
      </c>
      <c r="AG252">
        <f t="shared" si="194"/>
        <v>2270.8455986584695</v>
      </c>
      <c r="AH252">
        <f t="shared" si="195"/>
        <v>-1881.7206041753891</v>
      </c>
      <c r="AJ252">
        <f t="shared" si="179"/>
        <v>18000</v>
      </c>
      <c r="AK252">
        <f t="shared" si="180"/>
        <v>13486.1786624376</v>
      </c>
      <c r="AL252">
        <v>1</v>
      </c>
      <c r="AM252">
        <f t="shared" si="181"/>
        <v>26.535424619113204</v>
      </c>
      <c r="AN252">
        <f t="shared" si="196"/>
        <v>533.03949401815407</v>
      </c>
      <c r="AO252">
        <f t="shared" si="197"/>
        <v>-658.25065009137143</v>
      </c>
      <c r="AQ252">
        <f t="shared" si="182"/>
        <v>6.92515979806234E-2</v>
      </c>
      <c r="AR252">
        <f t="shared" si="183"/>
        <v>-26.315607232636893</v>
      </c>
      <c r="AT252">
        <f t="shared" si="209"/>
        <v>-49361.360654565375</v>
      </c>
      <c r="AU252">
        <f t="shared" si="210"/>
        <v>-59888.993019050678</v>
      </c>
      <c r="AV252">
        <f t="shared" si="198"/>
        <v>-2.260128648705479</v>
      </c>
      <c r="AW252">
        <f t="shared" si="199"/>
        <v>-14489.885508103545</v>
      </c>
      <c r="AX252">
        <f t="shared" si="200"/>
        <v>-17358.690034550476</v>
      </c>
      <c r="AY252">
        <f t="shared" si="208"/>
        <v>-2.2663605460710454</v>
      </c>
      <c r="BA252">
        <f t="shared" si="184"/>
        <v>3.4322991551284341</v>
      </c>
      <c r="BB252">
        <f t="shared" si="201"/>
        <v>10.711702668378631</v>
      </c>
      <c r="BC252">
        <f t="shared" si="202"/>
        <v>6.2318973655663967E-3</v>
      </c>
      <c r="BD252">
        <f t="shared" si="185"/>
        <v>-179.64293858218636</v>
      </c>
      <c r="BF252">
        <f t="shared" si="186"/>
        <v>-18.009485476662679</v>
      </c>
      <c r="BG252">
        <f t="shared" si="187"/>
        <v>-175.95066733859653</v>
      </c>
      <c r="BH252">
        <f t="shared" si="203"/>
        <v>4.0493326614034686</v>
      </c>
      <c r="BI252">
        <f t="shared" si="204"/>
        <v>4.0493326614034686</v>
      </c>
      <c r="BJ252">
        <f t="shared" si="188"/>
        <v>0</v>
      </c>
      <c r="BK252">
        <f t="shared" si="205"/>
        <v>0</v>
      </c>
      <c r="BM252">
        <f t="shared" si="206"/>
        <v>-28.721188145041307</v>
      </c>
      <c r="BN252">
        <f t="shared" si="189"/>
        <v>-176.3077287564102</v>
      </c>
      <c r="BQ252" s="56">
        <f t="shared" si="207"/>
        <v>27.613663468663766</v>
      </c>
      <c r="BR252" s="59"/>
      <c r="BS252" s="59"/>
      <c r="BT252" s="59">
        <v>26302.68</v>
      </c>
      <c r="BU252" s="59">
        <v>-2.9494799999999999</v>
      </c>
      <c r="BV252" s="59">
        <v>-160.22999999999999</v>
      </c>
      <c r="BY252" s="59"/>
      <c r="BZ252" s="59"/>
      <c r="CA252" s="59"/>
      <c r="CC252" s="59"/>
    </row>
    <row r="253" spans="1:81" x14ac:dyDescent="0.2">
      <c r="A253">
        <f t="shared" si="211"/>
        <v>195000</v>
      </c>
      <c r="B253">
        <f t="shared" si="191"/>
        <v>195</v>
      </c>
      <c r="C253">
        <f t="shared" si="159"/>
        <v>1.0011061684731095</v>
      </c>
      <c r="D253">
        <f t="shared" si="160"/>
        <v>4.7013822664735964E-2</v>
      </c>
      <c r="F253">
        <f t="shared" si="161"/>
        <v>2.3162269933932646E-3</v>
      </c>
      <c r="G253">
        <f t="shared" si="162"/>
        <v>1.8152334696623126E-2</v>
      </c>
      <c r="H253">
        <f t="shared" si="163"/>
        <v>-3.1234403153033772</v>
      </c>
      <c r="J253">
        <f t="shared" si="164"/>
        <v>15</v>
      </c>
      <c r="M253">
        <f t="shared" si="165"/>
        <v>1.1573070107703388E-3</v>
      </c>
      <c r="N253">
        <f t="shared" si="166"/>
        <v>-1.5707963250000001</v>
      </c>
      <c r="O253">
        <f t="shared" si="167"/>
        <v>183.01401276252594</v>
      </c>
      <c r="P253">
        <f t="shared" si="168"/>
        <v>1.5653322371278344</v>
      </c>
      <c r="Q253">
        <f t="shared" si="169"/>
        <v>27.252078671499458</v>
      </c>
      <c r="R253">
        <f t="shared" si="170"/>
        <v>1.5340936384641557</v>
      </c>
      <c r="S253">
        <f t="shared" si="171"/>
        <v>0.79273200676233424</v>
      </c>
      <c r="T253">
        <f t="shared" si="172"/>
        <v>-0.65551844370365631</v>
      </c>
      <c r="U253">
        <f t="shared" si="173"/>
        <v>0.76540815565476927</v>
      </c>
      <c r="V253">
        <f t="shared" si="174"/>
        <v>-0.69912100532935983</v>
      </c>
      <c r="X253">
        <f t="shared" si="192"/>
        <v>-18.285908895554741</v>
      </c>
      <c r="Y253">
        <f t="shared" si="175"/>
        <v>-166.29735570406942</v>
      </c>
      <c r="Z253">
        <f t="shared" si="193"/>
        <v>13.702644295930583</v>
      </c>
      <c r="AC253">
        <v>1</v>
      </c>
      <c r="AD253">
        <f t="shared" si="176"/>
        <v>183.01128071089499</v>
      </c>
      <c r="AE253">
        <f t="shared" si="177"/>
        <v>-4.0361271983260102E-2</v>
      </c>
      <c r="AF253">
        <f t="shared" si="178"/>
        <v>4.8004164010530002E-2</v>
      </c>
      <c r="AG253">
        <f t="shared" si="194"/>
        <v>2223.2346148456954</v>
      </c>
      <c r="AH253">
        <f t="shared" si="195"/>
        <v>-1890.098053837223</v>
      </c>
      <c r="AJ253">
        <f t="shared" si="179"/>
        <v>18000</v>
      </c>
      <c r="AK253">
        <f t="shared" si="180"/>
        <v>13841.078100922799</v>
      </c>
      <c r="AL253">
        <v>1</v>
      </c>
      <c r="AM253">
        <f t="shared" si="181"/>
        <v>27.2337252669846</v>
      </c>
      <c r="AN253">
        <f t="shared" si="196"/>
        <v>531.78536677445663</v>
      </c>
      <c r="AO253">
        <f t="shared" si="197"/>
        <v>-641.41847881539115</v>
      </c>
      <c r="AQ253">
        <f t="shared" si="182"/>
        <v>6.5745787338676268E-2</v>
      </c>
      <c r="AR253">
        <f t="shared" si="183"/>
        <v>-25.640857062083747</v>
      </c>
      <c r="AT253">
        <f t="shared" si="209"/>
        <v>-48317.565721571278</v>
      </c>
      <c r="AU253">
        <f t="shared" si="210"/>
        <v>-57129.906959432119</v>
      </c>
      <c r="AV253">
        <f t="shared" si="198"/>
        <v>-2.2728173248465287</v>
      </c>
      <c r="AW253">
        <f t="shared" si="199"/>
        <v>-13665.513207802804</v>
      </c>
      <c r="AX253">
        <f t="shared" si="200"/>
        <v>-16935.088150607065</v>
      </c>
      <c r="AY253">
        <f t="shared" si="208"/>
        <v>-2.2497515687385743</v>
      </c>
      <c r="BA253">
        <f t="shared" si="184"/>
        <v>3.4383696202399601</v>
      </c>
      <c r="BB253">
        <f t="shared" si="201"/>
        <v>10.727051218994166</v>
      </c>
      <c r="BC253">
        <f t="shared" si="202"/>
        <v>-2.306575610795436E-2</v>
      </c>
      <c r="BD253">
        <f t="shared" si="185"/>
        <v>-181.321570477774</v>
      </c>
      <c r="BF253">
        <f t="shared" si="186"/>
        <v>-18.445898480952362</v>
      </c>
      <c r="BG253">
        <f t="shared" si="187"/>
        <v>-177.5878246896163</v>
      </c>
      <c r="BH253">
        <f t="shared" si="203"/>
        <v>2.4121753103837023</v>
      </c>
      <c r="BI253">
        <f t="shared" si="204"/>
        <v>2.4121753103837023</v>
      </c>
      <c r="BJ253">
        <f t="shared" si="188"/>
        <v>0</v>
      </c>
      <c r="BK253">
        <f t="shared" si="205"/>
        <v>0</v>
      </c>
      <c r="BM253">
        <f t="shared" si="206"/>
        <v>-29.172949699946532</v>
      </c>
      <c r="BN253">
        <f t="shared" si="189"/>
        <v>-176.26625421184232</v>
      </c>
      <c r="BQ253" s="56">
        <f t="shared" si="207"/>
        <v>27.629012019279301</v>
      </c>
      <c r="BR253" s="59"/>
      <c r="BS253" s="59"/>
      <c r="BT253" s="59">
        <v>26915.348000000002</v>
      </c>
      <c r="BU253" s="59">
        <v>-2.8411300000000002</v>
      </c>
      <c r="BV253" s="59">
        <v>-159.27600000000001</v>
      </c>
      <c r="BY253" s="59"/>
      <c r="BZ253" s="59"/>
      <c r="CA253" s="59"/>
      <c r="CC253" s="59"/>
    </row>
    <row r="254" spans="1:81" x14ac:dyDescent="0.2">
      <c r="A254">
        <f t="shared" si="211"/>
        <v>200000</v>
      </c>
      <c r="B254">
        <f t="shared" si="191"/>
        <v>200</v>
      </c>
      <c r="C254">
        <f t="shared" si="159"/>
        <v>1.0011635889369859</v>
      </c>
      <c r="D254">
        <f t="shared" si="160"/>
        <v>4.821746101732019E-2</v>
      </c>
      <c r="F254">
        <f t="shared" si="161"/>
        <v>2.2016270077199725E-3</v>
      </c>
      <c r="G254">
        <f t="shared" si="162"/>
        <v>1.7696578943188584E-2</v>
      </c>
      <c r="H254">
        <f t="shared" si="163"/>
        <v>-3.1238960710568118</v>
      </c>
      <c r="J254">
        <f t="shared" si="164"/>
        <v>15</v>
      </c>
      <c r="M254">
        <f t="shared" si="165"/>
        <v>1.1283743355010804E-3</v>
      </c>
      <c r="N254">
        <f t="shared" si="166"/>
        <v>-1.5707963250000001</v>
      </c>
      <c r="O254">
        <f t="shared" si="167"/>
        <v>187.70654140352184</v>
      </c>
      <c r="P254">
        <f t="shared" si="168"/>
        <v>1.5654688367516794</v>
      </c>
      <c r="Q254">
        <f t="shared" si="169"/>
        <v>27.949920781787331</v>
      </c>
      <c r="R254">
        <f t="shared" si="170"/>
        <v>1.5350104124693011</v>
      </c>
      <c r="S254">
        <f t="shared" si="171"/>
        <v>0.78519132556440985</v>
      </c>
      <c r="T254">
        <f t="shared" si="172"/>
        <v>-0.66779129850008634</v>
      </c>
      <c r="U254">
        <f t="shared" si="173"/>
        <v>0.75730637191874051</v>
      </c>
      <c r="V254">
        <f t="shared" si="174"/>
        <v>-0.7116177623858948</v>
      </c>
      <c r="X254">
        <f t="shared" si="192"/>
        <v>-18.681993152261246</v>
      </c>
      <c r="Y254">
        <f t="shared" si="175"/>
        <v>-167.61334554523117</v>
      </c>
      <c r="Z254">
        <f t="shared" si="193"/>
        <v>12.386654454768831</v>
      </c>
      <c r="AC254">
        <v>1</v>
      </c>
      <c r="AD254">
        <f t="shared" si="176"/>
        <v>187.70387765219999</v>
      </c>
      <c r="AE254">
        <f t="shared" si="177"/>
        <v>-4.2457616813422853E-2</v>
      </c>
      <c r="AF254">
        <f t="shared" si="178"/>
        <v>4.9235040010800001E-2</v>
      </c>
      <c r="AG254">
        <f t="shared" si="194"/>
        <v>2176.4181882176604</v>
      </c>
      <c r="AH254">
        <f t="shared" si="195"/>
        <v>-1897.1352402805071</v>
      </c>
      <c r="AJ254">
        <f t="shared" si="179"/>
        <v>18000</v>
      </c>
      <c r="AK254">
        <f t="shared" si="180"/>
        <v>14195.977539407999</v>
      </c>
      <c r="AL254">
        <v>1</v>
      </c>
      <c r="AM254">
        <f t="shared" si="181"/>
        <v>27.932025914856002</v>
      </c>
      <c r="AN254">
        <f t="shared" si="196"/>
        <v>530.62395764886219</v>
      </c>
      <c r="AO254">
        <f t="shared" si="197"/>
        <v>-625.42459668347328</v>
      </c>
      <c r="AQ254">
        <f t="shared" si="182"/>
        <v>6.2499609377441388E-2</v>
      </c>
      <c r="AR254">
        <f t="shared" si="183"/>
        <v>-24.999843750976556</v>
      </c>
      <c r="AT254">
        <f t="shared" si="209"/>
        <v>-47292.059294878483</v>
      </c>
      <c r="AU254">
        <f t="shared" si="210"/>
        <v>-54528.684853678707</v>
      </c>
      <c r="AV254">
        <f t="shared" si="198"/>
        <v>-2.2852415844323222</v>
      </c>
      <c r="AW254">
        <f t="shared" si="199"/>
        <v>-12904.763916303911</v>
      </c>
      <c r="AX254">
        <f t="shared" si="200"/>
        <v>-16534.231243016537</v>
      </c>
      <c r="AY254">
        <f t="shared" si="208"/>
        <v>-2.2335257620769529</v>
      </c>
      <c r="BA254">
        <f t="shared" si="184"/>
        <v>3.4413719481657776</v>
      </c>
      <c r="BB254">
        <f t="shared" si="201"/>
        <v>10.734632285933124</v>
      </c>
      <c r="BC254">
        <f t="shared" si="202"/>
        <v>-5.1715822355369312E-2</v>
      </c>
      <c r="BD254">
        <f t="shared" si="185"/>
        <v>-182.96309835839682</v>
      </c>
      <c r="BF254">
        <f t="shared" si="186"/>
        <v>-18.878566720392303</v>
      </c>
      <c r="BG254">
        <f t="shared" si="187"/>
        <v>-179.1865020536876</v>
      </c>
      <c r="BH254">
        <f t="shared" si="203"/>
        <v>0.81349794631239547</v>
      </c>
      <c r="BI254">
        <f t="shared" si="204"/>
        <v>0.81349794631239547</v>
      </c>
      <c r="BJ254">
        <f t="shared" si="188"/>
        <v>0</v>
      </c>
      <c r="BK254">
        <f t="shared" si="205"/>
        <v>0</v>
      </c>
      <c r="BM254">
        <f t="shared" si="206"/>
        <v>-29.613199006325427</v>
      </c>
      <c r="BN254">
        <f t="shared" si="189"/>
        <v>-176.22340369529081</v>
      </c>
      <c r="BQ254" s="56">
        <f t="shared" si="207"/>
        <v>27.636593086218259</v>
      </c>
      <c r="BR254" s="59"/>
      <c r="BS254" s="59"/>
      <c r="BT254" s="59">
        <v>27542.287</v>
      </c>
      <c r="BU254" s="59">
        <v>-2.7366600000000001</v>
      </c>
      <c r="BV254" s="59">
        <v>-158.108</v>
      </c>
      <c r="BY254" s="59"/>
      <c r="BZ254" s="59"/>
      <c r="CA254" s="59"/>
      <c r="CC254" s="59"/>
    </row>
    <row r="255" spans="1:81" x14ac:dyDescent="0.2">
      <c r="A255">
        <f t="shared" si="211"/>
        <v>205000</v>
      </c>
      <c r="B255">
        <f t="shared" si="191"/>
        <v>205</v>
      </c>
      <c r="C255">
        <f t="shared" si="159"/>
        <v>1.0012224596642987</v>
      </c>
      <c r="D255">
        <f t="shared" si="160"/>
        <v>4.9420959568200994E-2</v>
      </c>
      <c r="F255">
        <f t="shared" si="161"/>
        <v>2.0953316821033315E-3</v>
      </c>
      <c r="G255">
        <f t="shared" si="162"/>
        <v>1.7263192846689524E-2</v>
      </c>
      <c r="H255">
        <f t="shared" si="163"/>
        <v>-3.1243294571533107</v>
      </c>
      <c r="J255">
        <f t="shared" si="164"/>
        <v>15</v>
      </c>
      <c r="M255">
        <f t="shared" si="165"/>
        <v>1.1008530102449565E-3</v>
      </c>
      <c r="N255">
        <f t="shared" si="166"/>
        <v>-1.5707963250000001</v>
      </c>
      <c r="O255">
        <f t="shared" si="167"/>
        <v>192.39907337617095</v>
      </c>
      <c r="P255">
        <f t="shared" si="168"/>
        <v>1.5655987731638232</v>
      </c>
      <c r="Q255">
        <f t="shared" si="169"/>
        <v>28.647785238800125</v>
      </c>
      <c r="R255">
        <f t="shared" si="170"/>
        <v>1.5358825216662686</v>
      </c>
      <c r="S255">
        <f t="shared" si="171"/>
        <v>0.77767891446668458</v>
      </c>
      <c r="T255">
        <f t="shared" si="172"/>
        <v>-0.67983109416936793</v>
      </c>
      <c r="U255">
        <f t="shared" si="173"/>
        <v>0.74926095503541412</v>
      </c>
      <c r="V255">
        <f t="shared" si="174"/>
        <v>-0.72385087211040922</v>
      </c>
      <c r="X255">
        <f t="shared" si="192"/>
        <v>-19.073371797255671</v>
      </c>
      <c r="Y255">
        <f t="shared" si="175"/>
        <v>-168.9025434046209</v>
      </c>
      <c r="Z255">
        <f t="shared" si="193"/>
        <v>11.0974565953791</v>
      </c>
      <c r="AC255">
        <v>1</v>
      </c>
      <c r="AD255">
        <f t="shared" si="176"/>
        <v>192.39647459350499</v>
      </c>
      <c r="AE255">
        <f t="shared" si="177"/>
        <v>-4.4607033664602391E-2</v>
      </c>
      <c r="AF255">
        <f t="shared" si="178"/>
        <v>5.0465916011070006E-2</v>
      </c>
      <c r="AG255">
        <f t="shared" si="194"/>
        <v>2130.4204770502952</v>
      </c>
      <c r="AH255">
        <f t="shared" si="195"/>
        <v>-1902.9029002163688</v>
      </c>
      <c r="AJ255">
        <f t="shared" si="179"/>
        <v>18000</v>
      </c>
      <c r="AK255">
        <f t="shared" si="180"/>
        <v>14550.876977893202</v>
      </c>
      <c r="AL255">
        <v>1</v>
      </c>
      <c r="AM255">
        <f t="shared" si="181"/>
        <v>28.630326562727401</v>
      </c>
      <c r="AN255">
        <f t="shared" si="196"/>
        <v>529.54635084418794</v>
      </c>
      <c r="AO255">
        <f t="shared" si="197"/>
        <v>-610.20797687651418</v>
      </c>
      <c r="AQ255">
        <f t="shared" si="182"/>
        <v>5.9488045877180984E-2</v>
      </c>
      <c r="AR255">
        <f t="shared" si="183"/>
        <v>-24.390098809644201</v>
      </c>
      <c r="AT255">
        <f t="shared" si="209"/>
        <v>-46285.255210359297</v>
      </c>
      <c r="AU255">
        <f t="shared" si="210"/>
        <v>-52074.365916373928</v>
      </c>
      <c r="AV255">
        <f t="shared" si="198"/>
        <v>-2.2974057329825728</v>
      </c>
      <c r="AW255">
        <f t="shared" si="199"/>
        <v>-12201.421539391959</v>
      </c>
      <c r="AX255">
        <f t="shared" si="200"/>
        <v>-16154.19613143077</v>
      </c>
      <c r="AY255">
        <f t="shared" si="208"/>
        <v>-2.2176870116911793</v>
      </c>
      <c r="BA255">
        <f t="shared" si="184"/>
        <v>3.4415132315381678</v>
      </c>
      <c r="BB255">
        <f t="shared" si="201"/>
        <v>10.734988872378606</v>
      </c>
      <c r="BC255">
        <f t="shared" si="202"/>
        <v>-7.9718721291393457E-2</v>
      </c>
      <c r="BD255">
        <f t="shared" si="185"/>
        <v>-184.56754628339573</v>
      </c>
      <c r="BF255">
        <f t="shared" si="186"/>
        <v>-19.307518687312822</v>
      </c>
      <c r="BG255">
        <f t="shared" si="187"/>
        <v>-180.74682578524957</v>
      </c>
      <c r="BH255">
        <f t="shared" si="203"/>
        <v>-0.74682578524956966</v>
      </c>
      <c r="BI255">
        <f t="shared" si="204"/>
        <v>-0.74682578524956966</v>
      </c>
      <c r="BJ255">
        <f t="shared" si="188"/>
        <v>0</v>
      </c>
      <c r="BK255">
        <f t="shared" si="205"/>
        <v>0</v>
      </c>
      <c r="BM255">
        <f t="shared" si="206"/>
        <v>-30.04250755969143</v>
      </c>
      <c r="BN255">
        <f t="shared" si="189"/>
        <v>-176.17927950185384</v>
      </c>
      <c r="BQ255" s="56">
        <f t="shared" si="207"/>
        <v>27.636949672663743</v>
      </c>
      <c r="BR255" s="59"/>
      <c r="BS255" s="59"/>
      <c r="BT255" s="59">
        <v>28183.829000000002</v>
      </c>
      <c r="BU255" s="59">
        <v>-2.6523400000000001</v>
      </c>
      <c r="BV255" s="59">
        <v>-157.06299999999999</v>
      </c>
      <c r="BY255" s="59"/>
      <c r="BZ255" s="59"/>
      <c r="CA255" s="59"/>
      <c r="CC255" s="59"/>
    </row>
    <row r="256" spans="1:81" x14ac:dyDescent="0.2">
      <c r="A256">
        <f t="shared" si="211"/>
        <v>210000</v>
      </c>
      <c r="B256">
        <f t="shared" si="191"/>
        <v>210</v>
      </c>
      <c r="C256">
        <f t="shared" si="159"/>
        <v>1.0012827803992423</v>
      </c>
      <c r="D256">
        <f t="shared" si="160"/>
        <v>5.0624314856035475E-2</v>
      </c>
      <c r="F256">
        <f t="shared" si="161"/>
        <v>1.9965570906464031E-3</v>
      </c>
      <c r="G256">
        <f t="shared" si="162"/>
        <v>1.6850565889548599E-2</v>
      </c>
      <c r="H256">
        <f t="shared" si="163"/>
        <v>-3.1247420841104514</v>
      </c>
      <c r="J256">
        <f t="shared" si="164"/>
        <v>15</v>
      </c>
      <c r="M256">
        <f t="shared" si="165"/>
        <v>1.0746422242867433E-3</v>
      </c>
      <c r="N256">
        <f t="shared" si="166"/>
        <v>-1.5707963250000001</v>
      </c>
      <c r="O256">
        <f t="shared" si="167"/>
        <v>197.09160844250434</v>
      </c>
      <c r="P256">
        <f t="shared" si="168"/>
        <v>1.5657225222910045</v>
      </c>
      <c r="Q256">
        <f t="shared" si="169"/>
        <v>29.345670448266752</v>
      </c>
      <c r="R256">
        <f t="shared" si="170"/>
        <v>1.536713151272239</v>
      </c>
      <c r="S256">
        <f t="shared" si="171"/>
        <v>0.77020041019151997</v>
      </c>
      <c r="T256">
        <f t="shared" si="172"/>
        <v>-0.69164101461540672</v>
      </c>
      <c r="U256">
        <f t="shared" si="173"/>
        <v>0.74127723739606799</v>
      </c>
      <c r="V256">
        <f t="shared" si="174"/>
        <v>-0.73582504352115308</v>
      </c>
      <c r="X256">
        <f t="shared" si="192"/>
        <v>-19.460195598957299</v>
      </c>
      <c r="Y256">
        <f t="shared" si="175"/>
        <v>-170.16528421945213</v>
      </c>
      <c r="Z256">
        <f t="shared" si="193"/>
        <v>9.8347157805478673</v>
      </c>
      <c r="AC256">
        <v>1</v>
      </c>
      <c r="AD256">
        <f t="shared" si="176"/>
        <v>197.08907153480999</v>
      </c>
      <c r="AE256">
        <f t="shared" si="177"/>
        <v>-4.6809522536798709E-2</v>
      </c>
      <c r="AF256">
        <f t="shared" si="178"/>
        <v>5.1696792011339997E-2</v>
      </c>
      <c r="AG256">
        <f t="shared" si="194"/>
        <v>2085.2611561873964</v>
      </c>
      <c r="AH256">
        <f t="shared" si="195"/>
        <v>-1907.4699850627901</v>
      </c>
      <c r="AJ256">
        <f t="shared" si="179"/>
        <v>18000</v>
      </c>
      <c r="AK256">
        <f t="shared" si="180"/>
        <v>14905.776416378401</v>
      </c>
      <c r="AL256">
        <v>1</v>
      </c>
      <c r="AM256">
        <f t="shared" si="181"/>
        <v>29.328627210598803</v>
      </c>
      <c r="AN256">
        <f t="shared" si="196"/>
        <v>528.54467664147614</v>
      </c>
      <c r="AO256">
        <f t="shared" si="197"/>
        <v>-595.71336898593984</v>
      </c>
      <c r="AQ256">
        <f t="shared" si="182"/>
        <v>5.6689021037295707E-2</v>
      </c>
      <c r="AR256">
        <f t="shared" si="183"/>
        <v>-23.809388835664198</v>
      </c>
      <c r="AT256">
        <f t="shared" si="209"/>
        <v>-45297.483153167188</v>
      </c>
      <c r="AU256">
        <f t="shared" si="210"/>
        <v>-49756.926297683647</v>
      </c>
      <c r="AV256">
        <f t="shared" si="198"/>
        <v>-2.3093142269381284</v>
      </c>
      <c r="AW256">
        <f t="shared" si="199"/>
        <v>-11550.000797027607</v>
      </c>
      <c r="AX256">
        <f t="shared" si="200"/>
        <v>-15793.274244419681</v>
      </c>
      <c r="AY256">
        <f t="shared" si="208"/>
        <v>-2.202237274423684</v>
      </c>
      <c r="BA256">
        <f t="shared" si="184"/>
        <v>3.4389961042486932</v>
      </c>
      <c r="BB256">
        <f t="shared" si="201"/>
        <v>10.728633676927309</v>
      </c>
      <c r="BC256">
        <f t="shared" si="202"/>
        <v>-0.10707695251444438</v>
      </c>
      <c r="BD256">
        <f t="shared" si="185"/>
        <v>-186.13505746921072</v>
      </c>
      <c r="BF256">
        <f t="shared" si="186"/>
        <v>-19.732771530061065</v>
      </c>
      <c r="BG256">
        <f t="shared" si="187"/>
        <v>-182.26903157492259</v>
      </c>
      <c r="BH256">
        <f t="shared" si="203"/>
        <v>-2.2690315749225931</v>
      </c>
      <c r="BI256">
        <f t="shared" si="204"/>
        <v>-2.2690315749225931</v>
      </c>
      <c r="BJ256">
        <f t="shared" si="188"/>
        <v>0</v>
      </c>
      <c r="BK256">
        <f t="shared" si="205"/>
        <v>0</v>
      </c>
      <c r="BM256">
        <f t="shared" si="206"/>
        <v>-30.461405206988374</v>
      </c>
      <c r="BN256">
        <f t="shared" si="189"/>
        <v>-176.1339741057119</v>
      </c>
      <c r="BQ256" s="56">
        <f t="shared" si="207"/>
        <v>27.630594477212441</v>
      </c>
      <c r="BR256" s="59"/>
      <c r="BS256" s="59"/>
      <c r="BT256" s="59">
        <v>28840.314999999999</v>
      </c>
      <c r="BU256" s="59">
        <v>-2.5506799999999998</v>
      </c>
      <c r="BV256" s="59">
        <v>-156.01</v>
      </c>
      <c r="BY256" s="59"/>
      <c r="BZ256" s="59"/>
      <c r="CA256" s="59"/>
      <c r="CC256" s="59"/>
    </row>
    <row r="257" spans="1:81" x14ac:dyDescent="0.2">
      <c r="A257">
        <f t="shared" si="211"/>
        <v>215000</v>
      </c>
      <c r="B257">
        <f t="shared" si="191"/>
        <v>215</v>
      </c>
      <c r="C257">
        <f t="shared" si="159"/>
        <v>1.0013445508797723</v>
      </c>
      <c r="D257">
        <f t="shared" si="160"/>
        <v>5.182752342196438E-2</v>
      </c>
      <c r="F257">
        <f t="shared" si="161"/>
        <v>1.9046097222293001E-3</v>
      </c>
      <c r="G257">
        <f t="shared" si="162"/>
        <v>1.6457238798647401E-2</v>
      </c>
      <c r="H257">
        <f t="shared" si="163"/>
        <v>-3.1251354112013527</v>
      </c>
      <c r="J257">
        <f t="shared" si="164"/>
        <v>15</v>
      </c>
      <c r="M257">
        <f t="shared" si="165"/>
        <v>1.0496505446521678E-3</v>
      </c>
      <c r="N257">
        <f t="shared" si="166"/>
        <v>-1.5707963250000001</v>
      </c>
      <c r="O257">
        <f t="shared" si="167"/>
        <v>201.78414638668909</v>
      </c>
      <c r="P257">
        <f t="shared" si="168"/>
        <v>1.56584051578961</v>
      </c>
      <c r="Q257">
        <f t="shared" si="169"/>
        <v>30.043574964004765</v>
      </c>
      <c r="R257">
        <f t="shared" si="170"/>
        <v>1.5375051907796875</v>
      </c>
      <c r="S257">
        <f t="shared" si="171"/>
        <v>0.76276101245380812</v>
      </c>
      <c r="T257">
        <f t="shared" si="172"/>
        <v>-0.70322437987293906</v>
      </c>
      <c r="U257">
        <f t="shared" si="173"/>
        <v>0.73336002725786964</v>
      </c>
      <c r="V257">
        <f t="shared" si="174"/>
        <v>-0.74754508551771837</v>
      </c>
      <c r="X257">
        <f t="shared" si="192"/>
        <v>-19.842601951211684</v>
      </c>
      <c r="Y257">
        <f t="shared" si="175"/>
        <v>-171.40192726391012</v>
      </c>
      <c r="Z257">
        <f t="shared" si="193"/>
        <v>8.5980727360898754</v>
      </c>
      <c r="AC257">
        <v>1</v>
      </c>
      <c r="AD257">
        <f t="shared" si="176"/>
        <v>201.78166847611499</v>
      </c>
      <c r="AE257">
        <f t="shared" si="177"/>
        <v>-4.9065083430011779E-2</v>
      </c>
      <c r="AF257">
        <f t="shared" si="178"/>
        <v>5.2927668011610002E-2</v>
      </c>
      <c r="AG257">
        <f t="shared" si="194"/>
        <v>2040.9557725624265</v>
      </c>
      <c r="AH257">
        <f t="shared" si="195"/>
        <v>-1910.9034850270377</v>
      </c>
      <c r="AJ257">
        <f t="shared" si="179"/>
        <v>18000</v>
      </c>
      <c r="AK257">
        <f t="shared" si="180"/>
        <v>15260.675854863601</v>
      </c>
      <c r="AL257">
        <v>1</v>
      </c>
      <c r="AM257">
        <f t="shared" si="181"/>
        <v>30.026927858470206</v>
      </c>
      <c r="AN257">
        <f t="shared" si="196"/>
        <v>527.61196755342621</v>
      </c>
      <c r="AO257">
        <f t="shared" si="197"/>
        <v>-581.89063212864926</v>
      </c>
      <c r="AQ257">
        <f t="shared" si="182"/>
        <v>5.4082995765301428E-2</v>
      </c>
      <c r="AR257">
        <f t="shared" si="183"/>
        <v>-23.255688179079616</v>
      </c>
      <c r="AT257">
        <f t="shared" si="209"/>
        <v>-44328.994585700661</v>
      </c>
      <c r="AU257">
        <f t="shared" si="210"/>
        <v>-47567.178419092947</v>
      </c>
      <c r="AV257">
        <f t="shared" si="198"/>
        <v>-2.3209716461150416</v>
      </c>
      <c r="AW257">
        <f t="shared" si="199"/>
        <v>-10945.64700722672</v>
      </c>
      <c r="AX257">
        <f t="shared" si="200"/>
        <v>-15449.94271844337</v>
      </c>
      <c r="AY257">
        <f t="shared" si="208"/>
        <v>-2.1871767694500717</v>
      </c>
      <c r="BA257">
        <f t="shared" si="184"/>
        <v>3.4340175535473967</v>
      </c>
      <c r="BB257">
        <f t="shared" si="201"/>
        <v>10.716050215969638</v>
      </c>
      <c r="BC257">
        <f t="shared" si="202"/>
        <v>-0.13379487666496992</v>
      </c>
      <c r="BD257">
        <f t="shared" si="185"/>
        <v>-187.66588176213571</v>
      </c>
      <c r="BF257">
        <f t="shared" si="186"/>
        <v>-20.154333888783253</v>
      </c>
      <c r="BG257">
        <f t="shared" si="187"/>
        <v>-183.75345307736967</v>
      </c>
      <c r="BH257">
        <f t="shared" si="203"/>
        <v>-3.7534530773696702</v>
      </c>
      <c r="BI257">
        <f t="shared" si="204"/>
        <v>-3.7534530773696702</v>
      </c>
      <c r="BJ257">
        <f t="shared" si="188"/>
        <v>0</v>
      </c>
      <c r="BK257">
        <f t="shared" si="205"/>
        <v>0</v>
      </c>
      <c r="BM257">
        <f t="shared" si="206"/>
        <v>-30.87038410475289</v>
      </c>
      <c r="BN257">
        <f t="shared" si="189"/>
        <v>-176.08757131523396</v>
      </c>
      <c r="BQ257" s="56">
        <f t="shared" si="207"/>
        <v>27.618011016254776</v>
      </c>
      <c r="BR257" s="59"/>
      <c r="BS257" s="59"/>
      <c r="BT257" s="59">
        <v>29512.092000000001</v>
      </c>
      <c r="BU257" s="59">
        <v>-2.44991</v>
      </c>
      <c r="BV257" s="59">
        <v>-155.03200000000001</v>
      </c>
      <c r="BY257" s="59"/>
      <c r="BZ257" s="59"/>
      <c r="CA257" s="59"/>
      <c r="CC257" s="59"/>
    </row>
    <row r="258" spans="1:81" x14ac:dyDescent="0.2">
      <c r="A258">
        <f t="shared" si="211"/>
        <v>220000</v>
      </c>
      <c r="B258">
        <f t="shared" si="191"/>
        <v>220</v>
      </c>
      <c r="C258">
        <f t="shared" si="159"/>
        <v>1.0014077708376117</v>
      </c>
      <c r="D258">
        <f t="shared" si="160"/>
        <v>5.3030581809671143E-2</v>
      </c>
      <c r="F258">
        <f t="shared" si="161"/>
        <v>1.8188742427836177E-3</v>
      </c>
      <c r="G258">
        <f t="shared" si="162"/>
        <v>1.6081886169472474E-2</v>
      </c>
      <c r="H258">
        <f t="shared" si="163"/>
        <v>-3.1255107638305279</v>
      </c>
      <c r="J258">
        <f t="shared" si="164"/>
        <v>15</v>
      </c>
      <c r="M258">
        <f t="shared" si="165"/>
        <v>1.0257948504555276E-3</v>
      </c>
      <c r="N258">
        <f t="shared" si="166"/>
        <v>-1.5707963250000001</v>
      </c>
      <c r="O258">
        <f t="shared" si="167"/>
        <v>206.47668701251285</v>
      </c>
      <c r="P258">
        <f t="shared" si="168"/>
        <v>1.5659531460761456</v>
      </c>
      <c r="Q258">
        <f t="shared" si="169"/>
        <v>30.741497471120478</v>
      </c>
      <c r="R258">
        <f t="shared" si="170"/>
        <v>1.5382612674858971</v>
      </c>
      <c r="S258">
        <f t="shared" si="171"/>
        <v>0.75536550179627571</v>
      </c>
      <c r="T258">
        <f t="shared" si="172"/>
        <v>-0.71458462706221371</v>
      </c>
      <c r="U258">
        <f t="shared" si="173"/>
        <v>0.72551363796920698</v>
      </c>
      <c r="V258">
        <f t="shared" si="174"/>
        <v>-0.75901588441124046</v>
      </c>
      <c r="X258">
        <f t="shared" si="192"/>
        <v>-20.220716545868989</v>
      </c>
      <c r="Y258">
        <f t="shared" si="175"/>
        <v>-172.61285255674642</v>
      </c>
      <c r="Z258">
        <f t="shared" si="193"/>
        <v>7.387147443253582</v>
      </c>
      <c r="AC258">
        <v>1</v>
      </c>
      <c r="AD258">
        <f t="shared" si="176"/>
        <v>206.47426541741999</v>
      </c>
      <c r="AE258">
        <f t="shared" si="177"/>
        <v>-5.1373716344241656E-2</v>
      </c>
      <c r="AF258">
        <f t="shared" si="178"/>
        <v>5.415854401188E-2</v>
      </c>
      <c r="AG258">
        <f t="shared" si="194"/>
        <v>1997.5160882240598</v>
      </c>
      <c r="AH258">
        <f t="shared" si="195"/>
        <v>-1913.2682903505017</v>
      </c>
      <c r="AJ258">
        <f t="shared" si="179"/>
        <v>18000</v>
      </c>
      <c r="AK258">
        <f t="shared" si="180"/>
        <v>15615.5752933488</v>
      </c>
      <c r="AL258">
        <v>1</v>
      </c>
      <c r="AM258">
        <f t="shared" si="181"/>
        <v>30.725228506341601</v>
      </c>
      <c r="AN258">
        <f t="shared" si="196"/>
        <v>526.74203702912325</v>
      </c>
      <c r="AO258">
        <f t="shared" si="197"/>
        <v>-568.69415826686031</v>
      </c>
      <c r="AQ258">
        <f t="shared" si="182"/>
        <v>5.1652625761230572E-2</v>
      </c>
      <c r="AR258">
        <f t="shared" si="183"/>
        <v>-22.72715533494145</v>
      </c>
      <c r="AT258">
        <f t="shared" si="209"/>
        <v>-43379.968681256643</v>
      </c>
      <c r="AU258">
        <f t="shared" si="210"/>
        <v>-45496.683752095123</v>
      </c>
      <c r="AV258">
        <f t="shared" si="198"/>
        <v>-2.3323826685652467</v>
      </c>
      <c r="AW258">
        <f t="shared" si="199"/>
        <v>-10384.05153485841</v>
      </c>
      <c r="AX258">
        <f t="shared" si="200"/>
        <v>-15122.839997592677</v>
      </c>
      <c r="AY258">
        <f t="shared" si="208"/>
        <v>-2.1725041637108728</v>
      </c>
      <c r="BA258">
        <f t="shared" si="184"/>
        <v>3.4267679520600045</v>
      </c>
      <c r="BB258">
        <f t="shared" si="201"/>
        <v>10.69769393247288</v>
      </c>
      <c r="BC258">
        <f t="shared" si="202"/>
        <v>-0.15987850485437383</v>
      </c>
      <c r="BD258">
        <f t="shared" si="185"/>
        <v>-189.16036357348472</v>
      </c>
      <c r="BF258">
        <f t="shared" si="186"/>
        <v>-20.572208284722286</v>
      </c>
      <c r="BG258">
        <f t="shared" si="187"/>
        <v>-185.20051084202194</v>
      </c>
      <c r="BH258">
        <f t="shared" si="203"/>
        <v>-5.2005108420219415</v>
      </c>
      <c r="BI258">
        <f t="shared" si="204"/>
        <v>-5.2005108420219415</v>
      </c>
      <c r="BJ258">
        <f t="shared" si="188"/>
        <v>0</v>
      </c>
      <c r="BK258">
        <f t="shared" si="205"/>
        <v>0</v>
      </c>
      <c r="BM258">
        <f t="shared" si="206"/>
        <v>-31.269902217195167</v>
      </c>
      <c r="BN258">
        <f t="shared" si="189"/>
        <v>-176.04014726853723</v>
      </c>
      <c r="BQ258" s="56">
        <f t="shared" si="207"/>
        <v>27.599654732758015</v>
      </c>
      <c r="BR258" s="59"/>
      <c r="BS258" s="59"/>
      <c r="BT258" s="59">
        <v>30199.517</v>
      </c>
      <c r="BU258" s="59">
        <v>-2.3553299999999999</v>
      </c>
      <c r="BV258" s="59">
        <v>-154.00200000000001</v>
      </c>
      <c r="BY258" s="59"/>
      <c r="BZ258" s="59"/>
      <c r="CA258" s="59"/>
      <c r="CC258" s="59"/>
    </row>
    <row r="259" spans="1:81" x14ac:dyDescent="0.2">
      <c r="A259">
        <f t="shared" si="211"/>
        <v>225000</v>
      </c>
      <c r="B259">
        <f t="shared" si="191"/>
        <v>225</v>
      </c>
      <c r="C259">
        <f t="shared" si="159"/>
        <v>1.0014724399982573</v>
      </c>
      <c r="D259">
        <f t="shared" si="160"/>
        <v>5.4233486565440817E-2</v>
      </c>
      <c r="F259">
        <f t="shared" si="161"/>
        <v>1.7388031482979164E-3</v>
      </c>
      <c r="G259">
        <f t="shared" si="162"/>
        <v>1.5723301435587828E-2</v>
      </c>
      <c r="H259">
        <f t="shared" si="163"/>
        <v>-3.1258693485644122</v>
      </c>
      <c r="J259">
        <f t="shared" si="164"/>
        <v>15</v>
      </c>
      <c r="M259">
        <f t="shared" si="165"/>
        <v>1.0029994093342938E-3</v>
      </c>
      <c r="N259">
        <f t="shared" si="166"/>
        <v>-1.5707963250000001</v>
      </c>
      <c r="O259">
        <f t="shared" si="167"/>
        <v>211.16923014120383</v>
      </c>
      <c r="P259">
        <f t="shared" si="168"/>
        <v>1.5660607706870155</v>
      </c>
      <c r="Q259">
        <f t="shared" si="169"/>
        <v>31.439436771444786</v>
      </c>
      <c r="R259">
        <f t="shared" si="170"/>
        <v>1.5389837755632132</v>
      </c>
      <c r="S259">
        <f t="shared" si="171"/>
        <v>0.74801825791438659</v>
      </c>
      <c r="T259">
        <f t="shared" si="172"/>
        <v>-0.72572529258610041</v>
      </c>
      <c r="U259">
        <f t="shared" si="173"/>
        <v>0.71774191692337896</v>
      </c>
      <c r="V259">
        <f t="shared" si="174"/>
        <v>-0.77024238336365913</v>
      </c>
      <c r="X259">
        <f t="shared" si="192"/>
        <v>-20.594654822394794</v>
      </c>
      <c r="Y259">
        <f t="shared" si="175"/>
        <v>-173.79845760898704</v>
      </c>
      <c r="Z259">
        <f t="shared" si="193"/>
        <v>6.2015423910129641</v>
      </c>
      <c r="AC259">
        <v>1</v>
      </c>
      <c r="AD259">
        <f t="shared" si="176"/>
        <v>211.16686235872501</v>
      </c>
      <c r="AE259">
        <f t="shared" si="177"/>
        <v>-5.3735421279488306E-2</v>
      </c>
      <c r="AF259">
        <f t="shared" si="178"/>
        <v>5.5389420012149998E-2</v>
      </c>
      <c r="AG259">
        <f t="shared" si="194"/>
        <v>1954.9504091543404</v>
      </c>
      <c r="AH259">
        <f t="shared" si="195"/>
        <v>-1914.6270856989261</v>
      </c>
      <c r="AJ259">
        <f t="shared" si="179"/>
        <v>18000</v>
      </c>
      <c r="AK259">
        <f t="shared" si="180"/>
        <v>15970.474731834</v>
      </c>
      <c r="AL259">
        <v>1</v>
      </c>
      <c r="AM259">
        <f t="shared" si="181"/>
        <v>31.423529154213004</v>
      </c>
      <c r="AN259">
        <f t="shared" si="196"/>
        <v>525.92937675954727</v>
      </c>
      <c r="AO259">
        <f t="shared" si="197"/>
        <v>-556.08237182670734</v>
      </c>
      <c r="AQ259">
        <f t="shared" si="182"/>
        <v>4.9382472185322539E-2</v>
      </c>
      <c r="AR259">
        <f t="shared" si="183"/>
        <v>-22.222112483395144</v>
      </c>
      <c r="AT259">
        <f t="shared" si="209"/>
        <v>-42450.518177952814</v>
      </c>
      <c r="AU259">
        <f t="shared" si="210"/>
        <v>-43537.6769104919</v>
      </c>
      <c r="AV259">
        <f t="shared" si="198"/>
        <v>-2.3435520477021825</v>
      </c>
      <c r="AW259">
        <f t="shared" si="199"/>
        <v>-9861.3801657411514</v>
      </c>
      <c r="AX259">
        <f t="shared" si="200"/>
        <v>-14810.745142069434</v>
      </c>
      <c r="AY259">
        <f t="shared" si="208"/>
        <v>-2.1582167499174698</v>
      </c>
      <c r="BA259">
        <f t="shared" si="184"/>
        <v>3.4174302952275628</v>
      </c>
      <c r="BB259">
        <f t="shared" si="201"/>
        <v>10.673993301919303</v>
      </c>
      <c r="BC259">
        <f t="shared" si="202"/>
        <v>-0.18533529778471269</v>
      </c>
      <c r="BD259">
        <f t="shared" si="185"/>
        <v>-190.61893036999825</v>
      </c>
      <c r="BF259">
        <f t="shared" si="186"/>
        <v>-20.986393115094138</v>
      </c>
      <c r="BG259">
        <f t="shared" si="187"/>
        <v>-186.61070166466777</v>
      </c>
      <c r="BH259">
        <f t="shared" si="203"/>
        <v>-6.6107016646677721</v>
      </c>
      <c r="BI259">
        <f t="shared" si="204"/>
        <v>-6.6107016646677721</v>
      </c>
      <c r="BJ259">
        <f t="shared" si="188"/>
        <v>0</v>
      </c>
      <c r="BK259">
        <f t="shared" si="205"/>
        <v>0</v>
      </c>
      <c r="BM259">
        <f t="shared" si="206"/>
        <v>-31.660386417013441</v>
      </c>
      <c r="BN259">
        <f t="shared" si="189"/>
        <v>-175.99177129466952</v>
      </c>
      <c r="BQ259" s="56">
        <f t="shared" si="207"/>
        <v>27.575954102204442</v>
      </c>
      <c r="BR259" s="59"/>
      <c r="BS259" s="59"/>
      <c r="BT259" s="59">
        <v>30902.954000000002</v>
      </c>
      <c r="BU259" s="59">
        <v>-2.2543500000000001</v>
      </c>
      <c r="BV259" s="59">
        <v>-152.994</v>
      </c>
      <c r="BY259" s="59"/>
      <c r="BZ259" s="59"/>
      <c r="CA259" s="59"/>
      <c r="CC259" s="59"/>
    </row>
    <row r="260" spans="1:81" x14ac:dyDescent="0.2">
      <c r="A260">
        <f t="shared" si="211"/>
        <v>230000</v>
      </c>
      <c r="B260">
        <f t="shared" si="191"/>
        <v>230</v>
      </c>
      <c r="C260">
        <f t="shared" si="159"/>
        <v>1.0015385580809848</v>
      </c>
      <c r="D260">
        <f t="shared" si="160"/>
        <v>5.5436234238218876E-2</v>
      </c>
      <c r="F260">
        <f t="shared" si="161"/>
        <v>1.6639079817644285E-3</v>
      </c>
      <c r="G260">
        <f t="shared" si="162"/>
        <v>1.5380383821710277E-2</v>
      </c>
      <c r="H260">
        <f t="shared" si="163"/>
        <v>-3.1262122661782898</v>
      </c>
      <c r="J260">
        <f t="shared" si="164"/>
        <v>15</v>
      </c>
      <c r="M260">
        <f t="shared" si="165"/>
        <v>9.8119507434876567E-4</v>
      </c>
      <c r="N260">
        <f t="shared" si="166"/>
        <v>-1.5707963250000001</v>
      </c>
      <c r="O260">
        <f t="shared" si="167"/>
        <v>215.86177560953519</v>
      </c>
      <c r="P260">
        <f t="shared" si="168"/>
        <v>1.5661637160696664</v>
      </c>
      <c r="Q260">
        <f t="shared" si="169"/>
        <v>32.137391770865257</v>
      </c>
      <c r="R260">
        <f t="shared" si="170"/>
        <v>1.5396749013467184</v>
      </c>
      <c r="S260">
        <f t="shared" si="171"/>
        <v>0.74072327827146611</v>
      </c>
      <c r="T260">
        <f t="shared" si="172"/>
        <v>-0.73664999554820099</v>
      </c>
      <c r="U260">
        <f t="shared" si="173"/>
        <v>0.71004827403043447</v>
      </c>
      <c r="V260">
        <f t="shared" si="174"/>
        <v>-0.7812295636515566</v>
      </c>
      <c r="X260">
        <f t="shared" si="192"/>
        <v>-20.96452322568474</v>
      </c>
      <c r="Y260">
        <f t="shared" si="175"/>
        <v>-174.95915448179443</v>
      </c>
      <c r="Z260">
        <f t="shared" si="193"/>
        <v>5.0408455182055718</v>
      </c>
      <c r="AC260">
        <v>1</v>
      </c>
      <c r="AD260">
        <f t="shared" si="176"/>
        <v>215.85945930003001</v>
      </c>
      <c r="AE260">
        <f t="shared" si="177"/>
        <v>-5.6150198235751736E-2</v>
      </c>
      <c r="AF260">
        <f t="shared" si="178"/>
        <v>5.6620296012419996E-2</v>
      </c>
      <c r="AG260">
        <f t="shared" si="194"/>
        <v>1913.2638986241557</v>
      </c>
      <c r="AH260">
        <f t="shared" si="195"/>
        <v>-1915.0402739199519</v>
      </c>
      <c r="AJ260">
        <f t="shared" si="179"/>
        <v>18000</v>
      </c>
      <c r="AK260">
        <f t="shared" si="180"/>
        <v>16325.374170319199</v>
      </c>
      <c r="AL260">
        <v>1</v>
      </c>
      <c r="AM260">
        <f t="shared" si="181"/>
        <v>32.121829802084399</v>
      </c>
      <c r="AN260">
        <f t="shared" si="196"/>
        <v>525.16906939494208</v>
      </c>
      <c r="AO260">
        <f t="shared" si="197"/>
        <v>-544.01729410418295</v>
      </c>
      <c r="AQ260">
        <f t="shared" si="182"/>
        <v>4.7258755865993068E-2</v>
      </c>
      <c r="AR260">
        <f t="shared" si="183"/>
        <v>-21.739027698356814</v>
      </c>
      <c r="AT260">
        <f t="shared" si="209"/>
        <v>-41540.695086722357</v>
      </c>
      <c r="AU260">
        <f t="shared" si="210"/>
        <v>-41682.99930723539</v>
      </c>
      <c r="AV260">
        <f t="shared" si="198"/>
        <v>-2.354484591552759</v>
      </c>
      <c r="AW260">
        <f t="shared" si="199"/>
        <v>-9374.2121943020957</v>
      </c>
      <c r="AX260">
        <f t="shared" si="200"/>
        <v>-14512.56020832972</v>
      </c>
      <c r="AY260">
        <f t="shared" si="208"/>
        <v>-2.1443106157255927</v>
      </c>
      <c r="BA260">
        <f t="shared" si="184"/>
        <v>3.4061796270567783</v>
      </c>
      <c r="BB260">
        <f t="shared" si="201"/>
        <v>10.645350940544223</v>
      </c>
      <c r="BC260">
        <f t="shared" si="202"/>
        <v>-0.21017397582716635</v>
      </c>
      <c r="BD260">
        <f t="shared" si="185"/>
        <v>-192.04208179214129</v>
      </c>
      <c r="BF260">
        <f t="shared" si="186"/>
        <v>-21.396884301415874</v>
      </c>
      <c r="BG260">
        <f t="shared" si="187"/>
        <v>-187.98458845328105</v>
      </c>
      <c r="BH260">
        <f t="shared" si="203"/>
        <v>-7.9845884532810487</v>
      </c>
      <c r="BI260">
        <f t="shared" si="204"/>
        <v>-7.9845884532810487</v>
      </c>
      <c r="BJ260">
        <f t="shared" si="188"/>
        <v>0</v>
      </c>
      <c r="BK260">
        <f t="shared" si="205"/>
        <v>0</v>
      </c>
      <c r="BM260">
        <f t="shared" si="206"/>
        <v>-32.042235241960093</v>
      </c>
      <c r="BN260">
        <f t="shared" si="189"/>
        <v>-175.94250666113976</v>
      </c>
      <c r="BQ260" s="56">
        <f t="shared" si="207"/>
        <v>27.547311740829361</v>
      </c>
      <c r="BR260" s="59"/>
      <c r="BS260" s="59"/>
      <c r="BT260" s="59">
        <v>31622.776999999998</v>
      </c>
      <c r="BU260" s="59">
        <v>-2.1282199999999998</v>
      </c>
      <c r="BV260" s="59">
        <v>-152.041</v>
      </c>
      <c r="BY260" s="59"/>
      <c r="BZ260" s="59"/>
      <c r="CA260" s="59"/>
      <c r="CC260" s="59"/>
    </row>
    <row r="261" spans="1:81" x14ac:dyDescent="0.2">
      <c r="A261">
        <f t="shared" si="211"/>
        <v>235000</v>
      </c>
      <c r="B261">
        <f t="shared" si="191"/>
        <v>235</v>
      </c>
      <c r="C261">
        <f t="shared" si="159"/>
        <v>1.001606124798855</v>
      </c>
      <c r="D261">
        <f t="shared" si="160"/>
        <v>5.6638821379669961E-2</v>
      </c>
      <c r="F261">
        <f t="shared" si="161"/>
        <v>1.5937518495023895E-3</v>
      </c>
      <c r="G261">
        <f t="shared" si="162"/>
        <v>1.5052126981133548E-2</v>
      </c>
      <c r="H261">
        <f t="shared" si="163"/>
        <v>-3.1265405230188668</v>
      </c>
      <c r="J261">
        <f t="shared" si="164"/>
        <v>15</v>
      </c>
      <c r="M261">
        <f t="shared" si="165"/>
        <v>9.603185834051748E-4</v>
      </c>
      <c r="N261">
        <f t="shared" si="166"/>
        <v>-1.5707963250000001</v>
      </c>
      <c r="O261">
        <f t="shared" si="167"/>
        <v>220.55432326817129</v>
      </c>
      <c r="P261">
        <f t="shared" si="168"/>
        <v>1.5662622808897779</v>
      </c>
      <c r="Q261">
        <f t="shared" si="169"/>
        <v>32.835361468272524</v>
      </c>
      <c r="R261">
        <f t="shared" si="170"/>
        <v>1.5403366454011784</v>
      </c>
      <c r="S261">
        <f t="shared" si="171"/>
        <v>0.73348419682871469</v>
      </c>
      <c r="T261">
        <f t="shared" si="172"/>
        <v>-0.74736242236243033</v>
      </c>
      <c r="U261">
        <f t="shared" si="173"/>
        <v>0.70243570953365375</v>
      </c>
      <c r="V261">
        <f t="shared" si="174"/>
        <v>-0.79198242766411953</v>
      </c>
      <c r="X261">
        <f t="shared" si="192"/>
        <v>-21.330420298554561</v>
      </c>
      <c r="Y261">
        <f t="shared" si="175"/>
        <v>-176.09536712770901</v>
      </c>
      <c r="Z261">
        <f t="shared" si="193"/>
        <v>3.9046328722909891</v>
      </c>
      <c r="AC261">
        <v>1</v>
      </c>
      <c r="AD261">
        <f t="shared" si="176"/>
        <v>220.55205624133498</v>
      </c>
      <c r="AE261">
        <f t="shared" si="177"/>
        <v>-5.8618047213031918E-2</v>
      </c>
      <c r="AF261">
        <f t="shared" si="178"/>
        <v>5.7851172012690001E-2</v>
      </c>
      <c r="AG261">
        <f t="shared" si="194"/>
        <v>1872.4588742274113</v>
      </c>
      <c r="AH261">
        <f t="shared" si="195"/>
        <v>-1914.5659256415263</v>
      </c>
      <c r="AJ261">
        <f t="shared" si="179"/>
        <v>18000</v>
      </c>
      <c r="AK261">
        <f t="shared" si="180"/>
        <v>16680.2736088044</v>
      </c>
      <c r="AL261">
        <v>1</v>
      </c>
      <c r="AM261">
        <f t="shared" si="181"/>
        <v>32.820130449955805</v>
      </c>
      <c r="AN261">
        <f t="shared" si="196"/>
        <v>524.45671408705959</v>
      </c>
      <c r="AO261">
        <f t="shared" si="197"/>
        <v>-532.46416288806904</v>
      </c>
      <c r="AQ261">
        <f t="shared" si="182"/>
        <v>4.526914771775592E-2</v>
      </c>
      <c r="AR261">
        <f t="shared" si="183"/>
        <v>-21.276499427345282</v>
      </c>
      <c r="AT261">
        <f t="shared" si="209"/>
        <v>-40650.496203153903</v>
      </c>
      <c r="AU261">
        <f t="shared" si="210"/>
        <v>-39926.040932930358</v>
      </c>
      <c r="AV261">
        <f t="shared" si="198"/>
        <v>-2.3651851440002503</v>
      </c>
      <c r="AW261">
        <f t="shared" si="199"/>
        <v>-8919.4884302810733</v>
      </c>
      <c r="AX261">
        <f t="shared" si="200"/>
        <v>-14227.295185527917</v>
      </c>
      <c r="AY261">
        <f t="shared" si="208"/>
        <v>-2.1307808030203539</v>
      </c>
      <c r="BA261">
        <f t="shared" si="184"/>
        <v>3.3931826354959989</v>
      </c>
      <c r="BB261">
        <f t="shared" si="201"/>
        <v>10.612144716942844</v>
      </c>
      <c r="BC261">
        <f t="shared" si="202"/>
        <v>-0.23440434097989638</v>
      </c>
      <c r="BD261">
        <f t="shared" si="185"/>
        <v>-193.43037945303996</v>
      </c>
      <c r="BF261">
        <f t="shared" si="186"/>
        <v>-21.803676635147639</v>
      </c>
      <c r="BG261">
        <f t="shared" si="187"/>
        <v>-189.32279067798197</v>
      </c>
      <c r="BH261">
        <f t="shared" si="203"/>
        <v>-9.3227906779819705</v>
      </c>
      <c r="BI261">
        <f t="shared" si="204"/>
        <v>-9.3227906779819705</v>
      </c>
      <c r="BJ261">
        <f t="shared" si="188"/>
        <v>0</v>
      </c>
      <c r="BK261">
        <f t="shared" si="205"/>
        <v>0</v>
      </c>
      <c r="BM261">
        <f t="shared" si="206"/>
        <v>-32.415821352090482</v>
      </c>
      <c r="BN261">
        <f t="shared" si="189"/>
        <v>-175.89241122494204</v>
      </c>
      <c r="BQ261" s="56">
        <f t="shared" si="207"/>
        <v>27.514105517227982</v>
      </c>
      <c r="BR261" s="59"/>
      <c r="BS261" s="59"/>
      <c r="BT261" s="59">
        <v>32359.366000000002</v>
      </c>
      <c r="BU261" s="59">
        <v>-2.03586</v>
      </c>
      <c r="BV261" s="59">
        <v>-151.05000000000001</v>
      </c>
      <c r="BY261" s="59"/>
      <c r="BZ261" s="59"/>
      <c r="CA261" s="59"/>
      <c r="CC261" s="59"/>
    </row>
    <row r="262" spans="1:81" x14ac:dyDescent="0.2">
      <c r="A262">
        <f t="shared" si="211"/>
        <v>240000</v>
      </c>
      <c r="B262">
        <f t="shared" si="191"/>
        <v>240</v>
      </c>
      <c r="C262">
        <f t="shared" si="159"/>
        <v>1.0016751398587207</v>
      </c>
      <c r="D262">
        <f t="shared" si="160"/>
        <v>5.7841244544236434E-2</v>
      </c>
      <c r="F262">
        <f t="shared" si="161"/>
        <v>1.5279430216209768E-3</v>
      </c>
      <c r="G262">
        <f t="shared" si="162"/>
        <v>1.4737609068820613E-2</v>
      </c>
      <c r="H262">
        <f t="shared" si="163"/>
        <v>-3.1268550409311797</v>
      </c>
      <c r="J262">
        <f t="shared" si="164"/>
        <v>15</v>
      </c>
      <c r="M262">
        <f t="shared" si="165"/>
        <v>9.4031194625090043E-4</v>
      </c>
      <c r="N262">
        <f t="shared" si="166"/>
        <v>-1.5707963250000001</v>
      </c>
      <c r="O262">
        <f t="shared" si="167"/>
        <v>225.24687298022093</v>
      </c>
      <c r="P262">
        <f t="shared" si="168"/>
        <v>1.5663567389250777</v>
      </c>
      <c r="Q262">
        <f t="shared" si="169"/>
        <v>33.533344945886171</v>
      </c>
      <c r="R262">
        <f t="shared" si="170"/>
        <v>1.5409708418357424</v>
      </c>
      <c r="S262">
        <f t="shared" si="171"/>
        <v>0.72630430273745428</v>
      </c>
      <c r="T262">
        <f t="shared" si="172"/>
        <v>-0.75786631251794045</v>
      </c>
      <c r="U262">
        <f t="shared" si="173"/>
        <v>0.6949068410302528</v>
      </c>
      <c r="V262">
        <f t="shared" si="174"/>
        <v>-0.80250598354088232</v>
      </c>
      <c r="X262">
        <f t="shared" si="192"/>
        <v>-21.692437631461978</v>
      </c>
      <c r="Y262">
        <f t="shared" si="175"/>
        <v>-177.20752899116007</v>
      </c>
      <c r="Z262">
        <f t="shared" si="193"/>
        <v>2.7924710088399252</v>
      </c>
      <c r="AC262">
        <v>1</v>
      </c>
      <c r="AD262">
        <f t="shared" si="176"/>
        <v>225.24465318264001</v>
      </c>
      <c r="AE262">
        <f t="shared" si="177"/>
        <v>-6.1138968211328901E-2</v>
      </c>
      <c r="AF262">
        <f t="shared" si="178"/>
        <v>5.9082048012959999E-2</v>
      </c>
      <c r="AG262">
        <f t="shared" si="194"/>
        <v>1832.5350880760575</v>
      </c>
      <c r="AH262">
        <f t="shared" si="195"/>
        <v>-1913.2597514431293</v>
      </c>
      <c r="AJ262">
        <f t="shared" si="179"/>
        <v>18000</v>
      </c>
      <c r="AK262">
        <f t="shared" si="180"/>
        <v>17035.173047289602</v>
      </c>
      <c r="AL262">
        <v>1</v>
      </c>
      <c r="AM262">
        <f t="shared" si="181"/>
        <v>33.518431097827204</v>
      </c>
      <c r="AN262">
        <f t="shared" si="196"/>
        <v>523.78836274762216</v>
      </c>
      <c r="AO262">
        <f t="shared" si="197"/>
        <v>-521.39109931029122</v>
      </c>
      <c r="AQ262">
        <f t="shared" si="182"/>
        <v>4.3402589398483515E-2</v>
      </c>
      <c r="AR262">
        <f t="shared" si="183"/>
        <v>-20.833242911272087</v>
      </c>
      <c r="AT262">
        <f t="shared" si="209"/>
        <v>-39779.868386188689</v>
      </c>
      <c r="AU262">
        <f t="shared" si="210"/>
        <v>-38260.689060722427</v>
      </c>
      <c r="AV262">
        <f t="shared" si="198"/>
        <v>-2.375658567886338</v>
      </c>
      <c r="AW262">
        <f t="shared" si="199"/>
        <v>-8494.4666614985726</v>
      </c>
      <c r="AX262">
        <f t="shared" si="200"/>
        <v>-13954.055069098513</v>
      </c>
      <c r="AY262">
        <f t="shared" si="208"/>
        <v>-2.1176214565865461</v>
      </c>
      <c r="BA262">
        <f t="shared" si="184"/>
        <v>3.3785973980606023</v>
      </c>
      <c r="BB262">
        <f t="shared" si="201"/>
        <v>10.574728865282381</v>
      </c>
      <c r="BC262">
        <f t="shared" si="202"/>
        <v>-0.2580371112997919</v>
      </c>
      <c r="BD262">
        <f t="shared" si="185"/>
        <v>-194.78443745211925</v>
      </c>
      <c r="BF262">
        <f t="shared" si="186"/>
        <v>-22.206764860637858</v>
      </c>
      <c r="BG262">
        <f t="shared" si="187"/>
        <v>-190.62597545344153</v>
      </c>
      <c r="BH262">
        <f t="shared" si="203"/>
        <v>-10.625975453441526</v>
      </c>
      <c r="BI262">
        <f t="shared" si="204"/>
        <v>-10.625975453441526</v>
      </c>
      <c r="BJ262">
        <f t="shared" si="188"/>
        <v>0</v>
      </c>
      <c r="BK262">
        <f t="shared" si="205"/>
        <v>0</v>
      </c>
      <c r="BM262">
        <f t="shared" si="206"/>
        <v>-32.781493725920242</v>
      </c>
      <c r="BN262">
        <f t="shared" si="189"/>
        <v>-175.84153800132228</v>
      </c>
      <c r="BQ262" s="56">
        <f t="shared" si="207"/>
        <v>27.47668966556752</v>
      </c>
      <c r="BR262" s="59"/>
      <c r="BS262" s="59"/>
      <c r="BT262" s="59">
        <v>33113.112000000001</v>
      </c>
      <c r="BU262" s="59">
        <v>-1.91717</v>
      </c>
      <c r="BV262" s="59">
        <v>-150.17400000000001</v>
      </c>
      <c r="BY262" s="59"/>
      <c r="BZ262" s="59"/>
      <c r="CA262" s="59"/>
      <c r="CC262" s="59"/>
    </row>
    <row r="263" spans="1:81" x14ac:dyDescent="0.2">
      <c r="A263">
        <f t="shared" si="211"/>
        <v>245000</v>
      </c>
      <c r="B263">
        <f t="shared" si="191"/>
        <v>245</v>
      </c>
      <c r="C263">
        <f t="shared" si="159"/>
        <v>1.0017456029612319</v>
      </c>
      <c r="D263">
        <f t="shared" si="160"/>
        <v>5.9043500289196867E-2</v>
      </c>
      <c r="F263">
        <f t="shared" si="161"/>
        <v>1.4661294406968994E-3</v>
      </c>
      <c r="G263">
        <f t="shared" si="162"/>
        <v>1.4435984042629578E-2</v>
      </c>
      <c r="H263">
        <f t="shared" si="163"/>
        <v>-3.1271566659573709</v>
      </c>
      <c r="J263">
        <f t="shared" si="164"/>
        <v>15</v>
      </c>
      <c r="M263">
        <f t="shared" si="165"/>
        <v>9.211219065314943E-4</v>
      </c>
      <c r="N263">
        <f t="shared" si="166"/>
        <v>-1.5707963250000001</v>
      </c>
      <c r="O263">
        <f t="shared" si="167"/>
        <v>229.93942461996735</v>
      </c>
      <c r="P263">
        <f t="shared" si="168"/>
        <v>1.5664473416048257</v>
      </c>
      <c r="Q263">
        <f t="shared" si="169"/>
        <v>34.231341360763217</v>
      </c>
      <c r="R263">
        <f t="shared" si="170"/>
        <v>1.5415791752586079</v>
      </c>
      <c r="S263">
        <f t="shared" si="171"/>
        <v>0.7191865588621521</v>
      </c>
      <c r="T263">
        <f t="shared" si="172"/>
        <v>-0.76816544545802612</v>
      </c>
      <c r="U263">
        <f t="shared" si="173"/>
        <v>0.68746392958542735</v>
      </c>
      <c r="V263">
        <f t="shared" si="174"/>
        <v>-0.81280523135281513</v>
      </c>
      <c r="X263">
        <f t="shared" si="192"/>
        <v>-22.050660688740567</v>
      </c>
      <c r="Y263">
        <f t="shared" si="175"/>
        <v>-178.29608084638369</v>
      </c>
      <c r="Z263">
        <f t="shared" si="193"/>
        <v>1.7039191536163116</v>
      </c>
      <c r="AC263">
        <v>1</v>
      </c>
      <c r="AD263">
        <f t="shared" si="176"/>
        <v>229.93725012394501</v>
      </c>
      <c r="AE263">
        <f t="shared" si="177"/>
        <v>-6.371296123064267E-2</v>
      </c>
      <c r="AF263">
        <f t="shared" si="178"/>
        <v>6.0312924013229997E-2</v>
      </c>
      <c r="AG263">
        <f t="shared" si="194"/>
        <v>1793.4899899271659</v>
      </c>
      <c r="AH263">
        <f t="shared" si="195"/>
        <v>-1911.1750935917214</v>
      </c>
      <c r="AJ263">
        <f t="shared" si="179"/>
        <v>18000</v>
      </c>
      <c r="AK263">
        <f t="shared" si="180"/>
        <v>17390.072485774799</v>
      </c>
      <c r="AL263">
        <v>1</v>
      </c>
      <c r="AM263">
        <f t="shared" si="181"/>
        <v>34.216731745698603</v>
      </c>
      <c r="AN263">
        <f t="shared" si="196"/>
        <v>523.16046529641164</v>
      </c>
      <c r="AO263">
        <f t="shared" si="197"/>
        <v>-510.76881522738097</v>
      </c>
      <c r="AQ263">
        <f t="shared" si="182"/>
        <v>4.164913932053594E-2</v>
      </c>
      <c r="AR263">
        <f t="shared" si="183"/>
        <v>-20.40807826706261</v>
      </c>
      <c r="AT263">
        <f t="shared" si="209"/>
        <v>-38928.713577620096</v>
      </c>
      <c r="AU263">
        <f t="shared" si="210"/>
        <v>-36681.282883365871</v>
      </c>
      <c r="AV263">
        <f t="shared" si="198"/>
        <v>-2.3859097298445313</v>
      </c>
      <c r="AW263">
        <f t="shared" si="199"/>
        <v>-8096.6833745269187</v>
      </c>
      <c r="AX263">
        <f t="shared" si="200"/>
        <v>-13692.028728795322</v>
      </c>
      <c r="AY263">
        <f t="shared" si="208"/>
        <v>-2.1048259617363527</v>
      </c>
      <c r="BA263">
        <f t="shared" si="184"/>
        <v>3.362573258357672</v>
      </c>
      <c r="BB263">
        <f t="shared" si="201"/>
        <v>10.533435096515088</v>
      </c>
      <c r="BC263">
        <f t="shared" si="202"/>
        <v>-0.28108376810817859</v>
      </c>
      <c r="BD263">
        <f t="shared" si="185"/>
        <v>-196.1049136206351</v>
      </c>
      <c r="BF263">
        <f t="shared" si="186"/>
        <v>-22.60614453161773</v>
      </c>
      <c r="BG263">
        <f t="shared" si="187"/>
        <v>-191.89484928281311</v>
      </c>
      <c r="BH263">
        <f t="shared" si="203"/>
        <v>-11.894849282813112</v>
      </c>
      <c r="BI263">
        <f t="shared" si="204"/>
        <v>-11.894849282813112</v>
      </c>
      <c r="BJ263">
        <f t="shared" si="188"/>
        <v>0</v>
      </c>
      <c r="BK263">
        <f t="shared" si="205"/>
        <v>0</v>
      </c>
      <c r="BM263">
        <f t="shared" si="206"/>
        <v>-33.139579628132822</v>
      </c>
      <c r="BN263">
        <f t="shared" si="189"/>
        <v>-175.78993566217798</v>
      </c>
      <c r="BQ263" s="56">
        <f t="shared" si="207"/>
        <v>27.435395896800227</v>
      </c>
      <c r="BR263" s="59"/>
      <c r="BS263" s="59"/>
      <c r="BT263" s="59">
        <v>33884.415999999997</v>
      </c>
      <c r="BU263" s="59">
        <v>-1.81593</v>
      </c>
      <c r="BV263" s="59">
        <v>-149.483</v>
      </c>
      <c r="BY263" s="59"/>
      <c r="BZ263" s="59"/>
      <c r="CA263" s="59"/>
      <c r="CC263" s="59"/>
    </row>
    <row r="264" spans="1:81" x14ac:dyDescent="0.2">
      <c r="A264">
        <f t="shared" si="211"/>
        <v>250000</v>
      </c>
      <c r="B264">
        <f t="shared" si="191"/>
        <v>250</v>
      </c>
      <c r="C264">
        <f t="shared" si="159"/>
        <v>1.0018175138008432</v>
      </c>
      <c r="D264">
        <f t="shared" si="160"/>
        <v>6.0245585174724371E-2</v>
      </c>
      <c r="F264">
        <f t="shared" si="161"/>
        <v>1.4079939942314543E-3</v>
      </c>
      <c r="G264">
        <f t="shared" si="162"/>
        <v>1.4146474018771915E-2</v>
      </c>
      <c r="H264">
        <f t="shared" si="163"/>
        <v>-3.1274461759812282</v>
      </c>
      <c r="J264">
        <f t="shared" si="164"/>
        <v>15</v>
      </c>
      <c r="M264">
        <f t="shared" si="165"/>
        <v>9.026994684008644E-4</v>
      </c>
      <c r="N264">
        <f t="shared" si="166"/>
        <v>-1.5707963250000001</v>
      </c>
      <c r="O264">
        <f t="shared" si="167"/>
        <v>234.63197807175092</v>
      </c>
      <c r="P264">
        <f t="shared" si="168"/>
        <v>1.5665343202445765</v>
      </c>
      <c r="Q264">
        <f t="shared" si="169"/>
        <v>34.929349937324091</v>
      </c>
      <c r="R264">
        <f t="shared" si="170"/>
        <v>1.5421631957012758</v>
      </c>
      <c r="S264">
        <f t="shared" si="171"/>
        <v>0.71213362002237457</v>
      </c>
      <c r="T264">
        <f t="shared" si="172"/>
        <v>-0.7782636285276392</v>
      </c>
      <c r="U264">
        <f t="shared" si="173"/>
        <v>0.6801089048549952</v>
      </c>
      <c r="V264">
        <f t="shared" si="174"/>
        <v>-0.82288515072972679</v>
      </c>
      <c r="X264">
        <f t="shared" si="192"/>
        <v>-22.40516952786988</v>
      </c>
      <c r="Y264">
        <f t="shared" si="175"/>
        <v>-179.36146885282633</v>
      </c>
      <c r="Z264">
        <f t="shared" si="193"/>
        <v>0.63853114717366566</v>
      </c>
      <c r="AC264">
        <v>1</v>
      </c>
      <c r="AD264">
        <f t="shared" si="176"/>
        <v>234.62984706524998</v>
      </c>
      <c r="AE264">
        <f t="shared" si="177"/>
        <v>-6.6340026270973226E-2</v>
      </c>
      <c r="AF264">
        <f t="shared" si="178"/>
        <v>6.1543800013500002E-2</v>
      </c>
      <c r="AG264">
        <f t="shared" si="194"/>
        <v>1755.3189732549349</v>
      </c>
      <c r="AH264">
        <f t="shared" si="195"/>
        <v>-1908.3629345914164</v>
      </c>
      <c r="AJ264">
        <f t="shared" si="179"/>
        <v>18000</v>
      </c>
      <c r="AK264">
        <f t="shared" si="180"/>
        <v>17744.97192426</v>
      </c>
      <c r="AL264">
        <v>1</v>
      </c>
      <c r="AM264">
        <f t="shared" si="181"/>
        <v>34.915032393570002</v>
      </c>
      <c r="AN264">
        <f t="shared" si="196"/>
        <v>522.56982247908445</v>
      </c>
      <c r="AO264">
        <f t="shared" si="197"/>
        <v>-500.57035549935745</v>
      </c>
      <c r="AQ264">
        <f t="shared" si="182"/>
        <v>3.9999840000639997E-2</v>
      </c>
      <c r="AR264">
        <f t="shared" si="183"/>
        <v>-19.99992000032</v>
      </c>
      <c r="AT264">
        <f t="shared" si="209"/>
        <v>-38096.893545323954</v>
      </c>
      <c r="AU264">
        <f t="shared" si="210"/>
        <v>-35182.573252189344</v>
      </c>
      <c r="AV264">
        <f t="shared" si="198"/>
        <v>-2.3959434867416038</v>
      </c>
      <c r="AW264">
        <f t="shared" si="199"/>
        <v>-7723.9207476820693</v>
      </c>
      <c r="AX264">
        <f t="shared" si="200"/>
        <v>-13440.479289658757</v>
      </c>
      <c r="AY264">
        <f t="shared" si="208"/>
        <v>-2.0923870707277246</v>
      </c>
      <c r="BA264">
        <f t="shared" si="184"/>
        <v>3.345250814744662</v>
      </c>
      <c r="BB264">
        <f t="shared" si="201"/>
        <v>10.48857370291984</v>
      </c>
      <c r="BC264">
        <f t="shared" si="202"/>
        <v>-0.30355641601387928</v>
      </c>
      <c r="BD264">
        <f t="shared" si="185"/>
        <v>-197.39250150158654</v>
      </c>
      <c r="BF264">
        <f t="shared" si="186"/>
        <v>-23.00181267388929</v>
      </c>
      <c r="BG264">
        <f t="shared" si="187"/>
        <v>-193.13015047564136</v>
      </c>
      <c r="BH264">
        <f t="shared" si="203"/>
        <v>-13.130150475641358</v>
      </c>
      <c r="BI264">
        <f t="shared" si="204"/>
        <v>-13.130150475641358</v>
      </c>
      <c r="BJ264">
        <f t="shared" si="188"/>
        <v>0</v>
      </c>
      <c r="BK264">
        <f t="shared" si="205"/>
        <v>0</v>
      </c>
      <c r="BM264">
        <f t="shared" si="206"/>
        <v>-33.490386376809134</v>
      </c>
      <c r="BN264">
        <f t="shared" si="189"/>
        <v>-175.73764897405482</v>
      </c>
      <c r="BQ264" s="56">
        <f t="shared" si="207"/>
        <v>27.390534503204975</v>
      </c>
      <c r="BR264" s="59"/>
      <c r="BS264" s="59"/>
      <c r="BT264" s="59">
        <v>34673.684999999998</v>
      </c>
      <c r="BU264" s="59">
        <v>-1.6807799999999999</v>
      </c>
      <c r="BV264" s="59">
        <v>-148.328</v>
      </c>
      <c r="BY264" s="59"/>
      <c r="BZ264" s="59"/>
      <c r="CA264" s="59"/>
      <c r="CC264" s="59"/>
    </row>
    <row r="265" spans="1:81" x14ac:dyDescent="0.2">
      <c r="A265">
        <f t="shared" si="211"/>
        <v>255000</v>
      </c>
      <c r="B265">
        <f t="shared" si="191"/>
        <v>255</v>
      </c>
      <c r="C265">
        <f t="shared" ref="C265:C328" si="212">SQRT((A265/Fesr)^2+1)</f>
        <v>1.0018908720658204</v>
      </c>
      <c r="D265">
        <f t="shared" ref="D265:D328" si="213">ATAN(A265/Fesr)</f>
        <v>6.1447495763944843E-2</v>
      </c>
      <c r="F265">
        <f t="shared" ref="F265:F328" si="214">(Ro/(Ro+Rdcr))/SQRT((A265/(Q*Fo))^2+(1-(A265^2/Fo^2))^2)</f>
        <v>1.353250431798683E-3</v>
      </c>
      <c r="G265">
        <f t="shared" ref="G265:G328" si="215">-ATAN(A265*Fo/(Q*(Fo^2-A265^2)))</f>
        <v>1.3868362535218009E-2</v>
      </c>
      <c r="H265">
        <f t="shared" ref="H265:H328" si="216">IF(G265&gt;0,G265-Pi,G265)</f>
        <v>-3.1277242874647824</v>
      </c>
      <c r="J265">
        <f t="shared" ref="J265:J328" si="217">Vin/Vramp</f>
        <v>15</v>
      </c>
      <c r="M265">
        <f t="shared" ref="M265:M328" si="218">1/(2*Pi*_Rfb1*(Cc1ea_u+Cc2ea_u)*A265)</f>
        <v>8.8499947882437677E-4</v>
      </c>
      <c r="N265">
        <f t="shared" ref="N265:N328" si="219">-Pi/2</f>
        <v>-1.5707963250000001</v>
      </c>
      <c r="O265">
        <f t="shared" ref="O265:O328" si="220">SQRT(1+(A265/Fz1_u)^2)</f>
        <v>239.32453322898314</v>
      </c>
      <c r="P265">
        <f t="shared" ref="P265:P328" si="221">ATAN2(Fz1_u,A265)</f>
        <v>1.5666178880180375</v>
      </c>
      <c r="Q265">
        <f t="shared" ref="Q265:Q328" si="222">SQRT(1+(A265/Fz2_u)^2)</f>
        <v>35.62736996075661</v>
      </c>
      <c r="R265">
        <f t="shared" ref="R265:R328" si="223">ATAN2(Fz2_u,A265)</f>
        <v>1.5427243317904491</v>
      </c>
      <c r="S265">
        <f t="shared" ref="S265:S328" si="224">1/SQRT(1+(A265/Fp1_u)^2)</f>
        <v>0.70514785085981424</v>
      </c>
      <c r="T265">
        <f t="shared" ref="T265:T328" si="225">-ATAN2(Fp1_u,A265)</f>
        <v>-0.78816468594120326</v>
      </c>
      <c r="U265">
        <f t="shared" ref="U265:U328" si="226">1/SQRT(1+(A265/Fp2_u)^2)</f>
        <v>0.67284338915480979</v>
      </c>
      <c r="V265">
        <f t="shared" ref="V265:V328" si="227">-ATAN2(Fp2_u,A265)</f>
        <v>-0.83275068983760969</v>
      </c>
      <c r="X265">
        <f t="shared" si="192"/>
        <v>-22.756039425980561</v>
      </c>
      <c r="Y265">
        <f t="shared" ref="Y265:Y328" si="228">(180/Pi)*(D265+H265+N265+P265+R265+T265+V265)</f>
        <v>-180.40414280979726</v>
      </c>
      <c r="Z265">
        <f t="shared" si="193"/>
        <v>-0.40414280979726414</v>
      </c>
      <c r="AC265">
        <v>1</v>
      </c>
      <c r="AD265">
        <f t="shared" ref="AD265:AD328" si="229">Rcea1_u*Cc1ea_u*A265*2*Pi</f>
        <v>239.322444006555</v>
      </c>
      <c r="AE265">
        <f t="shared" ref="AE265:AE328" si="230">-Rcea1_u*Cc1ea_u*Cc2ea_u*(A265*2*Pi)^2</f>
        <v>-6.9020163332320514E-2</v>
      </c>
      <c r="AF265">
        <f t="shared" ref="AF265:AF328" si="231">(Cc2ea_u+Cc1ea_u)*A265*2*Pi</f>
        <v>6.2774676013770001E-2</v>
      </c>
      <c r="AG265">
        <f t="shared" si="194"/>
        <v>1718.0156044794205</v>
      </c>
      <c r="AH265">
        <f t="shared" si="195"/>
        <v>-1904.8719200464673</v>
      </c>
      <c r="AJ265">
        <f t="shared" ref="AJ265:AJ328" si="232">_Rfb1</f>
        <v>18000</v>
      </c>
      <c r="AK265">
        <f t="shared" ref="AK265:AK328" si="233">_Rfb1*Rcea2_u*Cc3ea_u*A265*2*Pi</f>
        <v>18099.871362745198</v>
      </c>
      <c r="AL265">
        <v>1</v>
      </c>
      <c r="AM265">
        <f t="shared" ref="AM265:AM328" si="234">(_Rfb1+Rcea2_u)*Cc3ea_u*A265*2*Pi</f>
        <v>35.6133330414414</v>
      </c>
      <c r="AN265">
        <f t="shared" si="196"/>
        <v>522.01354508215616</v>
      </c>
      <c r="AO265">
        <f t="shared" si="197"/>
        <v>-490.77087040911368</v>
      </c>
      <c r="AQ265">
        <f t="shared" ref="AQ265:AQ328" si="235">Eadcg/(1+(Eadcg*A265/GBP)^2)</f>
        <v>3.8446603434819551E-2</v>
      </c>
      <c r="AR265">
        <f t="shared" ref="AR265:AR328" si="236">-(A265*Eadcg*Eadcg/GBP)/(1+(Eadcg*A265/GBP)^2)</f>
        <v>-19.607767751757972</v>
      </c>
      <c r="AT265">
        <f t="shared" si="209"/>
        <v>-37284.234340476163</v>
      </c>
      <c r="AU265">
        <f t="shared" si="210"/>
        <v>-33759.686821832707</v>
      </c>
      <c r="AV265">
        <f t="shared" si="198"/>
        <v>-2.4057646736084934</v>
      </c>
      <c r="AW265">
        <f t="shared" si="199"/>
        <v>-7374.1781022068581</v>
      </c>
      <c r="AX265">
        <f t="shared" si="200"/>
        <v>-13198.735793538664</v>
      </c>
      <c r="AY265">
        <f t="shared" si="208"/>
        <v>-2.0802970180279381</v>
      </c>
      <c r="BA265">
        <f t="shared" ref="BA265:BA328" si="237">SQRT(AT265^2+AU265^2)/SQRT(AW265^2+AX265^2)</f>
        <v>3.3267620033548364</v>
      </c>
      <c r="BB265">
        <f t="shared" si="201"/>
        <v>10.440434650819018</v>
      </c>
      <c r="BC265">
        <f t="shared" si="202"/>
        <v>-0.32546765558055535</v>
      </c>
      <c r="BD265">
        <f t="shared" ref="BD265:BD328" si="238">BC265*180/Pi-180</f>
        <v>-198.64792305409168</v>
      </c>
      <c r="BF265">
        <f t="shared" ref="BF265:BF328" si="239">20*LOG(BA265*J265*F265*C265)</f>
        <v>-23.393768283411497</v>
      </c>
      <c r="BG265">
        <f t="shared" ref="BG265:BG328" si="240">(180/Pi)*(D265+H265+BC265)</f>
        <v>-194.33264223821337</v>
      </c>
      <c r="BH265">
        <f t="shared" si="203"/>
        <v>-14.332642238213367</v>
      </c>
      <c r="BI265">
        <f t="shared" si="204"/>
        <v>-14.332642238213367</v>
      </c>
      <c r="BJ265">
        <f t="shared" ref="BJ265:BJ328" si="241">SUM((BF266&lt;0)*(BF265&gt;0))*A265</f>
        <v>0</v>
      </c>
      <c r="BK265">
        <f t="shared" si="205"/>
        <v>0</v>
      </c>
      <c r="BM265">
        <f t="shared" si="206"/>
        <v>-33.834202934230518</v>
      </c>
      <c r="BN265">
        <f t="shared" ref="BN265:BN328" si="242">(H265+D265)*180/Pi</f>
        <v>-175.68471918412172</v>
      </c>
      <c r="BQ265" s="56">
        <f t="shared" si="207"/>
        <v>27.342395451104153</v>
      </c>
      <c r="BR265" s="59"/>
      <c r="BS265" s="59"/>
      <c r="BT265" s="59">
        <v>35481.339</v>
      </c>
      <c r="BU265" s="59">
        <v>-1.5620799999999999</v>
      </c>
      <c r="BV265" s="59">
        <v>-147.47</v>
      </c>
      <c r="BY265" s="59"/>
      <c r="BZ265" s="59"/>
      <c r="CA265" s="59"/>
      <c r="CC265" s="59"/>
    </row>
    <row r="266" spans="1:81" x14ac:dyDescent="0.2">
      <c r="A266">
        <f t="shared" si="211"/>
        <v>260000</v>
      </c>
      <c r="B266">
        <f t="shared" ref="B266:B329" si="243">A266/1000</f>
        <v>260</v>
      </c>
      <c r="C266">
        <f t="shared" si="212"/>
        <v>1.0019656774382464</v>
      </c>
      <c r="D266">
        <f t="shared" si="213"/>
        <v>6.2649228622995032E-2</v>
      </c>
      <c r="F266">
        <f t="shared" si="214"/>
        <v>1.3016398282935456E-3</v>
      </c>
      <c r="G266">
        <f t="shared" si="215"/>
        <v>1.3600988599538122E-2</v>
      </c>
      <c r="H266">
        <f t="shared" si="216"/>
        <v>-3.1279916614004621</v>
      </c>
      <c r="J266">
        <f t="shared" si="217"/>
        <v>15</v>
      </c>
      <c r="M266">
        <f t="shared" si="218"/>
        <v>8.6798025807775412E-4</v>
      </c>
      <c r="N266">
        <f t="shared" si="219"/>
        <v>-1.5707963250000001</v>
      </c>
      <c r="O266">
        <f t="shared" si="220"/>
        <v>244.01708999327442</v>
      </c>
      <c r="P266">
        <f t="shared" si="221"/>
        <v>1.566698241701417</v>
      </c>
      <c r="Q266">
        <f t="shared" si="222"/>
        <v>36.325400771179893</v>
      </c>
      <c r="R266">
        <f t="shared" si="223"/>
        <v>1.5432639024029555</v>
      </c>
      <c r="S266">
        <f t="shared" si="224"/>
        <v>0.69823134325290659</v>
      </c>
      <c r="T266">
        <f t="shared" si="225"/>
        <v>-0.79787244872043395</v>
      </c>
      <c r="U266">
        <f t="shared" si="226"/>
        <v>0.66566872043501679</v>
      </c>
      <c r="V266">
        <f t="shared" si="227"/>
        <v>-0.84240675561123113</v>
      </c>
      <c r="X266">
        <f t="shared" ref="X266:X329" si="244">20*LOG(C266*J266*O266*Q266*F266*M266*S266*U266)</f>
        <v>-23.103341425821668</v>
      </c>
      <c r="Y266">
        <f t="shared" si="228"/>
        <v>-181.42455459362523</v>
      </c>
      <c r="Z266">
        <f t="shared" ref="Z266:Z329" si="245">Y266+180</f>
        <v>-1.4245545936252313</v>
      </c>
      <c r="AC266">
        <v>1</v>
      </c>
      <c r="AD266">
        <f t="shared" si="229"/>
        <v>244.01504094786</v>
      </c>
      <c r="AE266">
        <f t="shared" si="230"/>
        <v>-7.175337241468463E-2</v>
      </c>
      <c r="AF266">
        <f t="shared" si="231"/>
        <v>6.4005552014039999E-2</v>
      </c>
      <c r="AG266">
        <f t="shared" ref="AG266:AG329" si="246">AC266*AE266/(AE266^2+AF266^2)+AD266*AF266/(AE266^2+AF266^2)</f>
        <v>1681.5718357245462</v>
      </c>
      <c r="AH266">
        <f t="shared" ref="AH266:AH329" si="247">AD266*AE266/(AE266^2+AF266^2)-AC266*AF266/(AE266^2+AF266^2)</f>
        <v>-1900.7483935784467</v>
      </c>
      <c r="AJ266">
        <f t="shared" si="232"/>
        <v>18000</v>
      </c>
      <c r="AK266">
        <f t="shared" si="233"/>
        <v>18454.770801230399</v>
      </c>
      <c r="AL266">
        <v>1</v>
      </c>
      <c r="AM266">
        <f t="shared" si="234"/>
        <v>36.311633689312806</v>
      </c>
      <c r="AN266">
        <f t="shared" ref="AN266:AN329" si="248">AJ266*AL266/(AL266^2+AM266^2)+AK266*AM266/(AL266^2+AM266^2)</f>
        <v>521.48901857300223</v>
      </c>
      <c r="AO266">
        <f t="shared" ref="AO266:AO329" si="249">AK266*AL266/(AL266^2+AM266^2)-AJ266*AM266/(AL266^2+AM266^2)</f>
        <v>-481.3474141917016</v>
      </c>
      <c r="AQ266">
        <f t="shared" si="235"/>
        <v>3.6982111752545295E-2</v>
      </c>
      <c r="AR266">
        <f t="shared" si="236"/>
        <v>-19.230698111323552</v>
      </c>
      <c r="AT266">
        <f t="shared" si="209"/>
        <v>-36490.530464941607</v>
      </c>
      <c r="AU266">
        <f t="shared" si="210"/>
        <v>-32408.094014827697</v>
      </c>
      <c r="AV266">
        <f t="shared" ref="AV266:AV329" si="250">ATAN2(AT266,AU266)</f>
        <v>-2.415378092947182</v>
      </c>
      <c r="AW266">
        <f t="shared" ref="AW266:AW329" si="251">AG266-AH266*AO266/_Rfb2+AG266*AN266/_Rfb2+AN266-AO266*AR266+AQ266*AN266</f>
        <v>-7045.6471364312674</v>
      </c>
      <c r="AX266">
        <f t="shared" ref="AX266:AX329" si="252">AH266+AH266*AN266/_Rfb2+AG266*AO266/_Rfb2+AO266+AO266*AQ266+AN266*AR266</f>
        <v>-12966.185948519422</v>
      </c>
      <c r="AY266">
        <f t="shared" si="208"/>
        <v>-2.0685476246583696</v>
      </c>
      <c r="BA266">
        <f t="shared" si="237"/>
        <v>3.3072302590058227</v>
      </c>
      <c r="BB266">
        <f t="shared" ref="BB266:BB329" si="253">20*LOG(BA266)</f>
        <v>10.389288656268633</v>
      </c>
      <c r="BC266">
        <f t="shared" ref="BC266:BC329" si="254">AV266-AY266</f>
        <v>-0.34683046828881237</v>
      </c>
      <c r="BD266">
        <f t="shared" si="238"/>
        <v>-199.87192206220186</v>
      </c>
      <c r="BF266">
        <f t="shared" si="239"/>
        <v>-23.782012685733477</v>
      </c>
      <c r="BG266">
        <f t="shared" si="240"/>
        <v>-195.50310642340287</v>
      </c>
      <c r="BH266">
        <f t="shared" ref="BH266:BH329" si="255">IF(BG266&gt;180,BG266-180,BG266+180)</f>
        <v>-15.503106423402869</v>
      </c>
      <c r="BI266">
        <f t="shared" ref="BI266:BI329" si="256">IF(BH266&gt;180,BH266-360,BH266)</f>
        <v>-15.503106423402869</v>
      </c>
      <c r="BJ266">
        <f t="shared" si="241"/>
        <v>0</v>
      </c>
      <c r="BK266">
        <f t="shared" ref="BK266:BK329" si="257">IF(BJ266&gt;0,BI266,0)</f>
        <v>0</v>
      </c>
      <c r="BM266">
        <f t="shared" ref="BM266:BM329" si="258">20*LOG(J266*F266*C266)</f>
        <v>-34.17130134200211</v>
      </c>
      <c r="BN266">
        <f t="shared" si="242"/>
        <v>-175.63118436120101</v>
      </c>
      <c r="BQ266" s="56">
        <f t="shared" ref="BQ266:BQ329" si="259">20*LOG(BA266*7)</f>
        <v>27.291249456553771</v>
      </c>
      <c r="BR266" s="59"/>
      <c r="BS266" s="59"/>
      <c r="BT266" s="59">
        <v>36307.805</v>
      </c>
      <c r="BU266" s="59">
        <v>-1.4274800000000001</v>
      </c>
      <c r="BV266" s="59">
        <v>-146.52500000000001</v>
      </c>
      <c r="BY266" s="59"/>
      <c r="BZ266" s="59"/>
      <c r="CA266" s="59"/>
      <c r="CC266" s="59"/>
    </row>
    <row r="267" spans="1:81" x14ac:dyDescent="0.2">
      <c r="A267">
        <f t="shared" si="211"/>
        <v>265000</v>
      </c>
      <c r="B267">
        <f t="shared" si="243"/>
        <v>265</v>
      </c>
      <c r="C267">
        <f t="shared" si="212"/>
        <v>1.0020419295940286</v>
      </c>
      <c r="D267">
        <f t="shared" si="213"/>
        <v>6.3850780321080547E-2</v>
      </c>
      <c r="F267">
        <f t="shared" si="214"/>
        <v>1.2529275113386E-3</v>
      </c>
      <c r="G267">
        <f t="shared" si="215"/>
        <v>1.3343741416523712E-2</v>
      </c>
      <c r="H267">
        <f t="shared" si="216"/>
        <v>-3.1282489085834766</v>
      </c>
      <c r="J267">
        <f t="shared" si="217"/>
        <v>15</v>
      </c>
      <c r="M267">
        <f t="shared" si="218"/>
        <v>8.516032720762871E-4</v>
      </c>
      <c r="N267">
        <f t="shared" si="219"/>
        <v>-1.5707963250000001</v>
      </c>
      <c r="O267">
        <f t="shared" si="220"/>
        <v>248.70964827366072</v>
      </c>
      <c r="P267">
        <f t="shared" si="221"/>
        <v>1.5667755632203044</v>
      </c>
      <c r="Q267">
        <f t="shared" si="222"/>
        <v>37.023441758468195</v>
      </c>
      <c r="R267">
        <f t="shared" si="223"/>
        <v>1.543783127003632</v>
      </c>
      <c r="S267">
        <f t="shared" si="224"/>
        <v>0.69138593321632225</v>
      </c>
      <c r="T267">
        <f t="shared" si="225"/>
        <v>-0.80739074555069379</v>
      </c>
      <c r="U267">
        <f t="shared" si="226"/>
        <v>0.6585859741343506</v>
      </c>
      <c r="V267">
        <f t="shared" si="227"/>
        <v>-0.85185820514976918</v>
      </c>
      <c r="X267">
        <f t="shared" si="244"/>
        <v>-23.4471428117409</v>
      </c>
      <c r="Y267">
        <f t="shared" si="228"/>
        <v>-182.42315676190736</v>
      </c>
      <c r="Z267">
        <f t="shared" si="245"/>
        <v>-2.4231567619073644</v>
      </c>
      <c r="AC267">
        <v>1</v>
      </c>
      <c r="AD267">
        <f t="shared" si="229"/>
        <v>248.70763788916503</v>
      </c>
      <c r="AE267">
        <f t="shared" si="230"/>
        <v>-7.4539653518065505E-2</v>
      </c>
      <c r="AF267">
        <f t="shared" si="231"/>
        <v>6.5236428014310011E-2</v>
      </c>
      <c r="AG267">
        <f t="shared" si="246"/>
        <v>1645.978201605021</v>
      </c>
      <c r="AH267">
        <f t="shared" si="247"/>
        <v>-1896.0364417683102</v>
      </c>
      <c r="AJ267">
        <f t="shared" si="232"/>
        <v>18000</v>
      </c>
      <c r="AK267">
        <f t="shared" si="233"/>
        <v>18809.6702397156</v>
      </c>
      <c r="AL267">
        <v>1</v>
      </c>
      <c r="AM267">
        <f t="shared" si="234"/>
        <v>37.009934337184205</v>
      </c>
      <c r="AN267">
        <f t="shared" si="248"/>
        <v>520.99387235577331</v>
      </c>
      <c r="AO267">
        <f t="shared" si="249"/>
        <v>-472.27876624690242</v>
      </c>
      <c r="AQ267">
        <f t="shared" si="235"/>
        <v>3.559973086603465E-2</v>
      </c>
      <c r="AR267">
        <f t="shared" si="236"/>
        <v>-18.867857358998364</v>
      </c>
      <c r="AT267">
        <f t="shared" si="209"/>
        <v>-35715.548749758782</v>
      </c>
      <c r="AU267">
        <f t="shared" si="210"/>
        <v>-31123.580310943333</v>
      </c>
      <c r="AV267">
        <f t="shared" si="250"/>
        <v>-2.4247885053054077</v>
      </c>
      <c r="AW267">
        <f t="shared" si="251"/>
        <v>-6736.6903807393483</v>
      </c>
      <c r="AX267">
        <f t="shared" si="252"/>
        <v>-12742.269805846176</v>
      </c>
      <c r="AY267">
        <f t="shared" ref="AY267:AY330" si="260">ATAN2(AW267,AX267)</f>
        <v>-2.0571303920002424</v>
      </c>
      <c r="BA267">
        <f t="shared" si="237"/>
        <v>3.2867707389680811</v>
      </c>
      <c r="BB267">
        <f t="shared" si="253"/>
        <v>10.335388238775645</v>
      </c>
      <c r="BC267">
        <f t="shared" si="254"/>
        <v>-0.36765811330516529</v>
      </c>
      <c r="BD267">
        <f t="shared" si="238"/>
        <v>-201.06525822019915</v>
      </c>
      <c r="BF267">
        <f t="shared" si="239"/>
        <v>-24.166549779673083</v>
      </c>
      <c r="BG267">
        <f t="shared" si="240"/>
        <v>-196.64233791804961</v>
      </c>
      <c r="BH267">
        <f t="shared" si="255"/>
        <v>-16.642337918049606</v>
      </c>
      <c r="BI267">
        <f t="shared" si="256"/>
        <v>-16.642337918049606</v>
      </c>
      <c r="BJ267">
        <f t="shared" si="241"/>
        <v>0</v>
      </c>
      <c r="BK267">
        <f t="shared" si="257"/>
        <v>0</v>
      </c>
      <c r="BM267">
        <f t="shared" si="258"/>
        <v>-34.501938018448726</v>
      </c>
      <c r="BN267">
        <f t="shared" si="242"/>
        <v>-175.57707969785045</v>
      </c>
      <c r="BQ267" s="56">
        <f t="shared" si="259"/>
        <v>27.237349039060781</v>
      </c>
      <c r="BR267" s="59"/>
      <c r="BS267" s="59"/>
      <c r="BT267" s="59">
        <v>37153.523000000001</v>
      </c>
      <c r="BU267" s="59">
        <v>-1.30297</v>
      </c>
      <c r="BV267" s="59">
        <v>-145.744</v>
      </c>
      <c r="BY267" s="59"/>
      <c r="BZ267" s="59"/>
      <c r="CA267" s="59"/>
      <c r="CC267" s="59"/>
    </row>
    <row r="268" spans="1:81" x14ac:dyDescent="0.2">
      <c r="A268">
        <f t="shared" si="211"/>
        <v>270000</v>
      </c>
      <c r="B268">
        <f t="shared" si="243"/>
        <v>270</v>
      </c>
      <c r="C268">
        <f t="shared" si="212"/>
        <v>1.0021196282029063</v>
      </c>
      <c r="D268">
        <f t="shared" si="213"/>
        <v>6.5052147430533613E-2</v>
      </c>
      <c r="F268">
        <f t="shared" si="214"/>
        <v>1.206900384489662E-3</v>
      </c>
      <c r="G268">
        <f t="shared" si="215"/>
        <v>1.3096055706609237E-2</v>
      </c>
      <c r="H268">
        <f t="shared" si="216"/>
        <v>-3.1284965942933911</v>
      </c>
      <c r="J268">
        <f t="shared" si="217"/>
        <v>15</v>
      </c>
      <c r="M268">
        <f t="shared" si="218"/>
        <v>8.3583284111191146E-4</v>
      </c>
      <c r="N268">
        <f t="shared" si="219"/>
        <v>-1.5707963250000001</v>
      </c>
      <c r="O268">
        <f t="shared" si="220"/>
        <v>253.40220798591582</v>
      </c>
      <c r="P268">
        <f t="shared" si="221"/>
        <v>1.5668500210246834</v>
      </c>
      <c r="Q268">
        <f t="shared" si="222"/>
        <v>37.721492357648991</v>
      </c>
      <c r="R268">
        <f t="shared" si="223"/>
        <v>1.5442831348365518</v>
      </c>
      <c r="S268">
        <f t="shared" si="224"/>
        <v>0.68461321723585589</v>
      </c>
      <c r="T268">
        <f t="shared" si="225"/>
        <v>-0.81672339450394493</v>
      </c>
      <c r="U268">
        <f t="shared" si="226"/>
        <v>0.65159598390424234</v>
      </c>
      <c r="V268">
        <f t="shared" si="227"/>
        <v>-0.86110983818641562</v>
      </c>
      <c r="X268">
        <f t="shared" si="244"/>
        <v>-23.787507524798357</v>
      </c>
      <c r="Y268">
        <f t="shared" si="228"/>
        <v>-183.40040131063995</v>
      </c>
      <c r="Z268">
        <f t="shared" si="245"/>
        <v>-3.4004013106399498</v>
      </c>
      <c r="AC268">
        <v>1</v>
      </c>
      <c r="AD268">
        <f t="shared" si="229"/>
        <v>253.40023483047</v>
      </c>
      <c r="AE268">
        <f t="shared" si="230"/>
        <v>-7.7379006642463152E-2</v>
      </c>
      <c r="AF268">
        <f t="shared" si="231"/>
        <v>6.6467304014579995E-2</v>
      </c>
      <c r="AG268">
        <f t="shared" si="246"/>
        <v>1611.2240006393738</v>
      </c>
      <c r="AH268">
        <f t="shared" si="247"/>
        <v>-1890.7779473107958</v>
      </c>
      <c r="AJ268">
        <f t="shared" si="232"/>
        <v>18000</v>
      </c>
      <c r="AK268">
        <f t="shared" si="233"/>
        <v>19164.569678200802</v>
      </c>
      <c r="AL268">
        <v>1</v>
      </c>
      <c r="AM268">
        <f t="shared" si="234"/>
        <v>37.708234985055604</v>
      </c>
      <c r="AN268">
        <f t="shared" si="248"/>
        <v>520.52595296736445</v>
      </c>
      <c r="AO268">
        <f t="shared" si="249"/>
        <v>-463.545272112578</v>
      </c>
      <c r="AQ268">
        <f t="shared" si="235"/>
        <v>3.4293435207698189E-2</v>
      </c>
      <c r="AR268">
        <f t="shared" si="236"/>
        <v>-18.518455012157023</v>
      </c>
      <c r="AT268">
        <f t="shared" si="209"/>
        <v>-34959.031949382559</v>
      </c>
      <c r="AU268">
        <f t="shared" si="210"/>
        <v>-29902.22044137615</v>
      </c>
      <c r="AV268">
        <f t="shared" si="250"/>
        <v>-2.4340006210165552</v>
      </c>
      <c r="AW268">
        <f t="shared" si="251"/>
        <v>-6445.8224035501371</v>
      </c>
      <c r="AX268">
        <f t="shared" si="252"/>
        <v>-12526.474230263493</v>
      </c>
      <c r="AY268">
        <f t="shared" si="260"/>
        <v>-2.0460365855501559</v>
      </c>
      <c r="BA268">
        <f t="shared" si="237"/>
        <v>3.2654905961187062</v>
      </c>
      <c r="BB268">
        <f t="shared" si="253"/>
        <v>10.278968748555418</v>
      </c>
      <c r="BC268">
        <f t="shared" si="254"/>
        <v>-0.38796403546639935</v>
      </c>
      <c r="BD268">
        <f t="shared" si="238"/>
        <v>-202.22870186048846</v>
      </c>
      <c r="BF268">
        <f t="shared" si="239"/>
        <v>-24.547386185307708</v>
      </c>
      <c r="BG268">
        <f t="shared" si="240"/>
        <v>-197.75113963908279</v>
      </c>
      <c r="BH268">
        <f t="shared" si="255"/>
        <v>-17.751139639082794</v>
      </c>
      <c r="BI268">
        <f t="shared" si="256"/>
        <v>-17.751139639082794</v>
      </c>
      <c r="BJ268">
        <f t="shared" si="241"/>
        <v>0</v>
      </c>
      <c r="BK268">
        <f t="shared" si="257"/>
        <v>0</v>
      </c>
      <c r="BM268">
        <f t="shared" si="258"/>
        <v>-34.826354933863122</v>
      </c>
      <c r="BN268">
        <f t="shared" si="242"/>
        <v>-175.52243777859434</v>
      </c>
      <c r="BQ268" s="56">
        <f t="shared" si="259"/>
        <v>27.180929548840552</v>
      </c>
      <c r="BR268" s="59"/>
      <c r="BS268" s="59"/>
      <c r="BT268" s="59">
        <v>38018.94</v>
      </c>
      <c r="BU268" s="59">
        <v>-1.18652</v>
      </c>
      <c r="BV268" s="59">
        <v>-144.86799999999999</v>
      </c>
      <c r="BY268" s="59"/>
      <c r="BZ268" s="59"/>
      <c r="CA268" s="59"/>
      <c r="CC268" s="59"/>
    </row>
    <row r="269" spans="1:81" x14ac:dyDescent="0.2">
      <c r="A269">
        <f t="shared" si="211"/>
        <v>275000</v>
      </c>
      <c r="B269">
        <f t="shared" si="243"/>
        <v>275</v>
      </c>
      <c r="C269">
        <f t="shared" si="212"/>
        <v>1.0021987729284567</v>
      </c>
      <c r="D269">
        <f t="shared" si="213"/>
        <v>6.6253326526870909E-2</v>
      </c>
      <c r="F269">
        <f t="shared" si="214"/>
        <v>1.1633645890059667E-3</v>
      </c>
      <c r="G269">
        <f t="shared" si="215"/>
        <v>1.2857407539194598E-2</v>
      </c>
      <c r="H269">
        <f t="shared" si="216"/>
        <v>-3.1287352424608055</v>
      </c>
      <c r="J269">
        <f t="shared" si="217"/>
        <v>15</v>
      </c>
      <c r="M269">
        <f t="shared" si="218"/>
        <v>8.2063588036442221E-4</v>
      </c>
      <c r="N269">
        <f t="shared" si="219"/>
        <v>-1.5707963250000001</v>
      </c>
      <c r="O269">
        <f t="shared" si="220"/>
        <v>258.09476905193901</v>
      </c>
      <c r="P269">
        <f t="shared" si="221"/>
        <v>1.5669217713139478</v>
      </c>
      <c r="Q269">
        <f t="shared" si="222"/>
        <v>38.419552044802543</v>
      </c>
      <c r="R269">
        <f t="shared" si="223"/>
        <v>1.544764973115256</v>
      </c>
      <c r="S269">
        <f t="shared" si="224"/>
        <v>0.67791456800099659</v>
      </c>
      <c r="T269">
        <f t="shared" si="225"/>
        <v>-0.82587419557648523</v>
      </c>
      <c r="U269">
        <f t="shared" si="226"/>
        <v>0.64469936120478954</v>
      </c>
      <c r="V269">
        <f t="shared" si="227"/>
        <v>-0.87016639054648326</v>
      </c>
      <c r="X269">
        <f t="shared" si="244"/>
        <v>-24.12449652491032</v>
      </c>
      <c r="Y269">
        <f t="shared" si="228"/>
        <v>-184.35673857111485</v>
      </c>
      <c r="Z269">
        <f t="shared" si="245"/>
        <v>-4.3567385711148461</v>
      </c>
      <c r="AC269">
        <v>1</v>
      </c>
      <c r="AD269">
        <f t="shared" si="229"/>
        <v>258.09283177177502</v>
      </c>
      <c r="AE269">
        <f t="shared" si="230"/>
        <v>-8.0271431787877587E-2</v>
      </c>
      <c r="AF269">
        <f t="shared" si="231"/>
        <v>6.7698180014850007E-2</v>
      </c>
      <c r="AG269">
        <f t="shared" si="246"/>
        <v>1577.297461958525</v>
      </c>
      <c r="AH269">
        <f t="shared" si="247"/>
        <v>-1885.0126487714108</v>
      </c>
      <c r="AJ269">
        <f t="shared" si="232"/>
        <v>18000</v>
      </c>
      <c r="AK269">
        <f t="shared" si="233"/>
        <v>19519.469116685999</v>
      </c>
      <c r="AL269">
        <v>1</v>
      </c>
      <c r="AM269">
        <f t="shared" si="234"/>
        <v>38.406535632927003</v>
      </c>
      <c r="AN269">
        <f t="shared" si="248"/>
        <v>520.08330064687652</v>
      </c>
      <c r="AO269">
        <f t="shared" si="249"/>
        <v>-455.12870169854898</v>
      </c>
      <c r="AQ269">
        <f t="shared" si="235"/>
        <v>3.3057741957877827E-2</v>
      </c>
      <c r="AR269">
        <f t="shared" si="236"/>
        <v>-18.181758076832804</v>
      </c>
      <c r="AT269">
        <f t="shared" si="209"/>
        <v>-34220.702059243355</v>
      </c>
      <c r="AU269">
        <f t="shared" si="210"/>
        <v>-28740.355130262717</v>
      </c>
      <c r="AV269">
        <f t="shared" si="250"/>
        <v>-2.4430190930076487</v>
      </c>
      <c r="AW269">
        <f t="shared" si="251"/>
        <v>-6171.6933743147329</v>
      </c>
      <c r="AX269">
        <f t="shared" si="252"/>
        <v>-12318.328051241608</v>
      </c>
      <c r="AY269">
        <f t="shared" si="260"/>
        <v>-2.0352573091924389</v>
      </c>
      <c r="BA269">
        <f t="shared" si="237"/>
        <v>3.2434892895726279</v>
      </c>
      <c r="BB269">
        <f t="shared" si="253"/>
        <v>10.220249363424578</v>
      </c>
      <c r="BC269">
        <f t="shared" si="254"/>
        <v>-0.40776178381520989</v>
      </c>
      <c r="BD269">
        <f t="shared" si="238"/>
        <v>-203.36302928603357</v>
      </c>
      <c r="BF269">
        <f t="shared" si="239"/>
        <v>-24.924531313741795</v>
      </c>
      <c r="BG269">
        <f t="shared" si="240"/>
        <v>-198.83031810468677</v>
      </c>
      <c r="BH269">
        <f t="shared" si="255"/>
        <v>-18.830318104686768</v>
      </c>
      <c r="BI269">
        <f t="shared" si="256"/>
        <v>-18.830318104686768</v>
      </c>
      <c r="BJ269">
        <f t="shared" si="241"/>
        <v>0</v>
      </c>
      <c r="BK269">
        <f t="shared" si="257"/>
        <v>0</v>
      </c>
      <c r="BM269">
        <f t="shared" si="258"/>
        <v>-35.144780677166366</v>
      </c>
      <c r="BN269">
        <f t="shared" si="242"/>
        <v>-175.46728881865323</v>
      </c>
      <c r="BQ269" s="56">
        <f t="shared" si="259"/>
        <v>27.122210163709713</v>
      </c>
      <c r="BR269" s="59"/>
      <c r="BS269" s="59"/>
      <c r="BT269" s="59">
        <v>38904.514000000003</v>
      </c>
      <c r="BU269" s="59">
        <v>-1.0515600000000001</v>
      </c>
      <c r="BV269" s="59">
        <v>-144.06</v>
      </c>
      <c r="BY269" s="59"/>
      <c r="BZ269" s="59"/>
      <c r="CA269" s="59"/>
      <c r="CC269" s="59"/>
    </row>
    <row r="270" spans="1:81" x14ac:dyDescent="0.2">
      <c r="A270">
        <f t="shared" si="211"/>
        <v>280000</v>
      </c>
      <c r="B270">
        <f t="shared" si="243"/>
        <v>280</v>
      </c>
      <c r="C270">
        <f t="shared" si="212"/>
        <v>1.0022793634281033</v>
      </c>
      <c r="D270">
        <f t="shared" si="213"/>
        <v>6.7454314188850936E-2</v>
      </c>
      <c r="F270">
        <f t="shared" si="214"/>
        <v>1.1221434560988275E-3</v>
      </c>
      <c r="G270">
        <f t="shared" si="215"/>
        <v>1.2627310615922227E-2</v>
      </c>
      <c r="H270">
        <f t="shared" si="216"/>
        <v>-3.1289653393840782</v>
      </c>
      <c r="J270">
        <f t="shared" si="217"/>
        <v>15</v>
      </c>
      <c r="M270">
        <f t="shared" si="218"/>
        <v>8.059816682150575E-4</v>
      </c>
      <c r="N270">
        <f t="shared" si="219"/>
        <v>-1.5707963250000001</v>
      </c>
      <c r="O270">
        <f t="shared" si="220"/>
        <v>262.7873313992082</v>
      </c>
      <c r="P270">
        <f t="shared" si="221"/>
        <v>1.5669909591306714</v>
      </c>
      <c r="Q270">
        <f t="shared" si="222"/>
        <v>39.117620333400225</v>
      </c>
      <c r="R270">
        <f t="shared" si="223"/>
        <v>1.5452296143368727</v>
      </c>
      <c r="S270">
        <f t="shared" si="224"/>
        <v>0.67129114950783653</v>
      </c>
      <c r="T270">
        <f t="shared" si="225"/>
        <v>-0.8348469239902675</v>
      </c>
      <c r="U270">
        <f t="shared" si="226"/>
        <v>0.63789651378483847</v>
      </c>
      <c r="V270">
        <f t="shared" si="227"/>
        <v>-0.87903252851250502</v>
      </c>
      <c r="X270">
        <f t="shared" si="244"/>
        <v>-24.458168106869703</v>
      </c>
      <c r="Y270">
        <f t="shared" si="228"/>
        <v>-185.2926162344701</v>
      </c>
      <c r="Z270">
        <f t="shared" si="245"/>
        <v>-5.2926162344701027</v>
      </c>
      <c r="AC270">
        <v>1</v>
      </c>
      <c r="AD270">
        <f t="shared" si="229"/>
        <v>262.78542871308002</v>
      </c>
      <c r="AE270">
        <f t="shared" si="230"/>
        <v>-8.3216928954308794E-2</v>
      </c>
      <c r="AF270">
        <f t="shared" si="231"/>
        <v>6.8929056015120005E-2</v>
      </c>
      <c r="AG270">
        <f t="shared" si="246"/>
        <v>1544.1858980296918</v>
      </c>
      <c r="AH270">
        <f t="shared" si="247"/>
        <v>-1878.7782055244634</v>
      </c>
      <c r="AJ270">
        <f t="shared" si="232"/>
        <v>18000</v>
      </c>
      <c r="AK270">
        <f t="shared" si="233"/>
        <v>19874.368555171201</v>
      </c>
      <c r="AL270">
        <v>1</v>
      </c>
      <c r="AM270">
        <f t="shared" si="234"/>
        <v>39.104836280798402</v>
      </c>
      <c r="AN270">
        <f t="shared" si="248"/>
        <v>519.66412880202233</v>
      </c>
      <c r="AO270">
        <f t="shared" si="249"/>
        <v>-447.012122635617</v>
      </c>
      <c r="AQ270">
        <f t="shared" si="235"/>
        <v>3.1887653419472514E-2</v>
      </c>
      <c r="AR270">
        <f t="shared" si="236"/>
        <v>-17.857085914904609</v>
      </c>
      <c r="AT270">
        <f t="shared" si="209"/>
        <v>-33500.263366369043</v>
      </c>
      <c r="AU270">
        <f t="shared" si="210"/>
        <v>-27634.570077970155</v>
      </c>
      <c r="AV270">
        <f t="shared" si="250"/>
        <v>-2.4518485105839893</v>
      </c>
      <c r="AW270">
        <f t="shared" si="251"/>
        <v>-5913.0746519621689</v>
      </c>
      <c r="AX270">
        <f t="shared" si="252"/>
        <v>-12117.397800313856</v>
      </c>
      <c r="AY270">
        <f t="shared" si="260"/>
        <v>-2.024783570606874</v>
      </c>
      <c r="BA270">
        <f t="shared" si="237"/>
        <v>3.2208589224146915</v>
      </c>
      <c r="BB270">
        <f t="shared" si="253"/>
        <v>10.159434052068255</v>
      </c>
      <c r="BC270">
        <f t="shared" si="254"/>
        <v>-0.42706493997711537</v>
      </c>
      <c r="BD270">
        <f t="shared" si="238"/>
        <v>-204.46901866665647</v>
      </c>
      <c r="BF270">
        <f t="shared" si="239"/>
        <v>-25.297997373745638</v>
      </c>
      <c r="BG270">
        <f t="shared" si="240"/>
        <v>-199.88067954354986</v>
      </c>
      <c r="BH270">
        <f t="shared" si="255"/>
        <v>-19.88067954354986</v>
      </c>
      <c r="BI270">
        <f t="shared" si="256"/>
        <v>-19.88067954354986</v>
      </c>
      <c r="BJ270">
        <f t="shared" si="241"/>
        <v>0</v>
      </c>
      <c r="BK270">
        <f t="shared" si="257"/>
        <v>0</v>
      </c>
      <c r="BM270">
        <f t="shared" si="258"/>
        <v>-35.457431425813894</v>
      </c>
      <c r="BN270">
        <f t="shared" si="242"/>
        <v>-175.41166087689342</v>
      </c>
      <c r="BQ270" s="56">
        <f t="shared" si="259"/>
        <v>27.061394852353388</v>
      </c>
      <c r="BR270" s="59"/>
      <c r="BS270" s="59"/>
      <c r="BT270" s="59">
        <v>39810.716999999997</v>
      </c>
      <c r="BU270" s="59">
        <v>-0.92721699999999996</v>
      </c>
      <c r="BV270" s="59">
        <v>-143.22999999999999</v>
      </c>
      <c r="BY270" s="59"/>
      <c r="BZ270" s="59"/>
      <c r="CA270" s="59"/>
      <c r="CC270" s="59"/>
    </row>
    <row r="271" spans="1:81" x14ac:dyDescent="0.2">
      <c r="A271">
        <f t="shared" si="211"/>
        <v>285000</v>
      </c>
      <c r="B271">
        <f t="shared" si="243"/>
        <v>285</v>
      </c>
      <c r="C271">
        <f t="shared" si="212"/>
        <v>1.0023613993531226</v>
      </c>
      <c r="D271">
        <f t="shared" si="213"/>
        <v>6.865510699853164E-2</v>
      </c>
      <c r="F271">
        <f t="shared" si="214"/>
        <v>1.0830757091243445E-3</v>
      </c>
      <c r="G271">
        <f t="shared" si="215"/>
        <v>1.2405312948167973E-2</v>
      </c>
      <c r="H271">
        <f t="shared" si="216"/>
        <v>-3.1291873370518322</v>
      </c>
      <c r="J271">
        <f t="shared" si="217"/>
        <v>15</v>
      </c>
      <c r="M271">
        <f t="shared" si="218"/>
        <v>7.9184163894812666E-4</v>
      </c>
      <c r="N271">
        <f t="shared" si="219"/>
        <v>-1.5707963250000001</v>
      </c>
      <c r="O271">
        <f t="shared" si="220"/>
        <v>267.47989496029015</v>
      </c>
      <c r="P271">
        <f t="shared" si="221"/>
        <v>1.5670577193392476</v>
      </c>
      <c r="Q271">
        <f t="shared" si="222"/>
        <v>39.815696771027859</v>
      </c>
      <c r="R271">
        <f t="shared" si="223"/>
        <v>1.5456779628275312</v>
      </c>
      <c r="S271">
        <f t="shared" si="224"/>
        <v>0.66474393151405264</v>
      </c>
      <c r="T271">
        <f t="shared" si="225"/>
        <v>-0.84364532420763516</v>
      </c>
      <c r="U271">
        <f t="shared" si="226"/>
        <v>0.63118766306680041</v>
      </c>
      <c r="V271">
        <f t="shared" si="227"/>
        <v>-0.88771284401900463</v>
      </c>
      <c r="X271">
        <f t="shared" si="244"/>
        <v>-24.788578176187062</v>
      </c>
      <c r="Y271">
        <f t="shared" si="228"/>
        <v>-186.20847849270623</v>
      </c>
      <c r="Z271">
        <f t="shared" si="245"/>
        <v>-6.2084784927062344</v>
      </c>
      <c r="AC271">
        <v>1</v>
      </c>
      <c r="AD271">
        <f t="shared" si="229"/>
        <v>267.47802565438496</v>
      </c>
      <c r="AE271">
        <f t="shared" si="230"/>
        <v>-8.6215498141756788E-2</v>
      </c>
      <c r="AF271">
        <f t="shared" si="231"/>
        <v>7.0159932015390003E-2</v>
      </c>
      <c r="AG271">
        <f t="shared" si="246"/>
        <v>1511.8758441474185</v>
      </c>
      <c r="AH271">
        <f t="shared" si="247"/>
        <v>-1872.1102666240747</v>
      </c>
      <c r="AJ271">
        <f t="shared" si="232"/>
        <v>18000</v>
      </c>
      <c r="AK271">
        <f t="shared" si="233"/>
        <v>20229.267993656398</v>
      </c>
      <c r="AL271">
        <v>1</v>
      </c>
      <c r="AM271">
        <f t="shared" si="234"/>
        <v>39.803136928669801</v>
      </c>
      <c r="AN271">
        <f t="shared" si="248"/>
        <v>519.26680597032828</v>
      </c>
      <c r="AO271">
        <f t="shared" si="249"/>
        <v>-439.17978689359217</v>
      </c>
      <c r="AQ271">
        <f t="shared" si="235"/>
        <v>3.0778606406259137E-2</v>
      </c>
      <c r="AR271">
        <f t="shared" si="236"/>
        <v>-17.543805651567709</v>
      </c>
      <c r="AT271">
        <f t="shared" si="209"/>
        <v>-32797.405244415233</v>
      </c>
      <c r="AU271">
        <f t="shared" si="210"/>
        <v>-26581.67692406772</v>
      </c>
      <c r="AV271">
        <f t="shared" si="250"/>
        <v>-2.4604933941045584</v>
      </c>
      <c r="AW271">
        <f t="shared" si="251"/>
        <v>-5668.8461188418887</v>
      </c>
      <c r="AX271">
        <f t="shared" si="252"/>
        <v>-11923.283954417586</v>
      </c>
      <c r="AY271">
        <f t="shared" si="260"/>
        <v>-2.0146063384593536</v>
      </c>
      <c r="BA271">
        <f t="shared" si="237"/>
        <v>3.197684597613816</v>
      </c>
      <c r="BB271">
        <f t="shared" si="253"/>
        <v>10.096712501080871</v>
      </c>
      <c r="BC271">
        <f t="shared" si="254"/>
        <v>-0.44588705564520481</v>
      </c>
      <c r="BD271">
        <f t="shared" si="238"/>
        <v>-205.54744645717733</v>
      </c>
      <c r="BF271">
        <f t="shared" si="239"/>
        <v>-25.667799328220827</v>
      </c>
      <c r="BG271">
        <f t="shared" si="240"/>
        <v>-200.90302650336633</v>
      </c>
      <c r="BH271">
        <f t="shared" si="255"/>
        <v>-20.903026503366334</v>
      </c>
      <c r="BI271">
        <f t="shared" si="256"/>
        <v>-20.903026503366334</v>
      </c>
      <c r="BJ271">
        <f t="shared" si="241"/>
        <v>0</v>
      </c>
      <c r="BK271">
        <f t="shared" si="257"/>
        <v>0</v>
      </c>
      <c r="BM271">
        <f t="shared" si="258"/>
        <v>-35.764511829301696</v>
      </c>
      <c r="BN271">
        <f t="shared" si="242"/>
        <v>-175.35558004618903</v>
      </c>
      <c r="BQ271" s="56">
        <f t="shared" si="259"/>
        <v>26.998673301366011</v>
      </c>
      <c r="BR271" s="59"/>
      <c r="BS271" s="59"/>
      <c r="BT271" s="59">
        <v>40738.027999999998</v>
      </c>
      <c r="BU271" s="59">
        <v>-0.80365399999999998</v>
      </c>
      <c r="BV271" s="59">
        <v>-142.31399999999999</v>
      </c>
      <c r="BY271" s="59"/>
      <c r="BZ271" s="59"/>
      <c r="CA271" s="59"/>
      <c r="CC271" s="59"/>
    </row>
    <row r="272" spans="1:81" x14ac:dyDescent="0.2">
      <c r="A272">
        <f t="shared" si="211"/>
        <v>290000</v>
      </c>
      <c r="B272">
        <f t="shared" si="243"/>
        <v>290</v>
      </c>
      <c r="C272">
        <f t="shared" si="212"/>
        <v>1.0024448803486519</v>
      </c>
      <c r="D272">
        <f t="shared" si="213"/>
        <v>6.98557015413276E-2</v>
      </c>
      <c r="F272">
        <f t="shared" si="214"/>
        <v>1.0460138814418153E-3</v>
      </c>
      <c r="G272">
        <f t="shared" si="215"/>
        <v>1.2190993880766693E-2</v>
      </c>
      <c r="H272">
        <f t="shared" si="216"/>
        <v>-3.1294016561192337</v>
      </c>
      <c r="J272">
        <f t="shared" si="217"/>
        <v>15</v>
      </c>
      <c r="M272">
        <f t="shared" si="218"/>
        <v>7.7818919689729685E-4</v>
      </c>
      <c r="N272">
        <f t="shared" si="219"/>
        <v>-1.5707963250000001</v>
      </c>
      <c r="O272">
        <f t="shared" si="220"/>
        <v>272.17245967240245</v>
      </c>
      <c r="P272">
        <f t="shared" si="221"/>
        <v>1.5671221775032942</v>
      </c>
      <c r="Q272">
        <f t="shared" si="222"/>
        <v>40.513780936447588</v>
      </c>
      <c r="R272">
        <f t="shared" si="223"/>
        <v>1.5461108606116789</v>
      </c>
      <c r="S272">
        <f t="shared" si="224"/>
        <v>0.658273703335581</v>
      </c>
      <c r="T272">
        <f t="shared" si="225"/>
        <v>-0.85227310461065375</v>
      </c>
      <c r="U272">
        <f t="shared" si="226"/>
        <v>0.6245728604635592</v>
      </c>
      <c r="V272">
        <f t="shared" si="227"/>
        <v>-0.8962118506039386</v>
      </c>
      <c r="X272">
        <f t="shared" si="244"/>
        <v>-25.115780489917231</v>
      </c>
      <c r="Y272">
        <f t="shared" si="228"/>
        <v>-187.10476528583504</v>
      </c>
      <c r="Z272">
        <f t="shared" si="245"/>
        <v>-7.1047652858350432</v>
      </c>
      <c r="AC272">
        <v>1</v>
      </c>
      <c r="AD272">
        <f t="shared" si="229"/>
        <v>272.17062259569002</v>
      </c>
      <c r="AE272">
        <f t="shared" si="230"/>
        <v>-8.9267139350221555E-2</v>
      </c>
      <c r="AF272">
        <f t="shared" si="231"/>
        <v>7.1390808015660001E-2</v>
      </c>
      <c r="AG272">
        <f t="shared" si="246"/>
        <v>1480.3531854601204</v>
      </c>
      <c r="AH272">
        <f t="shared" si="247"/>
        <v>-1865.0425425190083</v>
      </c>
      <c r="AJ272">
        <f t="shared" si="232"/>
        <v>18000</v>
      </c>
      <c r="AK272">
        <f t="shared" si="233"/>
        <v>20584.167432141599</v>
      </c>
      <c r="AL272">
        <v>1</v>
      </c>
      <c r="AM272">
        <f t="shared" si="234"/>
        <v>40.501437576541207</v>
      </c>
      <c r="AN272">
        <f t="shared" si="248"/>
        <v>518.88983993470458</v>
      </c>
      <c r="AO272">
        <f t="shared" si="249"/>
        <v>-431.61702907529656</v>
      </c>
      <c r="AQ272">
        <f t="shared" si="235"/>
        <v>2.9726427686005689E-2</v>
      </c>
      <c r="AR272">
        <f t="shared" si="236"/>
        <v>-17.241328057883301</v>
      </c>
      <c r="AT272">
        <f t="shared" si="209"/>
        <v>-32111.804705561659</v>
      </c>
      <c r="AU272">
        <f t="shared" si="210"/>
        <v>-25578.695964322011</v>
      </c>
      <c r="AV272">
        <f t="shared" si="250"/>
        <v>-2.4689581904678204</v>
      </c>
      <c r="AW272">
        <f t="shared" si="251"/>
        <v>-5437.9850230379607</v>
      </c>
      <c r="AX272">
        <f t="shared" si="252"/>
        <v>-11735.617617302363</v>
      </c>
      <c r="AY272">
        <f t="shared" si="260"/>
        <v>-2.0047165920334353</v>
      </c>
      <c r="BA272">
        <f t="shared" si="237"/>
        <v>3.1740447845585007</v>
      </c>
      <c r="BB272">
        <f t="shared" si="253"/>
        <v>10.032261003823448</v>
      </c>
      <c r="BC272">
        <f t="shared" si="254"/>
        <v>-0.46424159843438506</v>
      </c>
      <c r="BD272">
        <f t="shared" si="238"/>
        <v>-206.5990842950913</v>
      </c>
      <c r="BF272">
        <f t="shared" si="239"/>
        <v>-26.033954811532396</v>
      </c>
      <c r="BG272">
        <f t="shared" si="240"/>
        <v>-201.89815491903838</v>
      </c>
      <c r="BH272">
        <f t="shared" si="255"/>
        <v>-21.898154919038376</v>
      </c>
      <c r="BI272">
        <f t="shared" si="256"/>
        <v>-21.898154919038376</v>
      </c>
      <c r="BJ272">
        <f t="shared" si="241"/>
        <v>0</v>
      </c>
      <c r="BK272">
        <f t="shared" si="257"/>
        <v>0</v>
      </c>
      <c r="BM272">
        <f t="shared" si="258"/>
        <v>-36.066215815355847</v>
      </c>
      <c r="BN272">
        <f t="shared" si="242"/>
        <v>-175.29907062394707</v>
      </c>
      <c r="BQ272" s="56">
        <f t="shared" si="259"/>
        <v>26.934221804108589</v>
      </c>
      <c r="BR272" s="59"/>
      <c r="BS272" s="59"/>
      <c r="BT272" s="59">
        <v>41686.938000000002</v>
      </c>
      <c r="BU272" s="59">
        <v>-0.666377</v>
      </c>
      <c r="BV272" s="59">
        <v>-141.465</v>
      </c>
      <c r="BY272" s="59"/>
      <c r="BZ272" s="59"/>
      <c r="CA272" s="59"/>
      <c r="CC272" s="59"/>
    </row>
    <row r="273" spans="1:81" x14ac:dyDescent="0.2">
      <c r="A273">
        <f t="shared" si="211"/>
        <v>295000</v>
      </c>
      <c r="B273">
        <f t="shared" si="243"/>
        <v>295</v>
      </c>
      <c r="C273">
        <f t="shared" si="212"/>
        <v>1.0025298060536965</v>
      </c>
      <c r="D273">
        <f t="shared" si="213"/>
        <v>7.1056094406067111E-2</v>
      </c>
      <c r="F273">
        <f t="shared" si="214"/>
        <v>1.0108229208605282E-3</v>
      </c>
      <c r="G273">
        <f t="shared" si="215"/>
        <v>1.1983961420558987E-2</v>
      </c>
      <c r="H273">
        <f t="shared" si="216"/>
        <v>-3.1296086885794412</v>
      </c>
      <c r="J273">
        <f t="shared" si="217"/>
        <v>15</v>
      </c>
      <c r="M273">
        <f t="shared" si="218"/>
        <v>7.6499954949225794E-4</v>
      </c>
      <c r="N273">
        <f t="shared" si="219"/>
        <v>-1.5707963250000001</v>
      </c>
      <c r="O273">
        <f t="shared" si="220"/>
        <v>276.86502547701889</v>
      </c>
      <c r="P273">
        <f t="shared" si="221"/>
        <v>1.5671844506738328</v>
      </c>
      <c r="Q273">
        <f t="shared" si="222"/>
        <v>41.211872436958323</v>
      </c>
      <c r="R273">
        <f t="shared" si="223"/>
        <v>1.5465290926853847</v>
      </c>
      <c r="S273">
        <f t="shared" si="224"/>
        <v>0.65188108698136848</v>
      </c>
      <c r="T273">
        <f t="shared" si="225"/>
        <v>-0.86073393279783728</v>
      </c>
      <c r="U273">
        <f t="shared" si="226"/>
        <v>0.61805200266013705</v>
      </c>
      <c r="V273">
        <f t="shared" si="227"/>
        <v>-0.90453398004819718</v>
      </c>
      <c r="X273">
        <f t="shared" si="244"/>
        <v>-25.439826866965291</v>
      </c>
      <c r="Y273">
        <f t="shared" si="228"/>
        <v>-187.98191164562164</v>
      </c>
      <c r="Z273">
        <f t="shared" si="245"/>
        <v>-7.9819116456216364</v>
      </c>
      <c r="AC273">
        <v>1</v>
      </c>
      <c r="AD273">
        <f t="shared" si="229"/>
        <v>276.86321953699502</v>
      </c>
      <c r="AE273">
        <f t="shared" si="230"/>
        <v>-9.2371852579703095E-2</v>
      </c>
      <c r="AF273">
        <f t="shared" si="231"/>
        <v>7.2621684015929999E-2</v>
      </c>
      <c r="AG273">
        <f t="shared" si="246"/>
        <v>1449.6032723043795</v>
      </c>
      <c r="AH273">
        <f t="shared" si="247"/>
        <v>-1857.6068786667586</v>
      </c>
      <c r="AJ273">
        <f t="shared" si="232"/>
        <v>18000</v>
      </c>
      <c r="AK273">
        <f t="shared" si="233"/>
        <v>20939.066870626797</v>
      </c>
      <c r="AL273">
        <v>1</v>
      </c>
      <c r="AM273">
        <f t="shared" si="234"/>
        <v>41.199738224412599</v>
      </c>
      <c r="AN273">
        <f t="shared" si="248"/>
        <v>518.53186370432718</v>
      </c>
      <c r="AO273">
        <f t="shared" si="249"/>
        <v>-424.31017500827613</v>
      </c>
      <c r="AQ273">
        <f t="shared" si="235"/>
        <v>2.8727294664479562E-2</v>
      </c>
      <c r="AR273">
        <f t="shared" si="236"/>
        <v>-16.949103852042942</v>
      </c>
      <c r="AT273">
        <f t="shared" si="209"/>
        <v>-31443.128722442143</v>
      </c>
      <c r="AU273">
        <f t="shared" si="210"/>
        <v>-24622.840426722436</v>
      </c>
      <c r="AV273">
        <f t="shared" si="250"/>
        <v>-2.477247269332933</v>
      </c>
      <c r="AW273">
        <f t="shared" si="251"/>
        <v>-5219.5561275896571</v>
      </c>
      <c r="AX273">
        <f t="shared" si="252"/>
        <v>-11554.057581206671</v>
      </c>
      <c r="AY273">
        <f t="shared" si="260"/>
        <v>-1.9951053639563279</v>
      </c>
      <c r="BA273">
        <f t="shared" si="237"/>
        <v>3.1500116898953765</v>
      </c>
      <c r="BB273">
        <f t="shared" si="253"/>
        <v>9.9662433097452521</v>
      </c>
      <c r="BC273">
        <f t="shared" si="254"/>
        <v>-0.48214190537660517</v>
      </c>
      <c r="BD273">
        <f t="shared" si="238"/>
        <v>-207.62469633604118</v>
      </c>
      <c r="BF273">
        <f t="shared" si="239"/>
        <v>-26.396484017047133</v>
      </c>
      <c r="BG273">
        <f t="shared" si="240"/>
        <v>-202.86685160120814</v>
      </c>
      <c r="BH273">
        <f t="shared" si="255"/>
        <v>-22.86685160120814</v>
      </c>
      <c r="BI273">
        <f t="shared" si="256"/>
        <v>-22.86685160120814</v>
      </c>
      <c r="BJ273">
        <f t="shared" si="241"/>
        <v>0</v>
      </c>
      <c r="BK273">
        <f t="shared" si="257"/>
        <v>0</v>
      </c>
      <c r="BM273">
        <f t="shared" si="258"/>
        <v>-36.362727326792381</v>
      </c>
      <c r="BN273">
        <f t="shared" si="242"/>
        <v>-175.24215526516696</v>
      </c>
      <c r="BQ273" s="56">
        <f t="shared" si="259"/>
        <v>26.868204110030391</v>
      </c>
      <c r="BR273" s="59"/>
      <c r="BS273" s="59"/>
      <c r="BT273" s="59">
        <v>42657.951999999997</v>
      </c>
      <c r="BU273" s="59">
        <v>-0.55182299999999995</v>
      </c>
      <c r="BV273" s="59">
        <v>-140.39099999999999</v>
      </c>
      <c r="BY273" s="59"/>
      <c r="BZ273" s="59"/>
      <c r="CA273" s="59"/>
      <c r="CC273" s="59"/>
    </row>
    <row r="274" spans="1:81" x14ac:dyDescent="0.2">
      <c r="A274">
        <f t="shared" si="211"/>
        <v>300000</v>
      </c>
      <c r="B274">
        <f t="shared" si="243"/>
        <v>300</v>
      </c>
      <c r="C274">
        <f t="shared" si="212"/>
        <v>1.0026161761011381</v>
      </c>
      <c r="D274">
        <f t="shared" si="213"/>
        <v>7.22562821850493E-2</v>
      </c>
      <c r="F274">
        <f t="shared" si="214"/>
        <v>9.7737895593613222E-4</v>
      </c>
      <c r="G274">
        <f t="shared" si="215"/>
        <v>1.1783849833916393E-2</v>
      </c>
      <c r="H274">
        <f t="shared" si="216"/>
        <v>-3.1298088001660838</v>
      </c>
      <c r="J274">
        <f t="shared" si="217"/>
        <v>15</v>
      </c>
      <c r="M274">
        <f t="shared" si="218"/>
        <v>7.5224955700072026E-4</v>
      </c>
      <c r="N274">
        <f t="shared" si="219"/>
        <v>-1.5707963250000001</v>
      </c>
      <c r="O274">
        <f t="shared" si="220"/>
        <v>281.55759231951492</v>
      </c>
      <c r="P274">
        <f t="shared" si="221"/>
        <v>1.5672446480986537</v>
      </c>
      <c r="Q274">
        <f t="shared" si="222"/>
        <v>41.909970906019744</v>
      </c>
      <c r="R274">
        <f t="shared" si="223"/>
        <v>1.5469333917630519</v>
      </c>
      <c r="S274">
        <f t="shared" si="224"/>
        <v>0.64556654962837245</v>
      </c>
      <c r="T274">
        <f t="shared" si="225"/>
        <v>-0.8690314314528762</v>
      </c>
      <c r="U274">
        <f t="shared" si="226"/>
        <v>0.61162484589685939</v>
      </c>
      <c r="V274">
        <f t="shared" si="227"/>
        <v>-0.91268357963891811</v>
      </c>
      <c r="X274">
        <f t="shared" si="244"/>
        <v>-25.760767371783672</v>
      </c>
      <c r="Y274">
        <f t="shared" si="228"/>
        <v>-188.84034712711787</v>
      </c>
      <c r="Z274">
        <f t="shared" si="245"/>
        <v>-8.840347127117866</v>
      </c>
      <c r="AC274">
        <v>1</v>
      </c>
      <c r="AD274">
        <f t="shared" si="229"/>
        <v>281.55581647829996</v>
      </c>
      <c r="AE274">
        <f t="shared" si="230"/>
        <v>-9.5529637830201422E-2</v>
      </c>
      <c r="AF274">
        <f t="shared" si="231"/>
        <v>7.3852560016199997E-2</v>
      </c>
      <c r="AG274">
        <f t="shared" si="246"/>
        <v>1419.6110246128069</v>
      </c>
      <c r="AH274">
        <f t="shared" si="247"/>
        <v>-1849.8333302333094</v>
      </c>
      <c r="AJ274">
        <f t="shared" si="232"/>
        <v>18000</v>
      </c>
      <c r="AK274">
        <f t="shared" si="233"/>
        <v>21293.966309112002</v>
      </c>
      <c r="AL274">
        <v>1</v>
      </c>
      <c r="AM274">
        <f t="shared" si="234"/>
        <v>41.898038872284005</v>
      </c>
      <c r="AN274">
        <f t="shared" si="248"/>
        <v>518.19162311467744</v>
      </c>
      <c r="AO274">
        <f t="shared" si="249"/>
        <v>-417.24645943869518</v>
      </c>
      <c r="AQ274">
        <f t="shared" si="235"/>
        <v>2.7777700617498284E-2</v>
      </c>
      <c r="AR274">
        <f t="shared" si="236"/>
        <v>-16.666620370498972</v>
      </c>
      <c r="AT274">
        <f t="shared" si="209"/>
        <v>-30791.036333659431</v>
      </c>
      <c r="AU274">
        <f t="shared" si="210"/>
        <v>-23711.502137436215</v>
      </c>
      <c r="AV274">
        <f t="shared" si="250"/>
        <v>-2.4853649200065981</v>
      </c>
      <c r="AW274">
        <f t="shared" si="251"/>
        <v>-5012.7029949436801</v>
      </c>
      <c r="AX274">
        <f t="shared" si="252"/>
        <v>-11378.287719478636</v>
      </c>
      <c r="AY274">
        <f t="shared" si="260"/>
        <v>-1.9857637766567946</v>
      </c>
      <c r="BA274">
        <f t="shared" si="237"/>
        <v>3.1256516274716013</v>
      </c>
      <c r="BB274">
        <f t="shared" si="253"/>
        <v>9.8988114333699979</v>
      </c>
      <c r="BC274">
        <f t="shared" si="254"/>
        <v>-0.49960114334980354</v>
      </c>
      <c r="BD274">
        <f t="shared" si="238"/>
        <v>-208.62503698656306</v>
      </c>
      <c r="BF274">
        <f t="shared" si="239"/>
        <v>-26.755409562717773</v>
      </c>
      <c r="BG274">
        <f t="shared" si="240"/>
        <v>-203.80989210665192</v>
      </c>
      <c r="BH274">
        <f t="shared" si="255"/>
        <v>-23.809892106651915</v>
      </c>
      <c r="BI274">
        <f t="shared" si="256"/>
        <v>-23.809892106651915</v>
      </c>
      <c r="BJ274">
        <f t="shared" si="241"/>
        <v>0</v>
      </c>
      <c r="BK274">
        <f t="shared" si="257"/>
        <v>0</v>
      </c>
      <c r="BM274">
        <f t="shared" si="258"/>
        <v>-36.654220996087773</v>
      </c>
      <c r="BN274">
        <f t="shared" si="242"/>
        <v>-175.18485512008891</v>
      </c>
      <c r="BQ274" s="56">
        <f t="shared" si="259"/>
        <v>26.800772233655135</v>
      </c>
      <c r="BR274" s="59"/>
      <c r="BS274" s="59"/>
      <c r="BT274" s="59">
        <v>43651.582999999999</v>
      </c>
      <c r="BU274" s="59">
        <v>-0.43071199999999998</v>
      </c>
      <c r="BV274" s="59">
        <v>-139.065</v>
      </c>
      <c r="BY274" s="59"/>
      <c r="BZ274" s="59"/>
      <c r="CA274" s="59"/>
      <c r="CC274" s="59"/>
    </row>
    <row r="275" spans="1:81" x14ac:dyDescent="0.2">
      <c r="A275">
        <f t="shared" si="211"/>
        <v>305000</v>
      </c>
      <c r="B275">
        <f t="shared" si="243"/>
        <v>305</v>
      </c>
      <c r="C275">
        <f t="shared" si="212"/>
        <v>1.0027039901177417</v>
      </c>
      <c r="D275">
        <f t="shared" si="213"/>
        <v>7.3456261474100878E-2</v>
      </c>
      <c r="F275">
        <f t="shared" si="214"/>
        <v>9.4556820300856572E-4</v>
      </c>
      <c r="G275">
        <f t="shared" si="215"/>
        <v>1.1590317482143571E-2</v>
      </c>
      <c r="H275">
        <f t="shared" si="216"/>
        <v>-3.1300023325178565</v>
      </c>
      <c r="J275">
        <f t="shared" si="217"/>
        <v>15</v>
      </c>
      <c r="M275">
        <f t="shared" si="218"/>
        <v>7.3991759704988879E-4</v>
      </c>
      <c r="N275">
        <f t="shared" si="219"/>
        <v>-1.5707963250000001</v>
      </c>
      <c r="O275">
        <f t="shared" si="220"/>
        <v>286.25016014884795</v>
      </c>
      <c r="P275">
        <f t="shared" si="221"/>
        <v>1.567302871861908</v>
      </c>
      <c r="Q275">
        <f t="shared" si="222"/>
        <v>42.60807600110985</v>
      </c>
      <c r="R275">
        <f t="shared" si="223"/>
        <v>1.5473244425578707</v>
      </c>
      <c r="S275">
        <f t="shared" si="224"/>
        <v>0.63933041544383973</v>
      </c>
      <c r="T275">
        <f t="shared" si="225"/>
        <v>-0.87716917474193246</v>
      </c>
      <c r="U275">
        <f t="shared" si="226"/>
        <v>0.6052910192937544</v>
      </c>
      <c r="V275">
        <f t="shared" si="227"/>
        <v>-0.92066490999668438</v>
      </c>
      <c r="X275">
        <f t="shared" si="244"/>
        <v>-26.07865047486861</v>
      </c>
      <c r="Y275">
        <f t="shared" si="228"/>
        <v>-189.68049531987123</v>
      </c>
      <c r="Z275">
        <f t="shared" si="245"/>
        <v>-9.6804953198712269</v>
      </c>
      <c r="AC275">
        <v>1</v>
      </c>
      <c r="AD275">
        <f t="shared" si="229"/>
        <v>286.24841341960501</v>
      </c>
      <c r="AE275">
        <f t="shared" si="230"/>
        <v>-9.8740495101716536E-2</v>
      </c>
      <c r="AF275">
        <f t="shared" si="231"/>
        <v>7.5083436016469995E-2</v>
      </c>
      <c r="AG275">
        <f t="shared" si="246"/>
        <v>1390.3610261465169</v>
      </c>
      <c r="AH275">
        <f t="shared" si="247"/>
        <v>-1841.7502371828605</v>
      </c>
      <c r="AJ275">
        <f t="shared" si="232"/>
        <v>18000</v>
      </c>
      <c r="AK275">
        <f t="shared" si="233"/>
        <v>21648.8657475972</v>
      </c>
      <c r="AL275">
        <v>1</v>
      </c>
      <c r="AM275">
        <f t="shared" si="234"/>
        <v>42.596339520155404</v>
      </c>
      <c r="AN275">
        <f t="shared" si="248"/>
        <v>517.86796583652927</v>
      </c>
      <c r="AO275">
        <f t="shared" si="249"/>
        <v>-410.4139517878387</v>
      </c>
      <c r="AQ275">
        <f t="shared" si="235"/>
        <v>2.6874423879538083E-2</v>
      </c>
      <c r="AR275">
        <f t="shared" si="236"/>
        <v>-16.393398566518229</v>
      </c>
      <c r="AT275">
        <f t="shared" si="209"/>
        <v>-30155.180546555861</v>
      </c>
      <c r="AU275">
        <f t="shared" si="210"/>
        <v>-22842.238429527417</v>
      </c>
      <c r="AV275">
        <f t="shared" si="250"/>
        <v>-2.4933153489308237</v>
      </c>
      <c r="AW275">
        <f t="shared" si="251"/>
        <v>-4816.6402599319836</v>
      </c>
      <c r="AX275">
        <f t="shared" si="252"/>
        <v>-11208.014667924623</v>
      </c>
      <c r="AY275">
        <f t="shared" si="260"/>
        <v>-1.9766830731677048</v>
      </c>
      <c r="BA275">
        <f t="shared" si="237"/>
        <v>3.1010253831758732</v>
      </c>
      <c r="BB275">
        <f t="shared" si="253"/>
        <v>9.8301064226381598</v>
      </c>
      <c r="BC275">
        <f t="shared" si="254"/>
        <v>-0.51663227576311899</v>
      </c>
      <c r="BD275">
        <f t="shared" si="238"/>
        <v>-209.60084899528951</v>
      </c>
      <c r="BF275">
        <f t="shared" si="239"/>
        <v>-27.110756341240787</v>
      </c>
      <c r="BG275">
        <f t="shared" si="240"/>
        <v>-204.72803895350256</v>
      </c>
      <c r="BH275">
        <f t="shared" si="255"/>
        <v>-24.728038953502562</v>
      </c>
      <c r="BI275">
        <f t="shared" si="256"/>
        <v>-24.728038953502562</v>
      </c>
      <c r="BJ275">
        <f t="shared" si="241"/>
        <v>0</v>
      </c>
      <c r="BK275">
        <f t="shared" si="257"/>
        <v>0</v>
      </c>
      <c r="BM275">
        <f t="shared" si="258"/>
        <v>-36.940862763878947</v>
      </c>
      <c r="BN275">
        <f t="shared" si="242"/>
        <v>-175.12718995821305</v>
      </c>
      <c r="BQ275" s="56">
        <f t="shared" si="259"/>
        <v>26.732067222923298</v>
      </c>
      <c r="BR275" s="59"/>
      <c r="BS275" s="59"/>
      <c r="BT275" s="59">
        <v>44668.358999999997</v>
      </c>
      <c r="BU275" s="59">
        <v>-0.21105299999999999</v>
      </c>
      <c r="BV275" s="59">
        <v>-136.58699999999999</v>
      </c>
      <c r="BY275" s="59"/>
      <c r="BZ275" s="59"/>
      <c r="CA275" s="59"/>
      <c r="CC275" s="59"/>
    </row>
    <row r="276" spans="1:81" x14ac:dyDescent="0.2">
      <c r="A276">
        <f t="shared" si="211"/>
        <v>310000</v>
      </c>
      <c r="B276">
        <f t="shared" si="243"/>
        <v>310</v>
      </c>
      <c r="C276">
        <f t="shared" si="212"/>
        <v>1.0027932477241652</v>
      </c>
      <c r="D276">
        <f t="shared" si="213"/>
        <v>7.4656028872632924E-2</v>
      </c>
      <c r="F276">
        <f t="shared" si="214"/>
        <v>9.1528599592159211E-4</v>
      </c>
      <c r="G276">
        <f t="shared" si="215"/>
        <v>1.1403044867702378E-2</v>
      </c>
      <c r="H276">
        <f t="shared" si="216"/>
        <v>-3.1301896051322977</v>
      </c>
      <c r="J276">
        <f t="shared" si="217"/>
        <v>15</v>
      </c>
      <c r="M276">
        <f t="shared" si="218"/>
        <v>7.2798344225876159E-4</v>
      </c>
      <c r="N276">
        <f t="shared" si="219"/>
        <v>-1.5707963250000001</v>
      </c>
      <c r="O276">
        <f t="shared" si="220"/>
        <v>290.94272891726843</v>
      </c>
      <c r="P276">
        <f t="shared" si="221"/>
        <v>1.567359217461807</v>
      </c>
      <c r="Q276">
        <f t="shared" si="222"/>
        <v>43.306187401789593</v>
      </c>
      <c r="R276">
        <f t="shared" si="223"/>
        <v>1.5477028856485791</v>
      </c>
      <c r="S276">
        <f t="shared" si="224"/>
        <v>0.6331728767659458</v>
      </c>
      <c r="T276">
        <f t="shared" si="225"/>
        <v>-0.88515068519812279</v>
      </c>
      <c r="U276">
        <f t="shared" si="226"/>
        <v>0.59905003725800487</v>
      </c>
      <c r="V276">
        <f t="shared" si="227"/>
        <v>-0.92848214341088386</v>
      </c>
      <c r="X276">
        <f t="shared" si="244"/>
        <v>-26.393523193027221</v>
      </c>
      <c r="Y276">
        <f t="shared" si="228"/>
        <v>-190.50277343133311</v>
      </c>
      <c r="Z276">
        <f t="shared" si="245"/>
        <v>-10.502773431333111</v>
      </c>
      <c r="AC276">
        <v>1</v>
      </c>
      <c r="AD276">
        <f t="shared" si="229"/>
        <v>290.94101036091001</v>
      </c>
      <c r="AE276">
        <f t="shared" si="230"/>
        <v>-0.10200442439424842</v>
      </c>
      <c r="AF276">
        <f t="shared" si="231"/>
        <v>7.6314312016740007E-2</v>
      </c>
      <c r="AG276">
        <f t="shared" si="246"/>
        <v>1361.8376092820636</v>
      </c>
      <c r="AH276">
        <f t="shared" si="247"/>
        <v>-1833.3842991674408</v>
      </c>
      <c r="AJ276">
        <f t="shared" si="232"/>
        <v>18000</v>
      </c>
      <c r="AK276">
        <f t="shared" si="233"/>
        <v>22003.765186082401</v>
      </c>
      <c r="AL276">
        <v>1</v>
      </c>
      <c r="AM276">
        <f t="shared" si="234"/>
        <v>43.294640168026802</v>
      </c>
      <c r="AN276">
        <f t="shared" si="248"/>
        <v>517.55983161388008</v>
      </c>
      <c r="AO276">
        <f t="shared" si="249"/>
        <v>-403.80148906508168</v>
      </c>
      <c r="AQ276">
        <f t="shared" si="235"/>
        <v>2.6014500482568984E-2</v>
      </c>
      <c r="AR276">
        <f t="shared" si="236"/>
        <v>-16.128990299192768</v>
      </c>
      <c r="AT276">
        <f t="shared" si="209"/>
        <v>-29535.210050820137</v>
      </c>
      <c r="AU276">
        <f t="shared" si="210"/>
        <v>-22012.7601659217</v>
      </c>
      <c r="AV276">
        <f t="shared" si="250"/>
        <v>-2.5011026777116943</v>
      </c>
      <c r="AW276">
        <f t="shared" si="251"/>
        <v>-4630.6467655612969</v>
      </c>
      <c r="AX276">
        <f t="shared" si="252"/>
        <v>-11042.965758652221</v>
      </c>
      <c r="AY276">
        <f t="shared" si="260"/>
        <v>-1.967854642854955</v>
      </c>
      <c r="BA276">
        <f t="shared" si="237"/>
        <v>3.076188571344538</v>
      </c>
      <c r="BB276">
        <f t="shared" si="253"/>
        <v>9.7602590867245169</v>
      </c>
      <c r="BC276">
        <f t="shared" si="254"/>
        <v>-0.53324803485673922</v>
      </c>
      <c r="BD276">
        <f t="shared" si="238"/>
        <v>-210.55286186584789</v>
      </c>
      <c r="BF276">
        <f t="shared" si="239"/>
        <v>-27.462551360174473</v>
      </c>
      <c r="BG276">
        <f t="shared" si="240"/>
        <v>-205.62204014608727</v>
      </c>
      <c r="BH276">
        <f t="shared" si="255"/>
        <v>-25.622040146087272</v>
      </c>
      <c r="BI276">
        <f t="shared" si="256"/>
        <v>-25.622040146087272</v>
      </c>
      <c r="BJ276">
        <f t="shared" si="241"/>
        <v>0</v>
      </c>
      <c r="BK276">
        <f t="shared" si="257"/>
        <v>0</v>
      </c>
      <c r="BM276">
        <f t="shared" si="258"/>
        <v>-37.22281044689899</v>
      </c>
      <c r="BN276">
        <f t="shared" si="242"/>
        <v>-175.06917828023938</v>
      </c>
      <c r="BQ276" s="56">
        <f t="shared" si="259"/>
        <v>26.662219887009652</v>
      </c>
      <c r="BR276" s="59"/>
      <c r="BS276" s="59"/>
      <c r="BT276" s="59">
        <v>45708.819000000003</v>
      </c>
      <c r="BU276" s="59">
        <v>0.52166999999999997</v>
      </c>
      <c r="BV276" s="59">
        <v>-135.751</v>
      </c>
      <c r="BY276" s="59"/>
      <c r="BZ276" s="59"/>
      <c r="CA276" s="59"/>
      <c r="CC276" s="59"/>
    </row>
    <row r="277" spans="1:81" x14ac:dyDescent="0.2">
      <c r="A277">
        <f t="shared" si="211"/>
        <v>315000</v>
      </c>
      <c r="B277">
        <f t="shared" si="243"/>
        <v>315</v>
      </c>
      <c r="C277">
        <f t="shared" si="212"/>
        <v>1.0028839485349659</v>
      </c>
      <c r="D277">
        <f t="shared" si="213"/>
        <v>7.5855580983697268E-2</v>
      </c>
      <c r="F277">
        <f t="shared" si="214"/>
        <v>8.8643592293059987E-4</v>
      </c>
      <c r="G277">
        <f t="shared" si="215"/>
        <v>1.122173286766618E-2</v>
      </c>
      <c r="H277">
        <f t="shared" si="216"/>
        <v>-3.1303709171323342</v>
      </c>
      <c r="J277">
        <f t="shared" si="217"/>
        <v>15</v>
      </c>
      <c r="M277">
        <f t="shared" si="218"/>
        <v>7.1642814952449561E-4</v>
      </c>
      <c r="N277">
        <f t="shared" si="219"/>
        <v>-1.5707963250000001</v>
      </c>
      <c r="O277">
        <f t="shared" si="220"/>
        <v>295.63529858005842</v>
      </c>
      <c r="P277">
        <f t="shared" si="221"/>
        <v>1.5674137743333025</v>
      </c>
      <c r="Q277">
        <f t="shared" si="222"/>
        <v>44.004304807951712</v>
      </c>
      <c r="R277">
        <f t="shared" si="223"/>
        <v>1.5480693209784255</v>
      </c>
      <c r="S277">
        <f t="shared" si="224"/>
        <v>0.62709400465720044</v>
      </c>
      <c r="T277">
        <f t="shared" si="225"/>
        <v>-0.89297943105392685</v>
      </c>
      <c r="U277">
        <f t="shared" si="226"/>
        <v>0.59290131101757482</v>
      </c>
      <c r="V277">
        <f t="shared" si="227"/>
        <v>-0.93613936263158304</v>
      </c>
      <c r="X277">
        <f t="shared" si="244"/>
        <v>-26.705431212006449</v>
      </c>
      <c r="Y277">
        <f t="shared" si="228"/>
        <v>-191.30759193558572</v>
      </c>
      <c r="Z277">
        <f t="shared" si="245"/>
        <v>-11.30759193558572</v>
      </c>
      <c r="AC277">
        <v>1</v>
      </c>
      <c r="AD277">
        <f t="shared" si="229"/>
        <v>295.63360730221501</v>
      </c>
      <c r="AE277">
        <f t="shared" si="230"/>
        <v>-0.10532142570779707</v>
      </c>
      <c r="AF277">
        <f t="shared" si="231"/>
        <v>7.7545188017009992E-2</v>
      </c>
      <c r="AG277">
        <f t="shared" si="246"/>
        <v>1334.0249310565562</v>
      </c>
      <c r="AH277">
        <f t="shared" si="247"/>
        <v>-1824.7606497205609</v>
      </c>
      <c r="AJ277">
        <f t="shared" si="232"/>
        <v>18000</v>
      </c>
      <c r="AK277">
        <f t="shared" si="233"/>
        <v>22358.664624567598</v>
      </c>
      <c r="AL277">
        <v>1</v>
      </c>
      <c r="AM277">
        <f t="shared" si="234"/>
        <v>43.992940815898208</v>
      </c>
      <c r="AN277">
        <f t="shared" si="248"/>
        <v>517.26624357628009</v>
      </c>
      <c r="AO277">
        <f t="shared" si="249"/>
        <v>-397.39861514567798</v>
      </c>
      <c r="AQ277">
        <f t="shared" si="235"/>
        <v>2.5195199810532098E-2</v>
      </c>
      <c r="AR277">
        <f t="shared" si="236"/>
        <v>-15.872975880635222</v>
      </c>
      <c r="AT277">
        <f t="shared" si="209"/>
        <v>-28930.770756256516</v>
      </c>
      <c r="AU277">
        <f t="shared" si="210"/>
        <v>-21220.920764002887</v>
      </c>
      <c r="AV277">
        <f t="shared" si="250"/>
        <v>-2.5087309416338526</v>
      </c>
      <c r="AW277">
        <f t="shared" si="251"/>
        <v>-4454.0594536032686</v>
      </c>
      <c r="AX277">
        <f t="shared" si="252"/>
        <v>-10882.887175225211</v>
      </c>
      <c r="AY277">
        <f t="shared" si="260"/>
        <v>-1.9592700426192995</v>
      </c>
      <c r="BA277">
        <f t="shared" si="237"/>
        <v>3.051191980154925</v>
      </c>
      <c r="BB277">
        <f t="shared" si="253"/>
        <v>9.6893906838141781</v>
      </c>
      <c r="BC277">
        <f t="shared" si="254"/>
        <v>-0.54946089901455308</v>
      </c>
      <c r="BD277">
        <f t="shared" si="238"/>
        <v>-211.48179055697102</v>
      </c>
      <c r="BF277">
        <f t="shared" si="239"/>
        <v>-27.810823576419072</v>
      </c>
      <c r="BG277">
        <f t="shared" si="240"/>
        <v>-206.49262797625084</v>
      </c>
      <c r="BH277">
        <f t="shared" si="255"/>
        <v>-26.492627976250844</v>
      </c>
      <c r="BI277">
        <f t="shared" si="256"/>
        <v>-26.492627976250844</v>
      </c>
      <c r="BJ277">
        <f t="shared" si="241"/>
        <v>0</v>
      </c>
      <c r="BK277">
        <f t="shared" si="257"/>
        <v>0</v>
      </c>
      <c r="BM277">
        <f t="shared" si="258"/>
        <v>-37.50021426023325</v>
      </c>
      <c r="BN277">
        <f t="shared" si="242"/>
        <v>-175.01083741927988</v>
      </c>
      <c r="BQ277" s="56">
        <f t="shared" si="259"/>
        <v>26.591351484099313</v>
      </c>
      <c r="BR277" s="59"/>
      <c r="BS277" s="59"/>
      <c r="BT277" s="59">
        <v>46773.514000000003</v>
      </c>
      <c r="BU277" s="59">
        <v>0.78233600000000003</v>
      </c>
      <c r="BV277" s="59">
        <v>-137.57599999999999</v>
      </c>
      <c r="BY277" s="59"/>
      <c r="BZ277" s="59"/>
      <c r="CA277" s="59"/>
      <c r="CC277" s="59"/>
    </row>
    <row r="278" spans="1:81" x14ac:dyDescent="0.2">
      <c r="A278">
        <f t="shared" si="211"/>
        <v>320000</v>
      </c>
      <c r="B278">
        <f t="shared" si="243"/>
        <v>320</v>
      </c>
      <c r="C278">
        <f t="shared" si="212"/>
        <v>1.0029760921586095</v>
      </c>
      <c r="D278">
        <f t="shared" si="213"/>
        <v>7.7054914414043107E-2</v>
      </c>
      <c r="F278">
        <f t="shared" si="214"/>
        <v>8.5892905747286059E-4</v>
      </c>
      <c r="G278">
        <f t="shared" si="215"/>
        <v>1.104610113378447E-2</v>
      </c>
      <c r="H278">
        <f t="shared" si="216"/>
        <v>-3.1305465488662159</v>
      </c>
      <c r="J278">
        <f t="shared" si="217"/>
        <v>15</v>
      </c>
      <c r="M278">
        <f t="shared" si="218"/>
        <v>7.0523395968817527E-4</v>
      </c>
      <c r="N278">
        <f t="shared" si="219"/>
        <v>-1.5707963250000001</v>
      </c>
      <c r="O278">
        <f t="shared" si="220"/>
        <v>300.32786909529472</v>
      </c>
      <c r="P278">
        <f t="shared" si="221"/>
        <v>1.5674666263217694</v>
      </c>
      <c r="Q278">
        <f t="shared" si="222"/>
        <v>44.702427938233512</v>
      </c>
      <c r="R278">
        <f t="shared" si="223"/>
        <v>1.5484243110265064</v>
      </c>
      <c r="S278">
        <f t="shared" si="224"/>
        <v>0.62109375884770568</v>
      </c>
      <c r="T278">
        <f t="shared" si="225"/>
        <v>-0.900658823984404</v>
      </c>
      <c r="U278">
        <f t="shared" si="226"/>
        <v>0.58684415932476997</v>
      </c>
      <c r="V278">
        <f t="shared" si="227"/>
        <v>-0.9436405600701826</v>
      </c>
      <c r="X278">
        <f t="shared" si="244"/>
        <v>-27.014418993745139</v>
      </c>
      <c r="Y278">
        <f t="shared" si="228"/>
        <v>-192.09535428106091</v>
      </c>
      <c r="Z278">
        <f t="shared" si="245"/>
        <v>-12.095354281060906</v>
      </c>
      <c r="AC278">
        <v>1</v>
      </c>
      <c r="AD278">
        <f t="shared" si="229"/>
        <v>300.32620424351995</v>
      </c>
      <c r="AE278">
        <f t="shared" si="230"/>
        <v>-0.10869149904236251</v>
      </c>
      <c r="AF278">
        <f t="shared" si="231"/>
        <v>7.8776064017280004E-2</v>
      </c>
      <c r="AG278">
        <f t="shared" si="246"/>
        <v>1306.9070411448674</v>
      </c>
      <c r="AH278">
        <f t="shared" si="247"/>
        <v>-1815.9029293425392</v>
      </c>
      <c r="AJ278">
        <f t="shared" si="232"/>
        <v>18000</v>
      </c>
      <c r="AK278">
        <f t="shared" si="233"/>
        <v>22713.5640630528</v>
      </c>
      <c r="AL278">
        <v>1</v>
      </c>
      <c r="AM278">
        <f t="shared" si="234"/>
        <v>44.6912414637696</v>
      </c>
      <c r="AN278">
        <f t="shared" si="248"/>
        <v>516.98630049253859</v>
      </c>
      <c r="AO278">
        <f t="shared" si="249"/>
        <v>-391.19552572019359</v>
      </c>
      <c r="AQ278">
        <f t="shared" si="235"/>
        <v>2.4414002895500744E-2</v>
      </c>
      <c r="AR278">
        <f t="shared" si="236"/>
        <v>-15.624961853120476</v>
      </c>
      <c r="AT278">
        <f t="shared" ref="AT278:AT341" si="261">-AR278*AH278+AG278*AQ278</f>
        <v>-28341.507167660242</v>
      </c>
      <c r="AU278">
        <f t="shared" ref="AU278:AU341" si="262">AQ278*AH278+AG278*AR278</f>
        <v>-20464.706122838023</v>
      </c>
      <c r="AV278">
        <f t="shared" si="250"/>
        <v>-2.5162040886097703</v>
      </c>
      <c r="AW278">
        <f t="shared" si="251"/>
        <v>-4286.267916946189</v>
      </c>
      <c r="AX278">
        <f t="shared" si="252"/>
        <v>-10727.542302225955</v>
      </c>
      <c r="AY278">
        <f t="shared" si="260"/>
        <v>-1.9509210140799222</v>
      </c>
      <c r="BA278">
        <f t="shared" si="237"/>
        <v>3.0260819040752835</v>
      </c>
      <c r="BB278">
        <f t="shared" si="253"/>
        <v>9.6176135696228062</v>
      </c>
      <c r="BC278">
        <f t="shared" si="254"/>
        <v>-0.56528307452984805</v>
      </c>
      <c r="BD278">
        <f t="shared" si="238"/>
        <v>-212.38833443774854</v>
      </c>
      <c r="BF278">
        <f t="shared" si="239"/>
        <v>-28.15560372861567</v>
      </c>
      <c r="BG278">
        <f t="shared" si="240"/>
        <v>-207.34051807027359</v>
      </c>
      <c r="BH278">
        <f t="shared" si="255"/>
        <v>-27.340518070273589</v>
      </c>
      <c r="BI278">
        <f t="shared" si="256"/>
        <v>-27.340518070273589</v>
      </c>
      <c r="BJ278">
        <f t="shared" si="241"/>
        <v>0</v>
      </c>
      <c r="BK278">
        <f t="shared" si="257"/>
        <v>0</v>
      </c>
      <c r="BM278">
        <f t="shared" si="258"/>
        <v>-37.773217298238471</v>
      </c>
      <c r="BN278">
        <f t="shared" si="242"/>
        <v>-174.95218363252505</v>
      </c>
      <c r="BQ278" s="56">
        <f t="shared" si="259"/>
        <v>26.519574369907943</v>
      </c>
      <c r="BR278" s="59"/>
      <c r="BS278" s="59"/>
      <c r="BT278" s="59">
        <v>47863.008999999998</v>
      </c>
      <c r="BU278" s="59">
        <v>0.81724300000000005</v>
      </c>
      <c r="BV278" s="59">
        <v>-138.25</v>
      </c>
      <c r="BY278" s="59"/>
      <c r="BZ278" s="59"/>
      <c r="CA278" s="59"/>
      <c r="CC278" s="59"/>
    </row>
    <row r="279" spans="1:81" x14ac:dyDescent="0.2">
      <c r="A279">
        <f t="shared" si="211"/>
        <v>325000</v>
      </c>
      <c r="B279">
        <f t="shared" si="243"/>
        <v>325</v>
      </c>
      <c r="C279">
        <f t="shared" si="212"/>
        <v>1.0030696781974788</v>
      </c>
      <c r="D279">
        <f t="shared" si="213"/>
        <v>7.8254025774172994E-2</v>
      </c>
      <c r="F279">
        <f t="shared" si="214"/>
        <v>8.326832713101102E-4</v>
      </c>
      <c r="G279">
        <f t="shared" si="215"/>
        <v>1.0875886641095104E-2</v>
      </c>
      <c r="H279">
        <f t="shared" si="216"/>
        <v>-3.130716763358905</v>
      </c>
      <c r="J279">
        <f t="shared" si="217"/>
        <v>15</v>
      </c>
      <c r="M279">
        <f t="shared" si="218"/>
        <v>6.9438420646220328E-4</v>
      </c>
      <c r="N279">
        <f t="shared" si="219"/>
        <v>-1.5707963250000001</v>
      </c>
      <c r="O279">
        <f t="shared" si="220"/>
        <v>305.02044042363423</v>
      </c>
      <c r="P279">
        <f t="shared" si="221"/>
        <v>1.5675178521129614</v>
      </c>
      <c r="Q279">
        <f t="shared" si="222"/>
        <v>45.400556528576082</v>
      </c>
      <c r="R279">
        <f t="shared" si="223"/>
        <v>1.5487683836867134</v>
      </c>
      <c r="S279">
        <f t="shared" si="224"/>
        <v>0.61517199708745485</v>
      </c>
      <c r="T279">
        <f t="shared" si="225"/>
        <v>-0.9081922172262451</v>
      </c>
      <c r="U279">
        <f t="shared" si="226"/>
        <v>0.58087781837360264</v>
      </c>
      <c r="V279">
        <f t="shared" si="227"/>
        <v>-0.95098963736485931</v>
      </c>
      <c r="X279">
        <f t="shared" si="244"/>
        <v>-27.320529870222696</v>
      </c>
      <c r="Y279">
        <f t="shared" si="228"/>
        <v>-192.8664566514405</v>
      </c>
      <c r="Z279">
        <f t="shared" si="245"/>
        <v>-12.866456651440501</v>
      </c>
      <c r="AC279">
        <v>1</v>
      </c>
      <c r="AD279">
        <f t="shared" si="229"/>
        <v>305.01880118482501</v>
      </c>
      <c r="AE279">
        <f t="shared" si="230"/>
        <v>-0.11211464439794473</v>
      </c>
      <c r="AF279">
        <f t="shared" si="231"/>
        <v>8.0006940017550002E-2</v>
      </c>
      <c r="AG279">
        <f t="shared" si="246"/>
        <v>1280.4679424105802</v>
      </c>
      <c r="AH279">
        <f t="shared" si="247"/>
        <v>-1806.8333571390215</v>
      </c>
      <c r="AJ279">
        <f t="shared" si="232"/>
        <v>18000</v>
      </c>
      <c r="AK279">
        <f t="shared" si="233"/>
        <v>23068.463501537997</v>
      </c>
      <c r="AL279">
        <v>1</v>
      </c>
      <c r="AM279">
        <f t="shared" si="234"/>
        <v>45.389542111641006</v>
      </c>
      <c r="AN279">
        <f t="shared" si="248"/>
        <v>516.71916985102575</v>
      </c>
      <c r="AO279">
        <f t="shared" si="249"/>
        <v>-385.18301830731752</v>
      </c>
      <c r="AQ279">
        <f t="shared" si="235"/>
        <v>2.3668583032939568E-2</v>
      </c>
      <c r="AR279">
        <f t="shared" si="236"/>
        <v>-15.384578971410718</v>
      </c>
      <c r="AT279">
        <f t="shared" si="261"/>
        <v>-27767.063609268458</v>
      </c>
      <c r="AU279">
        <f t="shared" si="262"/>
        <v>-19742.225365715494</v>
      </c>
      <c r="AV279">
        <f t="shared" si="250"/>
        <v>-2.5235259785170041</v>
      </c>
      <c r="AW279">
        <f t="shared" si="251"/>
        <v>-4126.709533367678</v>
      </c>
      <c r="AX279">
        <f t="shared" si="252"/>
        <v>-10576.710245954098</v>
      </c>
      <c r="AY279">
        <f t="shared" si="260"/>
        <v>-1.9427994972097578</v>
      </c>
      <c r="BA279">
        <f t="shared" si="237"/>
        <v>3.0009004619894872</v>
      </c>
      <c r="BB279">
        <f t="shared" si="253"/>
        <v>9.5450318076930944</v>
      </c>
      <c r="BC279">
        <f t="shared" si="254"/>
        <v>-0.58072648130724636</v>
      </c>
      <c r="BD279">
        <f t="shared" si="238"/>
        <v>-213.27317646840825</v>
      </c>
      <c r="BF279">
        <f t="shared" si="239"/>
        <v>-28.496924170299977</v>
      </c>
      <c r="BG279">
        <f t="shared" si="240"/>
        <v>-208.16640865280738</v>
      </c>
      <c r="BH279">
        <f t="shared" si="255"/>
        <v>-28.166408652807377</v>
      </c>
      <c r="BI279">
        <f t="shared" si="256"/>
        <v>-28.166408652807377</v>
      </c>
      <c r="BJ279">
        <f t="shared" si="241"/>
        <v>0</v>
      </c>
      <c r="BK279">
        <f t="shared" si="257"/>
        <v>0</v>
      </c>
      <c r="BM279">
        <f t="shared" si="258"/>
        <v>-38.041955977993076</v>
      </c>
      <c r="BN279">
        <f t="shared" si="242"/>
        <v>-174.89323218439915</v>
      </c>
      <c r="BQ279" s="56">
        <f t="shared" si="259"/>
        <v>26.446992607978231</v>
      </c>
      <c r="BR279" s="59"/>
      <c r="BS279" s="59"/>
      <c r="BT279" s="59">
        <v>48977.881999999998</v>
      </c>
      <c r="BU279" s="59">
        <v>0.86195100000000002</v>
      </c>
      <c r="BV279" s="59">
        <v>-138.07900000000001</v>
      </c>
      <c r="BY279" s="59"/>
      <c r="BZ279" s="59"/>
      <c r="CA279" s="59"/>
      <c r="CC279" s="59"/>
    </row>
    <row r="280" spans="1:81" x14ac:dyDescent="0.2">
      <c r="A280">
        <f>A279+5000</f>
        <v>330000</v>
      </c>
      <c r="B280">
        <f t="shared" si="243"/>
        <v>330</v>
      </c>
      <c r="C280">
        <f t="shared" si="212"/>
        <v>1.0031647062478815</v>
      </c>
      <c r="D280">
        <f t="shared" si="213"/>
        <v>7.9452911678399102E-2</v>
      </c>
      <c r="F280">
        <f t="shared" si="214"/>
        <v>8.0762262011221009E-4</v>
      </c>
      <c r="G280">
        <f t="shared" si="215"/>
        <v>1.0710842369226824E-2</v>
      </c>
      <c r="H280">
        <f t="shared" si="216"/>
        <v>-3.1308818076307734</v>
      </c>
      <c r="J280">
        <f t="shared" si="217"/>
        <v>15</v>
      </c>
      <c r="M280">
        <f t="shared" si="218"/>
        <v>6.8386323363701842E-4</v>
      </c>
      <c r="N280">
        <f t="shared" si="219"/>
        <v>-1.5707963250000001</v>
      </c>
      <c r="O280">
        <f t="shared" si="220"/>
        <v>309.71301252811804</v>
      </c>
      <c r="P280">
        <f t="shared" si="221"/>
        <v>1.5675675256238852</v>
      </c>
      <c r="Q280">
        <f t="shared" si="222"/>
        <v>46.098690330914394</v>
      </c>
      <c r="R280">
        <f t="shared" si="223"/>
        <v>1.5491020348852595</v>
      </c>
      <c r="S280">
        <f t="shared" si="224"/>
        <v>0.60932848392848005</v>
      </c>
      <c r="T280">
        <f t="shared" si="225"/>
        <v>-0.91558290403981113</v>
      </c>
      <c r="U280">
        <f t="shared" si="226"/>
        <v>0.57500145097447064</v>
      </c>
      <c r="V280">
        <f t="shared" si="227"/>
        <v>-0.95819040527034693</v>
      </c>
      <c r="X280">
        <f t="shared" si="244"/>
        <v>-27.623806125627507</v>
      </c>
      <c r="Y280">
        <f t="shared" si="228"/>
        <v>-193.62128777440626</v>
      </c>
      <c r="Z280">
        <f t="shared" si="245"/>
        <v>-13.621287774406255</v>
      </c>
      <c r="AC280">
        <v>1</v>
      </c>
      <c r="AD280">
        <f t="shared" si="229"/>
        <v>309.71139812613001</v>
      </c>
      <c r="AE280">
        <f t="shared" si="230"/>
        <v>-0.11559086177454372</v>
      </c>
      <c r="AF280">
        <f t="shared" si="231"/>
        <v>8.123781601782E-2</v>
      </c>
      <c r="AG280">
        <f t="shared" si="246"/>
        <v>1254.6916446383943</v>
      </c>
      <c r="AH280">
        <f t="shared" si="247"/>
        <v>-1797.572800738991</v>
      </c>
      <c r="AJ280">
        <f t="shared" si="232"/>
        <v>18000</v>
      </c>
      <c r="AK280">
        <f t="shared" si="233"/>
        <v>23423.362940023202</v>
      </c>
      <c r="AL280">
        <v>1</v>
      </c>
      <c r="AM280">
        <f t="shared" si="234"/>
        <v>46.087842759512405</v>
      </c>
      <c r="AN280">
        <f t="shared" si="248"/>
        <v>516.46408166729759</v>
      </c>
      <c r="AO280">
        <f t="shared" si="249"/>
        <v>-379.35244679518325</v>
      </c>
      <c r="AQ280">
        <f t="shared" si="235"/>
        <v>2.29567884371248E-2</v>
      </c>
      <c r="AR280">
        <f t="shared" si="236"/>
        <v>-15.151480368502368</v>
      </c>
      <c r="AT280">
        <f t="shared" si="261"/>
        <v>-27207.085310710849</v>
      </c>
      <c r="AU280">
        <f t="shared" si="262"/>
        <v>-19051.702320749475</v>
      </c>
      <c r="AV280">
        <f t="shared" si="250"/>
        <v>-2.5307003828805383</v>
      </c>
      <c r="AW280">
        <f t="shared" si="251"/>
        <v>-3974.8651111872623</v>
      </c>
      <c r="AX280">
        <f t="shared" si="252"/>
        <v>-10430.184506085252</v>
      </c>
      <c r="AY280">
        <f t="shared" si="260"/>
        <v>-1.9348976408536562</v>
      </c>
      <c r="BA280">
        <f t="shared" si="237"/>
        <v>2.975685900074136</v>
      </c>
      <c r="BB280">
        <f t="shared" si="253"/>
        <v>9.4717417426930517</v>
      </c>
      <c r="BC280">
        <f t="shared" si="254"/>
        <v>-0.5958027420268821</v>
      </c>
      <c r="BD280">
        <f t="shared" si="238"/>
        <v>-214.1369825794693</v>
      </c>
      <c r="BF280">
        <f t="shared" si="239"/>
        <v>-28.834818706037385</v>
      </c>
      <c r="BG280">
        <f t="shared" si="240"/>
        <v>-208.97098000158169</v>
      </c>
      <c r="BH280">
        <f t="shared" si="255"/>
        <v>-28.970980001581694</v>
      </c>
      <c r="BI280">
        <f t="shared" si="256"/>
        <v>-28.970980001581694</v>
      </c>
      <c r="BJ280">
        <f t="shared" si="241"/>
        <v>0</v>
      </c>
      <c r="BK280">
        <f t="shared" si="257"/>
        <v>0</v>
      </c>
      <c r="BM280">
        <f t="shared" si="258"/>
        <v>-38.306560448730437</v>
      </c>
      <c r="BN280">
        <f t="shared" si="242"/>
        <v>-174.83399742211242</v>
      </c>
      <c r="BQ280" s="56">
        <f t="shared" si="259"/>
        <v>26.37370254297819</v>
      </c>
      <c r="BR280" s="59"/>
      <c r="BS280" s="59"/>
      <c r="BT280" s="59">
        <v>50118.722999999998</v>
      </c>
      <c r="BU280" s="59">
        <v>0.950021</v>
      </c>
      <c r="BV280" s="59">
        <v>-137.59100000000001</v>
      </c>
      <c r="BY280" s="59"/>
      <c r="BZ280" s="59"/>
      <c r="CA280" s="59"/>
      <c r="CC280" s="59"/>
    </row>
    <row r="281" spans="1:81" x14ac:dyDescent="0.2">
      <c r="A281">
        <f t="shared" si="211"/>
        <v>335000</v>
      </c>
      <c r="B281">
        <f t="shared" si="243"/>
        <v>335</v>
      </c>
      <c r="C281">
        <f t="shared" si="212"/>
        <v>1.0032611759000591</v>
      </c>
      <c r="D281">
        <f t="shared" si="213"/>
        <v>8.065156874489901E-2</v>
      </c>
      <c r="F281">
        <f t="shared" si="214"/>
        <v>7.8367679287796453E-4</v>
      </c>
      <c r="G281">
        <f t="shared" si="215"/>
        <v>1.0550736102441614E-2</v>
      </c>
      <c r="H281">
        <f t="shared" si="216"/>
        <v>-3.1310419138975587</v>
      </c>
      <c r="J281">
        <f t="shared" si="217"/>
        <v>15</v>
      </c>
      <c r="M281">
        <f t="shared" si="218"/>
        <v>6.7365631970213761E-4</v>
      </c>
      <c r="N281">
        <f t="shared" si="219"/>
        <v>-1.5707963250000001</v>
      </c>
      <c r="O281">
        <f t="shared" si="220"/>
        <v>314.4055853739938</v>
      </c>
      <c r="P281">
        <f t="shared" si="221"/>
        <v>1.5676157163586679</v>
      </c>
      <c r="Q281">
        <f t="shared" si="222"/>
        <v>46.796829111984529</v>
      </c>
      <c r="R281">
        <f t="shared" si="223"/>
        <v>1.5494257309640613</v>
      </c>
      <c r="S281">
        <f t="shared" si="224"/>
        <v>0.60356289895882698</v>
      </c>
      <c r="T281">
        <f t="shared" si="225"/>
        <v>-0.92283411648338931</v>
      </c>
      <c r="U281">
        <f t="shared" si="226"/>
        <v>0.5692141550289509</v>
      </c>
      <c r="V281">
        <f t="shared" si="227"/>
        <v>-0.96524658383496809</v>
      </c>
      <c r="X281">
        <f t="shared" si="244"/>
        <v>-27.92428906834953</v>
      </c>
      <c r="Y281">
        <f t="shared" si="228"/>
        <v>-194.36022877335535</v>
      </c>
      <c r="Z281">
        <f t="shared" si="245"/>
        <v>-14.360228773355345</v>
      </c>
      <c r="AC281">
        <v>1</v>
      </c>
      <c r="AD281">
        <f t="shared" si="229"/>
        <v>314.40399506743495</v>
      </c>
      <c r="AE281">
        <f t="shared" si="230"/>
        <v>-0.11912015117215952</v>
      </c>
      <c r="AF281">
        <f t="shared" si="231"/>
        <v>8.2468692018089998E-2</v>
      </c>
      <c r="AG281">
        <f t="shared" si="246"/>
        <v>1229.5622120209748</v>
      </c>
      <c r="AH281">
        <f t="shared" si="247"/>
        <v>-1788.1408442753757</v>
      </c>
      <c r="AJ281">
        <f t="shared" si="232"/>
        <v>18000</v>
      </c>
      <c r="AK281">
        <f t="shared" si="233"/>
        <v>23778.2623785084</v>
      </c>
      <c r="AL281">
        <v>1</v>
      </c>
      <c r="AM281">
        <f t="shared" si="234"/>
        <v>46.786143407383804</v>
      </c>
      <c r="AN281">
        <f t="shared" si="248"/>
        <v>516.22032293297855</v>
      </c>
      <c r="AO281">
        <f t="shared" si="249"/>
        <v>-373.69568003990958</v>
      </c>
      <c r="AQ281">
        <f t="shared" si="235"/>
        <v>2.2276626694972834E-2</v>
      </c>
      <c r="AR281">
        <f t="shared" si="236"/>
        <v>-14.925339885631798</v>
      </c>
      <c r="AT281">
        <f t="shared" si="261"/>
        <v>-26661.219365795147</v>
      </c>
      <c r="AU281">
        <f t="shared" si="262"/>
        <v>-18391.467671008275</v>
      </c>
      <c r="AV281">
        <f t="shared" si="250"/>
        <v>-2.5377309848609513</v>
      </c>
      <c r="AW281">
        <f t="shared" si="251"/>
        <v>-3830.2549864665448</v>
      </c>
      <c r="AX281">
        <f t="shared" si="252"/>
        <v>-10287.771780756562</v>
      </c>
      <c r="AY281">
        <f t="shared" si="260"/>
        <v>-1.9272078105223285</v>
      </c>
      <c r="BA281">
        <f t="shared" si="237"/>
        <v>2.9504728788864054</v>
      </c>
      <c r="BB281">
        <f t="shared" si="253"/>
        <v>9.3978325380896699</v>
      </c>
      <c r="BC281">
        <f t="shared" si="254"/>
        <v>-0.6105231743386228</v>
      </c>
      <c r="BD281">
        <f t="shared" si="238"/>
        <v>-214.98040122450379</v>
      </c>
      <c r="BF281">
        <f t="shared" si="239"/>
        <v>-29.169322432251931</v>
      </c>
      <c r="BG281">
        <f t="shared" si="240"/>
        <v>-209.75489406891461</v>
      </c>
      <c r="BH281">
        <f t="shared" si="255"/>
        <v>-29.754894068914609</v>
      </c>
      <c r="BI281">
        <f t="shared" si="256"/>
        <v>-29.754894068914609</v>
      </c>
      <c r="BJ281">
        <f t="shared" si="241"/>
        <v>0</v>
      </c>
      <c r="BK281">
        <f t="shared" si="257"/>
        <v>0</v>
      </c>
      <c r="BM281">
        <f t="shared" si="258"/>
        <v>-38.567154970341598</v>
      </c>
      <c r="BN281">
        <f t="shared" si="242"/>
        <v>-174.77449284441084</v>
      </c>
      <c r="BQ281" s="56">
        <f t="shared" si="259"/>
        <v>26.299793338374808</v>
      </c>
      <c r="BR281" s="59"/>
      <c r="BS281" s="59"/>
      <c r="BT281" s="59">
        <v>51286.137999999999</v>
      </c>
      <c r="BU281" s="59">
        <v>1.0492999999999999</v>
      </c>
      <c r="BV281" s="59">
        <v>-137.08699999999999</v>
      </c>
      <c r="BY281" s="59"/>
      <c r="BZ281" s="59"/>
      <c r="CA281" s="59"/>
      <c r="CC281" s="59"/>
    </row>
    <row r="282" spans="1:81" x14ac:dyDescent="0.2">
      <c r="A282">
        <f t="shared" si="211"/>
        <v>340000</v>
      </c>
      <c r="B282">
        <f t="shared" si="243"/>
        <v>340</v>
      </c>
      <c r="C282">
        <f t="shared" si="212"/>
        <v>1.0033590867381961</v>
      </c>
      <c r="D282">
        <f t="shared" si="213"/>
        <v>8.1849993595771484E-2</v>
      </c>
      <c r="F282">
        <f t="shared" si="214"/>
        <v>7.6078061772223737E-4</v>
      </c>
      <c r="G282">
        <f t="shared" si="215"/>
        <v>1.039534933611904E-2</v>
      </c>
      <c r="H282">
        <f t="shared" si="216"/>
        <v>-3.1311973006638811</v>
      </c>
      <c r="J282">
        <f t="shared" si="217"/>
        <v>15</v>
      </c>
      <c r="M282">
        <f t="shared" si="218"/>
        <v>6.6374960911828266E-4</v>
      </c>
      <c r="N282">
        <f t="shared" si="219"/>
        <v>-1.5707963250000001</v>
      </c>
      <c r="O282">
        <f t="shared" si="220"/>
        <v>319.09815892855335</v>
      </c>
      <c r="P282">
        <f t="shared" si="221"/>
        <v>1.567662489733028</v>
      </c>
      <c r="Q282">
        <f t="shared" si="222"/>
        <v>47.494972652236164</v>
      </c>
      <c r="R282">
        <f t="shared" si="223"/>
        <v>1.5497399108540504</v>
      </c>
      <c r="S282">
        <f t="shared" si="224"/>
        <v>0.59787484451114381</v>
      </c>
      <c r="T282">
        <f t="shared" si="225"/>
        <v>-0.92994902447092909</v>
      </c>
      <c r="U282">
        <f t="shared" si="226"/>
        <v>0.56351497134649853</v>
      </c>
      <c r="V282">
        <f t="shared" si="227"/>
        <v>-0.97216180283097631</v>
      </c>
      <c r="X282">
        <f t="shared" si="244"/>
        <v>-28.222019094111033</v>
      </c>
      <c r="Y282">
        <f t="shared" si="228"/>
        <v>-195.08365305760711</v>
      </c>
      <c r="Z282">
        <f t="shared" si="245"/>
        <v>-15.083653057607108</v>
      </c>
      <c r="AC282">
        <v>1</v>
      </c>
      <c r="AD282">
        <f t="shared" si="229"/>
        <v>319.09659200874</v>
      </c>
      <c r="AE282">
        <f t="shared" si="230"/>
        <v>-0.12270251259079208</v>
      </c>
      <c r="AF282">
        <f t="shared" si="231"/>
        <v>8.3699568018359996E-2</v>
      </c>
      <c r="AG282">
        <f t="shared" si="246"/>
        <v>1205.0638049382508</v>
      </c>
      <c r="AH282">
        <f t="shared" si="247"/>
        <v>-1778.5558542606725</v>
      </c>
      <c r="AJ282">
        <f t="shared" si="232"/>
        <v>18000</v>
      </c>
      <c r="AK282">
        <f t="shared" si="233"/>
        <v>24133.161816993601</v>
      </c>
      <c r="AL282">
        <v>1</v>
      </c>
      <c r="AM282">
        <f t="shared" si="234"/>
        <v>47.484444055255203</v>
      </c>
      <c r="AN282">
        <f t="shared" si="248"/>
        <v>515.98723263113072</v>
      </c>
      <c r="AO282">
        <f t="shared" si="249"/>
        <v>-368.20506410528094</v>
      </c>
      <c r="AQ282">
        <f t="shared" si="235"/>
        <v>2.1626250808281122E-2</v>
      </c>
      <c r="AR282">
        <f t="shared" si="236"/>
        <v>-14.705850549631164</v>
      </c>
      <c r="AT282">
        <f t="shared" si="261"/>
        <v>-26129.115574843461</v>
      </c>
      <c r="AU282">
        <f t="shared" si="262"/>
        <v>-17759.951713172573</v>
      </c>
      <c r="AV282">
        <f t="shared" si="250"/>
        <v>-2.5446213795125585</v>
      </c>
      <c r="AW282">
        <f t="shared" si="251"/>
        <v>-3692.4355192970343</v>
      </c>
      <c r="AX282">
        <f t="shared" si="252"/>
        <v>-10149.290889809352</v>
      </c>
      <c r="AY282">
        <f t="shared" si="260"/>
        <v>-1.9197225938181801</v>
      </c>
      <c r="BA282">
        <f t="shared" si="237"/>
        <v>2.9252927444320931</v>
      </c>
      <c r="BB282">
        <f t="shared" si="253"/>
        <v>9.3233866796782667</v>
      </c>
      <c r="BC282">
        <f t="shared" si="254"/>
        <v>-0.6248987856943784</v>
      </c>
      <c r="BD282">
        <f t="shared" si="238"/>
        <v>-215.80406308405009</v>
      </c>
      <c r="BF282">
        <f t="shared" si="239"/>
        <v>-29.500471584033253</v>
      </c>
      <c r="BG282">
        <f t="shared" si="240"/>
        <v>-210.51879424827652</v>
      </c>
      <c r="BH282">
        <f t="shared" si="255"/>
        <v>-30.518794248276521</v>
      </c>
      <c r="BI282">
        <f t="shared" si="256"/>
        <v>-30.518794248276521</v>
      </c>
      <c r="BJ282">
        <f t="shared" si="241"/>
        <v>0</v>
      </c>
      <c r="BK282">
        <f t="shared" si="257"/>
        <v>0</v>
      </c>
      <c r="BM282">
        <f t="shared" si="258"/>
        <v>-38.823858263711521</v>
      </c>
      <c r="BN282">
        <f t="shared" si="242"/>
        <v>-174.71473116422644</v>
      </c>
      <c r="BQ282" s="56">
        <f t="shared" si="259"/>
        <v>26.225347479963403</v>
      </c>
      <c r="BR282" s="59"/>
      <c r="BS282" s="59"/>
      <c r="BT282" s="59">
        <v>52480.745999999999</v>
      </c>
      <c r="BU282" s="59">
        <v>1.1752400000000001</v>
      </c>
      <c r="BV282" s="59">
        <v>-136.553</v>
      </c>
      <c r="BY282" s="59"/>
      <c r="BZ282" s="59"/>
      <c r="CA282" s="59"/>
      <c r="CC282" s="59"/>
    </row>
    <row r="283" spans="1:81" x14ac:dyDescent="0.2">
      <c r="A283">
        <f t="shared" si="211"/>
        <v>345000</v>
      </c>
      <c r="B283">
        <f t="shared" si="243"/>
        <v>345</v>
      </c>
      <c r="C283">
        <f t="shared" si="212"/>
        <v>1.0034584383404281</v>
      </c>
      <c r="D283">
        <f t="shared" si="213"/>
        <v>8.3048182857092076E-2</v>
      </c>
      <c r="F283">
        <f t="shared" si="214"/>
        <v>7.3887361752812892E-4</v>
      </c>
      <c r="G283">
        <f t="shared" si="215"/>
        <v>1.024447627882006E-2</v>
      </c>
      <c r="H283">
        <f t="shared" si="216"/>
        <v>-3.1313481737211801</v>
      </c>
      <c r="J283">
        <f t="shared" si="217"/>
        <v>15</v>
      </c>
      <c r="M283">
        <f t="shared" si="218"/>
        <v>6.5413004956584378E-4</v>
      </c>
      <c r="N283">
        <f t="shared" si="219"/>
        <v>-1.5707963250000001</v>
      </c>
      <c r="O283">
        <f t="shared" si="220"/>
        <v>323.79073316098464</v>
      </c>
      <c r="P283">
        <f t="shared" si="221"/>
        <v>1.5677079073705302</v>
      </c>
      <c r="Q283">
        <f t="shared" si="222"/>
        <v>48.193120744839462</v>
      </c>
      <c r="R283">
        <f t="shared" si="223"/>
        <v>1.5500449880597011</v>
      </c>
      <c r="S283">
        <f t="shared" si="224"/>
        <v>0.59226385286915373</v>
      </c>
      <c r="T283">
        <f t="shared" si="225"/>
        <v>-0.93693073508647762</v>
      </c>
      <c r="U283">
        <f t="shared" si="226"/>
        <v>0.55790289084360645</v>
      </c>
      <c r="V283">
        <f t="shared" si="227"/>
        <v>-0.97893960240723377</v>
      </c>
      <c r="X283">
        <f t="shared" si="244"/>
        <v>-28.517035741382767</v>
      </c>
      <c r="Y283">
        <f t="shared" si="228"/>
        <v>-195.79192624701432</v>
      </c>
      <c r="Z283">
        <f t="shared" si="245"/>
        <v>-15.791926247014317</v>
      </c>
      <c r="AC283">
        <v>1</v>
      </c>
      <c r="AD283">
        <f t="shared" si="229"/>
        <v>323.789188950045</v>
      </c>
      <c r="AE283">
        <f t="shared" si="230"/>
        <v>-0.12633794603044135</v>
      </c>
      <c r="AF283">
        <f t="shared" si="231"/>
        <v>8.4930444018629994E-2</v>
      </c>
      <c r="AG283">
        <f t="shared" si="246"/>
        <v>1181.1807165324537</v>
      </c>
      <c r="AH283">
        <f t="shared" si="247"/>
        <v>-1768.8350432328104</v>
      </c>
      <c r="AJ283">
        <f t="shared" si="232"/>
        <v>18000</v>
      </c>
      <c r="AK283">
        <f t="shared" si="233"/>
        <v>24488.061255478799</v>
      </c>
      <c r="AL283">
        <v>1</v>
      </c>
      <c r="AM283">
        <f t="shared" si="234"/>
        <v>48.182744703126602</v>
      </c>
      <c r="AN283">
        <f t="shared" si="248"/>
        <v>515.76419725300002</v>
      </c>
      <c r="AO283">
        <f t="shared" si="249"/>
        <v>-362.87338777552947</v>
      </c>
      <c r="AQ283">
        <f t="shared" si="235"/>
        <v>2.1003946641573953E-2</v>
      </c>
      <c r="AR283">
        <f t="shared" si="236"/>
        <v>-14.492723182686026</v>
      </c>
      <c r="AT283">
        <f t="shared" si="261"/>
        <v>-25610.427180663486</v>
      </c>
      <c r="AU283">
        <f t="shared" si="262"/>
        <v>-17155.677670297391</v>
      </c>
      <c r="AV283">
        <f t="shared" si="250"/>
        <v>-2.5513750742788619</v>
      </c>
      <c r="AW283">
        <f t="shared" si="251"/>
        <v>-3560.9959434625266</v>
      </c>
      <c r="AX283">
        <f t="shared" si="252"/>
        <v>-10014.571802861909</v>
      </c>
      <c r="AY283">
        <f t="shared" si="260"/>
        <v>-1.9124348038141172</v>
      </c>
      <c r="BA283">
        <f t="shared" si="237"/>
        <v>2.9001737832341186</v>
      </c>
      <c r="BB283">
        <f t="shared" si="253"/>
        <v>9.2484804465194177</v>
      </c>
      <c r="BC283">
        <f t="shared" si="254"/>
        <v>-0.63894027046474466</v>
      </c>
      <c r="BD283">
        <f t="shared" si="238"/>
        <v>-216.60858090040858</v>
      </c>
      <c r="BF283">
        <f t="shared" si="239"/>
        <v>-29.828303388849609</v>
      </c>
      <c r="BG283">
        <f t="shared" si="240"/>
        <v>-211.26330526626035</v>
      </c>
      <c r="BH283">
        <f t="shared" si="255"/>
        <v>-31.263305266260346</v>
      </c>
      <c r="BI283">
        <f t="shared" si="256"/>
        <v>-31.263305266260346</v>
      </c>
      <c r="BJ283">
        <f t="shared" si="241"/>
        <v>0</v>
      </c>
      <c r="BK283">
        <f t="shared" si="257"/>
        <v>0</v>
      </c>
      <c r="BM283">
        <f t="shared" si="258"/>
        <v>-39.076783835369028</v>
      </c>
      <c r="BN283">
        <f t="shared" si="242"/>
        <v>-174.65472436585176</v>
      </c>
      <c r="BQ283" s="56">
        <f t="shared" si="259"/>
        <v>26.150441246804554</v>
      </c>
      <c r="BR283" s="59"/>
      <c r="BS283" s="59"/>
      <c r="BT283" s="59">
        <v>53703.18</v>
      </c>
      <c r="BU283" s="59">
        <v>1.3152900000000001</v>
      </c>
      <c r="BV283" s="59">
        <v>-136.001</v>
      </c>
      <c r="BY283" s="59"/>
      <c r="BZ283" s="59"/>
      <c r="CA283" s="59"/>
      <c r="CC283" s="59"/>
    </row>
    <row r="284" spans="1:81" x14ac:dyDescent="0.2">
      <c r="A284">
        <f t="shared" si="211"/>
        <v>350000</v>
      </c>
      <c r="B284">
        <f t="shared" si="243"/>
        <v>350</v>
      </c>
      <c r="C284">
        <f t="shared" si="212"/>
        <v>1.0035592302788519</v>
      </c>
      <c r="D284">
        <f t="shared" si="213"/>
        <v>8.4246133158968492E-2</v>
      </c>
      <c r="F284">
        <f t="shared" si="214"/>
        <v>7.1789960979473286E-4</v>
      </c>
      <c r="G284">
        <f t="shared" si="215"/>
        <v>1.0097922940317316E-2</v>
      </c>
      <c r="H284">
        <f t="shared" si="216"/>
        <v>-3.1314947270596827</v>
      </c>
      <c r="J284">
        <f t="shared" si="217"/>
        <v>15</v>
      </c>
      <c r="M284">
        <f t="shared" si="218"/>
        <v>6.44785334572046E-4</v>
      </c>
      <c r="N284">
        <f t="shared" si="219"/>
        <v>-1.5707963250000001</v>
      </c>
      <c r="O284">
        <f t="shared" si="220"/>
        <v>328.48330804223627</v>
      </c>
      <c r="P284">
        <f t="shared" si="221"/>
        <v>1.5677520273734491</v>
      </c>
      <c r="Q284">
        <f t="shared" si="222"/>
        <v>48.891273194777042</v>
      </c>
      <c r="R284">
        <f t="shared" si="223"/>
        <v>1.5503413524736289</v>
      </c>
      <c r="S284">
        <f t="shared" si="224"/>
        <v>0.58672939299549165</v>
      </c>
      <c r="T284">
        <f t="shared" si="225"/>
        <v>-0.94378229213042308</v>
      </c>
      <c r="U284">
        <f t="shared" si="226"/>
        <v>0.55237686116457463</v>
      </c>
      <c r="V284">
        <f t="shared" si="227"/>
        <v>-0.98558343393600611</v>
      </c>
      <c r="X284">
        <f t="shared" si="244"/>
        <v>-28.809377740087669</v>
      </c>
      <c r="Y284">
        <f t="shared" si="228"/>
        <v>-196.48540612724304</v>
      </c>
      <c r="Z284">
        <f t="shared" si="245"/>
        <v>-16.485406127243039</v>
      </c>
      <c r="AC284">
        <v>1</v>
      </c>
      <c r="AD284">
        <f t="shared" si="229"/>
        <v>328.48178589135</v>
      </c>
      <c r="AE284">
        <f t="shared" si="230"/>
        <v>-0.13002645149110748</v>
      </c>
      <c r="AF284">
        <f t="shared" si="231"/>
        <v>8.6161320018900006E-2</v>
      </c>
      <c r="AG284">
        <f t="shared" si="246"/>
        <v>1157.8974045481607</v>
      </c>
      <c r="AH284">
        <f t="shared" si="247"/>
        <v>-1758.9945310832709</v>
      </c>
      <c r="AJ284">
        <f t="shared" si="232"/>
        <v>18000</v>
      </c>
      <c r="AK284">
        <f t="shared" si="233"/>
        <v>24842.960693964</v>
      </c>
      <c r="AL284">
        <v>1</v>
      </c>
      <c r="AM284">
        <f t="shared" si="234"/>
        <v>48.881045350998001</v>
      </c>
      <c r="AN284">
        <f t="shared" si="248"/>
        <v>515.55064675932817</v>
      </c>
      <c r="AO284">
        <f t="shared" si="249"/>
        <v>-357.69385101506822</v>
      </c>
      <c r="AQ284">
        <f t="shared" si="235"/>
        <v>2.0408121616078335E-2</v>
      </c>
      <c r="AR284">
        <f t="shared" si="236"/>
        <v>-14.285685131254834</v>
      </c>
      <c r="AT284">
        <f t="shared" si="261"/>
        <v>-25104.811507603892</v>
      </c>
      <c r="AU284">
        <f t="shared" si="262"/>
        <v>-16577.255509984589</v>
      </c>
      <c r="AV284">
        <f t="shared" si="250"/>
        <v>-2.5579954896955948</v>
      </c>
      <c r="AW284">
        <f t="shared" si="251"/>
        <v>-3435.5555295585264</v>
      </c>
      <c r="AX284">
        <f t="shared" si="252"/>
        <v>-9883.4547605571497</v>
      </c>
      <c r="AY284">
        <f t="shared" si="260"/>
        <v>-1.9053374806734087</v>
      </c>
      <c r="BA284">
        <f t="shared" si="237"/>
        <v>2.8751414616206783</v>
      </c>
      <c r="BB284">
        <f t="shared" si="253"/>
        <v>9.1731843508772393</v>
      </c>
      <c r="BC284">
        <f t="shared" si="254"/>
        <v>-0.65265800902218607</v>
      </c>
      <c r="BD284">
        <f t="shared" si="238"/>
        <v>-217.39454942511196</v>
      </c>
      <c r="BF284">
        <f t="shared" si="239"/>
        <v>-30.15285592780198</v>
      </c>
      <c r="BG284">
        <f t="shared" si="240"/>
        <v>-211.98903318230069</v>
      </c>
      <c r="BH284">
        <f t="shared" si="255"/>
        <v>-31.989033182300687</v>
      </c>
      <c r="BI284">
        <f t="shared" si="256"/>
        <v>-31.989033182300687</v>
      </c>
      <c r="BJ284">
        <f t="shared" si="241"/>
        <v>0</v>
      </c>
      <c r="BK284">
        <f t="shared" si="257"/>
        <v>0</v>
      </c>
      <c r="BM284">
        <f t="shared" si="258"/>
        <v>-39.326040278679216</v>
      </c>
      <c r="BN284">
        <f t="shared" si="242"/>
        <v>-174.59448375718873</v>
      </c>
      <c r="BQ284" s="56">
        <f t="shared" si="259"/>
        <v>26.075145151162378</v>
      </c>
      <c r="BR284" s="59"/>
      <c r="BS284" s="59"/>
      <c r="BT284" s="59">
        <v>54954.087</v>
      </c>
      <c r="BU284" s="59">
        <v>1.4637500000000001</v>
      </c>
      <c r="BV284" s="59">
        <v>-135.524</v>
      </c>
      <c r="BY284" s="59"/>
      <c r="BZ284" s="59"/>
      <c r="CA284" s="59"/>
      <c r="CC284" s="59"/>
    </row>
    <row r="285" spans="1:81" x14ac:dyDescent="0.2">
      <c r="A285">
        <f t="shared" si="211"/>
        <v>355000</v>
      </c>
      <c r="B285">
        <f t="shared" si="243"/>
        <v>355</v>
      </c>
      <c r="C285">
        <f t="shared" si="212"/>
        <v>1.0036614621195328</v>
      </c>
      <c r="D285">
        <f t="shared" si="213"/>
        <v>8.5443841135595847E-2</v>
      </c>
      <c r="F285">
        <f t="shared" si="214"/>
        <v>6.9780634572614696E-4</v>
      </c>
      <c r="G285">
        <f t="shared" si="215"/>
        <v>9.9555062970689348E-3</v>
      </c>
      <c r="H285">
        <f t="shared" si="216"/>
        <v>-3.1316371437029313</v>
      </c>
      <c r="J285">
        <f t="shared" si="217"/>
        <v>15</v>
      </c>
      <c r="M285">
        <f t="shared" si="218"/>
        <v>6.3570385098652414E-4</v>
      </c>
      <c r="N285">
        <f t="shared" si="219"/>
        <v>-1.5707963250000001</v>
      </c>
      <c r="O285">
        <f t="shared" si="220"/>
        <v>333.17588354489368</v>
      </c>
      <c r="P285">
        <f t="shared" si="221"/>
        <v>1.5677949045707416</v>
      </c>
      <c r="Q285">
        <f t="shared" si="222"/>
        <v>49.589429818012711</v>
      </c>
      <c r="R285">
        <f t="shared" si="223"/>
        <v>1.5506293720379938</v>
      </c>
      <c r="S285">
        <f t="shared" si="224"/>
        <v>0.58127087680436407</v>
      </c>
      <c r="T285">
        <f t="shared" si="225"/>
        <v>-0.95050667587445592</v>
      </c>
      <c r="U285">
        <f t="shared" si="226"/>
        <v>0.5469357927614954</v>
      </c>
      <c r="V285">
        <f t="shared" si="227"/>
        <v>-0.99209666102822947</v>
      </c>
      <c r="X285">
        <f t="shared" si="244"/>
        <v>-29.099083054466877</v>
      </c>
      <c r="Y285">
        <f t="shared" si="228"/>
        <v>-197.16444263231622</v>
      </c>
      <c r="Z285">
        <f t="shared" si="245"/>
        <v>-17.164442632316224</v>
      </c>
      <c r="AC285">
        <v>1</v>
      </c>
      <c r="AD285">
        <f t="shared" si="229"/>
        <v>333.174382832655</v>
      </c>
      <c r="AE285">
        <f t="shared" si="230"/>
        <v>-0.13376802897279039</v>
      </c>
      <c r="AF285">
        <f t="shared" si="231"/>
        <v>8.739219601916999E-2</v>
      </c>
      <c r="AG285">
        <f t="shared" si="246"/>
        <v>1135.1985188735325</v>
      </c>
      <c r="AH285">
        <f t="shared" si="247"/>
        <v>-1749.0494040110193</v>
      </c>
      <c r="AJ285">
        <f t="shared" si="232"/>
        <v>18000</v>
      </c>
      <c r="AK285">
        <f t="shared" si="233"/>
        <v>25197.860132449197</v>
      </c>
      <c r="AL285">
        <v>1</v>
      </c>
      <c r="AM285">
        <f t="shared" si="234"/>
        <v>49.579345998869407</v>
      </c>
      <c r="AN285">
        <f t="shared" si="248"/>
        <v>515.34605093656296</v>
      </c>
      <c r="AO285">
        <f t="shared" si="249"/>
        <v>-352.66003608563437</v>
      </c>
      <c r="AQ285">
        <f t="shared" si="235"/>
        <v>1.9837294510425488E-2</v>
      </c>
      <c r="AR285">
        <f t="shared" si="236"/>
        <v>-14.084479102402097</v>
      </c>
      <c r="AT285">
        <f t="shared" si="261"/>
        <v>-24611.930512515351</v>
      </c>
      <c r="AU285">
        <f t="shared" si="262"/>
        <v>-16023.376224292733</v>
      </c>
      <c r="AV285">
        <f t="shared" si="250"/>
        <v>-2.5644859602743848</v>
      </c>
      <c r="AW285">
        <f t="shared" si="251"/>
        <v>-3315.761026641745</v>
      </c>
      <c r="AX285">
        <f t="shared" si="252"/>
        <v>-9755.7894787719397</v>
      </c>
      <c r="AY285">
        <f t="shared" si="260"/>
        <v>-1.898423891767945</v>
      </c>
      <c r="BA285">
        <f t="shared" si="237"/>
        <v>2.850218649606814</v>
      </c>
      <c r="BB285">
        <f t="shared" si="253"/>
        <v>9.0975635487690436</v>
      </c>
      <c r="BC285">
        <f t="shared" si="254"/>
        <v>-0.66606206850643979</v>
      </c>
      <c r="BD285">
        <f t="shared" si="238"/>
        <v>-218.16254546277958</v>
      </c>
      <c r="BF285">
        <f t="shared" si="239"/>
        <v>-30.47416800481556</v>
      </c>
      <c r="BG285">
        <f t="shared" si="240"/>
        <v>-212.69656548033987</v>
      </c>
      <c r="BH285">
        <f t="shared" si="255"/>
        <v>-32.696565480339871</v>
      </c>
      <c r="BI285">
        <f t="shared" si="256"/>
        <v>-32.696565480339871</v>
      </c>
      <c r="BJ285">
        <f t="shared" si="241"/>
        <v>0</v>
      </c>
      <c r="BK285">
        <f t="shared" si="257"/>
        <v>0</v>
      </c>
      <c r="BM285">
        <f t="shared" si="258"/>
        <v>-39.571731553584598</v>
      </c>
      <c r="BN285">
        <f t="shared" si="242"/>
        <v>-174.53402001756032</v>
      </c>
      <c r="BQ285" s="56">
        <f t="shared" si="259"/>
        <v>25.99952434905418</v>
      </c>
      <c r="BR285" s="59"/>
      <c r="BS285" s="59"/>
      <c r="BT285" s="59">
        <v>56234.133000000002</v>
      </c>
      <c r="BU285" s="59">
        <v>1.62296</v>
      </c>
      <c r="BV285" s="59">
        <v>-134.983</v>
      </c>
      <c r="BY285" s="59"/>
      <c r="BZ285" s="59"/>
      <c r="CA285" s="59"/>
      <c r="CC285" s="59"/>
    </row>
    <row r="286" spans="1:81" x14ac:dyDescent="0.2">
      <c r="A286">
        <f t="shared" si="211"/>
        <v>360000</v>
      </c>
      <c r="B286">
        <f t="shared" si="243"/>
        <v>360</v>
      </c>
      <c r="C286">
        <f t="shared" si="212"/>
        <v>1.0037651334225164</v>
      </c>
      <c r="D286">
        <f t="shared" si="213"/>
        <v>8.6641303425311761E-2</v>
      </c>
      <c r="F286">
        <f t="shared" si="214"/>
        <v>6.7854518422369469E-4</v>
      </c>
      <c r="G286">
        <f t="shared" si="215"/>
        <v>9.8170535275656345E-3</v>
      </c>
      <c r="H286">
        <f t="shared" si="216"/>
        <v>-3.1317755964724348</v>
      </c>
      <c r="J286">
        <f t="shared" si="217"/>
        <v>15</v>
      </c>
      <c r="M286">
        <f t="shared" si="218"/>
        <v>6.2687463083393351E-4</v>
      </c>
      <c r="N286">
        <f t="shared" si="219"/>
        <v>-1.5707963250000001</v>
      </c>
      <c r="O286">
        <f t="shared" si="220"/>
        <v>337.86845964306508</v>
      </c>
      <c r="P286">
        <f t="shared" si="221"/>
        <v>1.5678365907453577</v>
      </c>
      <c r="Q286">
        <f t="shared" si="222"/>
        <v>50.287590440729282</v>
      </c>
      <c r="R286">
        <f t="shared" si="223"/>
        <v>1.5509093942675882</v>
      </c>
      <c r="S286">
        <f t="shared" si="224"/>
        <v>0.57588766500228639</v>
      </c>
      <c r="T286">
        <f t="shared" si="225"/>
        <v>-0.95710680300388096</v>
      </c>
      <c r="U286">
        <f t="shared" si="226"/>
        <v>0.54157856446944141</v>
      </c>
      <c r="V286">
        <f t="shared" si="227"/>
        <v>-0.99848256069399266</v>
      </c>
      <c r="X286">
        <f t="shared" si="244"/>
        <v>-29.386188920871945</v>
      </c>
      <c r="Y286">
        <f t="shared" si="228"/>
        <v>-197.82937785131665</v>
      </c>
      <c r="Z286">
        <f t="shared" si="245"/>
        <v>-17.82937785131665</v>
      </c>
      <c r="AC286">
        <v>1</v>
      </c>
      <c r="AD286">
        <f t="shared" si="229"/>
        <v>337.86697977396</v>
      </c>
      <c r="AE286">
        <f t="shared" si="230"/>
        <v>-0.13756267847549006</v>
      </c>
      <c r="AF286">
        <f t="shared" si="231"/>
        <v>8.8623072019440002E-2</v>
      </c>
      <c r="AG286">
        <f t="shared" si="246"/>
        <v>1113.0689251870403</v>
      </c>
      <c r="AH286">
        <f t="shared" si="247"/>
        <v>-1739.0137710725905</v>
      </c>
      <c r="AJ286">
        <f t="shared" si="232"/>
        <v>18000</v>
      </c>
      <c r="AK286">
        <f t="shared" si="233"/>
        <v>25552.759570934399</v>
      </c>
      <c r="AL286">
        <v>1</v>
      </c>
      <c r="AM286">
        <f t="shared" si="234"/>
        <v>50.277646646740806</v>
      </c>
      <c r="AN286">
        <f t="shared" si="248"/>
        <v>515.14991610445077</v>
      </c>
      <c r="AO286">
        <f t="shared" si="249"/>
        <v>-347.76588106334896</v>
      </c>
      <c r="AQ286">
        <f t="shared" si="235"/>
        <v>1.9290086245975606E-2</v>
      </c>
      <c r="AR286">
        <f t="shared" si="236"/>
        <v>-13.888862097102436</v>
      </c>
      <c r="AT286">
        <f t="shared" si="261"/>
        <v>-24131.451255824704</v>
      </c>
      <c r="AU286">
        <f t="shared" si="262"/>
        <v>-15492.806532119761</v>
      </c>
      <c r="AV286">
        <f t="shared" si="250"/>
        <v>-2.5708497355425992</v>
      </c>
      <c r="AW286">
        <f t="shared" si="251"/>
        <v>-3201.2843517894039</v>
      </c>
      <c r="AX286">
        <f t="shared" si="252"/>
        <v>-9631.4344268208224</v>
      </c>
      <c r="AY286">
        <f t="shared" si="260"/>
        <v>-1.891687530523803</v>
      </c>
      <c r="BA286">
        <f t="shared" si="237"/>
        <v>2.825425829860424</v>
      </c>
      <c r="BB286">
        <f t="shared" si="253"/>
        <v>9.0216782227322785</v>
      </c>
      <c r="BC286">
        <f t="shared" si="254"/>
        <v>-0.67916220501879621</v>
      </c>
      <c r="BD286">
        <f t="shared" si="238"/>
        <v>-218.9131279968405</v>
      </c>
      <c r="BF286">
        <f t="shared" si="239"/>
        <v>-30.792279023971446</v>
      </c>
      <c r="BG286">
        <f t="shared" si="240"/>
        <v>-213.38647123835909</v>
      </c>
      <c r="BH286">
        <f t="shared" si="255"/>
        <v>-33.386471238359093</v>
      </c>
      <c r="BI286">
        <f t="shared" si="256"/>
        <v>-33.386471238359093</v>
      </c>
      <c r="BJ286">
        <f t="shared" si="241"/>
        <v>0</v>
      </c>
      <c r="BK286">
        <f t="shared" si="257"/>
        <v>0</v>
      </c>
      <c r="BM286">
        <f t="shared" si="258"/>
        <v>-39.813957246703723</v>
      </c>
      <c r="BN286">
        <f t="shared" si="242"/>
        <v>-174.47334324151862</v>
      </c>
      <c r="BQ286" s="56">
        <f t="shared" si="259"/>
        <v>25.923639023017415</v>
      </c>
      <c r="BR286" s="59"/>
      <c r="BS286" s="59"/>
      <c r="BT286" s="59">
        <v>57543.993999999999</v>
      </c>
      <c r="BU286" s="59">
        <v>1.78169</v>
      </c>
      <c r="BV286" s="59">
        <v>-134.52199999999999</v>
      </c>
      <c r="BY286" s="59"/>
      <c r="BZ286" s="59"/>
      <c r="CA286" s="59"/>
      <c r="CC286" s="59"/>
    </row>
    <row r="287" spans="1:81" x14ac:dyDescent="0.2">
      <c r="A287">
        <f t="shared" si="211"/>
        <v>365000</v>
      </c>
      <c r="B287">
        <f t="shared" si="243"/>
        <v>365</v>
      </c>
      <c r="C287">
        <f t="shared" si="212"/>
        <v>1.0038702437418354</v>
      </c>
      <c r="D287">
        <f t="shared" si="213"/>
        <v>8.7838516670651137E-2</v>
      </c>
      <c r="F287">
        <f t="shared" si="214"/>
        <v>6.6007079697557214E-4</v>
      </c>
      <c r="G287">
        <f t="shared" si="215"/>
        <v>9.6824013108155419E-3</v>
      </c>
      <c r="H287">
        <f t="shared" si="216"/>
        <v>-3.1319102486891848</v>
      </c>
      <c r="J287">
        <f t="shared" si="217"/>
        <v>15</v>
      </c>
      <c r="M287">
        <f t="shared" si="218"/>
        <v>6.1828730712387963E-4</v>
      </c>
      <c r="N287">
        <f t="shared" si="219"/>
        <v>-1.5707963250000001</v>
      </c>
      <c r="O287">
        <f t="shared" si="220"/>
        <v>342.56103631227751</v>
      </c>
      <c r="P287">
        <f t="shared" si="221"/>
        <v>1.5678771348428671</v>
      </c>
      <c r="Q287">
        <f t="shared" si="222"/>
        <v>50.985754898629104</v>
      </c>
      <c r="R287">
        <f t="shared" si="223"/>
        <v>1.551181747647856</v>
      </c>
      <c r="S287">
        <f t="shared" si="224"/>
        <v>0.5705790725197758</v>
      </c>
      <c r="T287">
        <f t="shared" si="225"/>
        <v>-0.96358552672754139</v>
      </c>
      <c r="U287">
        <f t="shared" si="226"/>
        <v>0.53630402861115989</v>
      </c>
      <c r="V287">
        <f t="shared" si="227"/>
        <v>-1.0047443246271854</v>
      </c>
      <c r="X287">
        <f t="shared" si="244"/>
        <v>-29.670731881149845</v>
      </c>
      <c r="Y287">
        <f t="shared" si="228"/>
        <v>-198.4805460564267</v>
      </c>
      <c r="Z287">
        <f t="shared" si="245"/>
        <v>-18.480546056426704</v>
      </c>
      <c r="AC287">
        <v>1</v>
      </c>
      <c r="AD287">
        <f t="shared" si="229"/>
        <v>342.559576715265</v>
      </c>
      <c r="AE287">
        <f t="shared" si="230"/>
        <v>-0.14141039999920649</v>
      </c>
      <c r="AF287">
        <f t="shared" si="231"/>
        <v>8.985394801971E-2</v>
      </c>
      <c r="AG287">
        <f t="shared" si="246"/>
        <v>1091.4937250834791</v>
      </c>
      <c r="AH287">
        <f t="shared" si="247"/>
        <v>-1728.9008183213284</v>
      </c>
      <c r="AJ287">
        <f t="shared" si="232"/>
        <v>18000</v>
      </c>
      <c r="AK287">
        <f t="shared" si="233"/>
        <v>25907.6590094196</v>
      </c>
      <c r="AL287">
        <v>1</v>
      </c>
      <c r="AM287">
        <f t="shared" si="234"/>
        <v>50.975947294612212</v>
      </c>
      <c r="AN287">
        <f t="shared" si="248"/>
        <v>514.96178213681605</v>
      </c>
      <c r="AO287">
        <f t="shared" si="249"/>
        <v>-343.00565552631184</v>
      </c>
      <c r="AQ287">
        <f t="shared" si="235"/>
        <v>1.8765211549612405E-2</v>
      </c>
      <c r="AR287">
        <f t="shared" si="236"/>
        <v>-13.698604431217055</v>
      </c>
      <c r="AT287">
        <f t="shared" si="261"/>
        <v>-23663.046300335074</v>
      </c>
      <c r="AU287">
        <f t="shared" si="262"/>
        <v>-14984.383968678254</v>
      </c>
      <c r="AV287">
        <f t="shared" si="250"/>
        <v>-2.5770899812172723</v>
      </c>
      <c r="AW287">
        <f t="shared" si="251"/>
        <v>-3091.820500672703</v>
      </c>
      <c r="AX287">
        <f t="shared" si="252"/>
        <v>-9510.2561717666922</v>
      </c>
      <c r="AY287">
        <f t="shared" si="260"/>
        <v>-1.8851221141968868</v>
      </c>
      <c r="BA287">
        <f t="shared" si="237"/>
        <v>2.8007812923296225</v>
      </c>
      <c r="BB287">
        <f t="shared" si="253"/>
        <v>8.9455839383932503</v>
      </c>
      <c r="BC287">
        <f t="shared" si="254"/>
        <v>-0.69196786702038549</v>
      </c>
      <c r="BD287">
        <f t="shared" si="238"/>
        <v>-219.64683838424099</v>
      </c>
      <c r="BF287">
        <f t="shared" si="239"/>
        <v>-31.107228875027218</v>
      </c>
      <c r="BG287">
        <f t="shared" si="240"/>
        <v>-214.05930136327677</v>
      </c>
      <c r="BH287">
        <f t="shared" si="255"/>
        <v>-34.059301363276774</v>
      </c>
      <c r="BI287">
        <f t="shared" si="256"/>
        <v>-34.059301363276774</v>
      </c>
      <c r="BJ287">
        <f t="shared" si="241"/>
        <v>0</v>
      </c>
      <c r="BK287">
        <f t="shared" si="257"/>
        <v>0</v>
      </c>
      <c r="BM287">
        <f t="shared" si="258"/>
        <v>-40.052812813420474</v>
      </c>
      <c r="BN287">
        <f t="shared" si="242"/>
        <v>-174.41246297903581</v>
      </c>
      <c r="BQ287" s="56">
        <f t="shared" si="259"/>
        <v>25.847544738678387</v>
      </c>
      <c r="BR287" s="59"/>
      <c r="BS287" s="59"/>
      <c r="BT287" s="59">
        <v>58884.366000000002</v>
      </c>
      <c r="BU287" s="59">
        <v>1.9421999999999999</v>
      </c>
      <c r="BV287" s="59">
        <v>-134.059</v>
      </c>
      <c r="BY287" s="59"/>
      <c r="BZ287" s="59"/>
      <c r="CA287" s="59"/>
      <c r="CC287" s="59"/>
    </row>
    <row r="288" spans="1:81" x14ac:dyDescent="0.2">
      <c r="A288">
        <f t="shared" si="211"/>
        <v>370000</v>
      </c>
      <c r="B288">
        <f t="shared" si="243"/>
        <v>370</v>
      </c>
      <c r="C288">
        <f t="shared" si="212"/>
        <v>1.003976792625521</v>
      </c>
      <c r="D288">
        <f t="shared" si="213"/>
        <v>8.9035477518401032E-2</v>
      </c>
      <c r="F288">
        <f t="shared" si="214"/>
        <v>6.4234090129878282E-4</v>
      </c>
      <c r="G288">
        <f t="shared" si="215"/>
        <v>9.5513951819635179E-3</v>
      </c>
      <c r="H288">
        <f t="shared" si="216"/>
        <v>-3.1320412548180365</v>
      </c>
      <c r="J288">
        <f t="shared" si="217"/>
        <v>15</v>
      </c>
      <c r="M288">
        <f t="shared" si="218"/>
        <v>6.0993207324382722E-4</v>
      </c>
      <c r="N288">
        <f t="shared" si="219"/>
        <v>-1.5707963250000001</v>
      </c>
      <c r="O288">
        <f t="shared" si="220"/>
        <v>347.25361352938091</v>
      </c>
      <c r="P288">
        <f t="shared" si="221"/>
        <v>1.5679165831631701</v>
      </c>
      <c r="Q288">
        <f t="shared" si="222"/>
        <v>51.683923036291191</v>
      </c>
      <c r="R288">
        <f t="shared" si="223"/>
        <v>1.5514467429196626</v>
      </c>
      <c r="S288">
        <f t="shared" si="224"/>
        <v>0.56534437355638867</v>
      </c>
      <c r="T288">
        <f t="shared" si="225"/>
        <v>-0.96994563703716152</v>
      </c>
      <c r="U288">
        <f t="shared" si="226"/>
        <v>0.53111101566387142</v>
      </c>
      <c r="V288">
        <f t="shared" si="227"/>
        <v>-1.0108850605953026</v>
      </c>
      <c r="X288">
        <f t="shared" si="244"/>
        <v>-29.952747812202382</v>
      </c>
      <c r="Y288">
        <f t="shared" si="228"/>
        <v>-199.11827374973899</v>
      </c>
      <c r="Z288">
        <f t="shared" si="245"/>
        <v>-19.118273749738989</v>
      </c>
      <c r="AC288">
        <v>1</v>
      </c>
      <c r="AD288">
        <f t="shared" si="229"/>
        <v>347.25217365656999</v>
      </c>
      <c r="AE288">
        <f t="shared" si="230"/>
        <v>-0.14531119354393973</v>
      </c>
      <c r="AF288">
        <f t="shared" si="231"/>
        <v>9.1084824019979999E-2</v>
      </c>
      <c r="AG288">
        <f t="shared" si="246"/>
        <v>1070.4582730240304</v>
      </c>
      <c r="AH288">
        <f t="shared" si="247"/>
        <v>-1718.7228605477271</v>
      </c>
      <c r="AJ288">
        <f t="shared" si="232"/>
        <v>18000</v>
      </c>
      <c r="AK288">
        <f t="shared" si="233"/>
        <v>26262.558447904801</v>
      </c>
      <c r="AL288">
        <v>1</v>
      </c>
      <c r="AM288">
        <f t="shared" si="234"/>
        <v>51.674247942483603</v>
      </c>
      <c r="AN288">
        <f t="shared" si="248"/>
        <v>514.78121976194461</v>
      </c>
      <c r="AO288">
        <f t="shared" si="249"/>
        <v>-338.37393820806261</v>
      </c>
      <c r="AQ288">
        <f t="shared" si="235"/>
        <v>1.8261471399796569E-2</v>
      </c>
      <c r="AR288">
        <f t="shared" si="236"/>
        <v>-13.51348883584946</v>
      </c>
      <c r="AT288">
        <f t="shared" si="261"/>
        <v>-23206.394044793455</v>
      </c>
      <c r="AU288">
        <f t="shared" si="262"/>
        <v>-14497.012330114996</v>
      </c>
      <c r="AV288">
        <f t="shared" si="250"/>
        <v>-2.5832097804931635</v>
      </c>
      <c r="AW288">
        <f t="shared" si="251"/>
        <v>-2987.0856554770926</v>
      </c>
      <c r="AX288">
        <f t="shared" si="252"/>
        <v>-9392.1287818879136</v>
      </c>
      <c r="AY288">
        <f t="shared" si="260"/>
        <v>-1.8787215807575941</v>
      </c>
      <c r="BA288">
        <f t="shared" si="237"/>
        <v>2.7763013151683409</v>
      </c>
      <c r="BB288">
        <f t="shared" si="253"/>
        <v>8.8693319763876186</v>
      </c>
      <c r="BC288">
        <f t="shared" si="254"/>
        <v>-0.70448819973556942</v>
      </c>
      <c r="BD288">
        <f t="shared" si="238"/>
        <v>-220.36420060774032</v>
      </c>
      <c r="BF288">
        <f t="shared" si="239"/>
        <v>-31.41905782705323</v>
      </c>
      <c r="BG288">
        <f t="shared" si="240"/>
        <v>-214.71558888016139</v>
      </c>
      <c r="BH288">
        <f t="shared" si="255"/>
        <v>-34.715588880161391</v>
      </c>
      <c r="BI288">
        <f t="shared" si="256"/>
        <v>-34.715588880161391</v>
      </c>
      <c r="BJ288">
        <f t="shared" si="241"/>
        <v>0</v>
      </c>
      <c r="BK288">
        <f t="shared" si="257"/>
        <v>0</v>
      </c>
      <c r="BM288">
        <f t="shared" si="258"/>
        <v>-40.28838980344085</v>
      </c>
      <c r="BN288">
        <f t="shared" si="242"/>
        <v>-174.3513882724211</v>
      </c>
      <c r="BQ288" s="56">
        <f t="shared" si="259"/>
        <v>25.771292776672755</v>
      </c>
      <c r="BR288" s="59"/>
      <c r="BS288" s="59"/>
      <c r="BT288" s="59">
        <v>60255.959000000003</v>
      </c>
      <c r="BU288" s="59">
        <v>2.1075200000000001</v>
      </c>
      <c r="BV288" s="59">
        <v>-133.65100000000001</v>
      </c>
      <c r="BY288" s="59"/>
      <c r="BZ288" s="59"/>
      <c r="CA288" s="59"/>
      <c r="CC288" s="59"/>
    </row>
    <row r="289" spans="1:81" x14ac:dyDescent="0.2">
      <c r="A289">
        <f t="shared" si="211"/>
        <v>375000</v>
      </c>
      <c r="B289">
        <f t="shared" si="243"/>
        <v>375</v>
      </c>
      <c r="C289">
        <f t="shared" si="212"/>
        <v>1.0040847796156116</v>
      </c>
      <c r="D289">
        <f t="shared" si="213"/>
        <v>9.0232182619655057E-2</v>
      </c>
      <c r="F289">
        <f t="shared" si="214"/>
        <v>6.253160177877435E-4</v>
      </c>
      <c r="G289">
        <f t="shared" si="215"/>
        <v>9.4238889396857286E-3</v>
      </c>
      <c r="H289">
        <f t="shared" si="216"/>
        <v>-3.1321687610603144</v>
      </c>
      <c r="J289">
        <f t="shared" si="217"/>
        <v>15</v>
      </c>
      <c r="M289">
        <f t="shared" si="218"/>
        <v>6.0179964560057623E-4</v>
      </c>
      <c r="N289">
        <f t="shared" si="219"/>
        <v>-1.5707963250000001</v>
      </c>
      <c r="O289">
        <f t="shared" si="220"/>
        <v>351.94619127245977</v>
      </c>
      <c r="P289">
        <f t="shared" si="221"/>
        <v>1.5679549795368737</v>
      </c>
      <c r="Q289">
        <f t="shared" si="222"/>
        <v>52.382094706579807</v>
      </c>
      <c r="R289">
        <f t="shared" si="223"/>
        <v>1.5517046742613736</v>
      </c>
      <c r="S289">
        <f t="shared" si="224"/>
        <v>0.56018280626088368</v>
      </c>
      <c r="T289">
        <f t="shared" si="225"/>
        <v>-0.97618986109936612</v>
      </c>
      <c r="U289">
        <f t="shared" si="226"/>
        <v>0.52599833851905353</v>
      </c>
      <c r="V289">
        <f t="shared" si="227"/>
        <v>-1.0169077939172788</v>
      </c>
      <c r="X289">
        <f t="shared" si="244"/>
        <v>-30.232271952227453</v>
      </c>
      <c r="Y289">
        <f t="shared" si="228"/>
        <v>-199.74287972650757</v>
      </c>
      <c r="Z289">
        <f t="shared" si="245"/>
        <v>-19.742879726507567</v>
      </c>
      <c r="AC289">
        <v>1</v>
      </c>
      <c r="AD289">
        <f t="shared" si="229"/>
        <v>351.94477059787499</v>
      </c>
      <c r="AE289">
        <f t="shared" si="230"/>
        <v>-0.14926505910968974</v>
      </c>
      <c r="AF289">
        <f t="shared" si="231"/>
        <v>9.2315700020249997E-2</v>
      </c>
      <c r="AG289">
        <f t="shared" si="246"/>
        <v>1049.948190427632</v>
      </c>
      <c r="AH289">
        <f t="shared" si="247"/>
        <v>-1708.4913906485606</v>
      </c>
      <c r="AJ289">
        <f t="shared" si="232"/>
        <v>18000</v>
      </c>
      <c r="AK289">
        <f t="shared" si="233"/>
        <v>26617.457886389999</v>
      </c>
      <c r="AL289">
        <v>1</v>
      </c>
      <c r="AM289">
        <f t="shared" si="234"/>
        <v>52.372548590355002</v>
      </c>
      <c r="AN289">
        <f t="shared" si="248"/>
        <v>514.60782811297781</v>
      </c>
      <c r="AO289">
        <f t="shared" si="249"/>
        <v>-333.8655964339905</v>
      </c>
      <c r="AQ289">
        <f t="shared" si="235"/>
        <v>1.7777746172895691E-2</v>
      </c>
      <c r="AR289">
        <f t="shared" si="236"/>
        <v>-13.333309629671769</v>
      </c>
      <c r="AT289">
        <f t="shared" si="261"/>
        <v>-22761.178998721651</v>
      </c>
      <c r="AU289">
        <f t="shared" si="262"/>
        <v>-14029.657444366721</v>
      </c>
      <c r="AV289">
        <f t="shared" si="250"/>
        <v>-2.5892121354269877</v>
      </c>
      <c r="AW289">
        <f t="shared" si="251"/>
        <v>-2886.815469305564</v>
      </c>
      <c r="AX289">
        <f t="shared" si="252"/>
        <v>-9276.9332831663869</v>
      </c>
      <c r="AY289">
        <f t="shared" si="260"/>
        <v>-1.872480085041796</v>
      </c>
      <c r="BA289">
        <f t="shared" si="237"/>
        <v>2.7520003326356735</v>
      </c>
      <c r="BB289">
        <f t="shared" si="253"/>
        <v>8.7929696411374163</v>
      </c>
      <c r="BC289">
        <f t="shared" si="254"/>
        <v>-0.71673205038519172</v>
      </c>
      <c r="BD289">
        <f t="shared" si="238"/>
        <v>-221.0657215757538</v>
      </c>
      <c r="BF289">
        <f t="shared" si="239"/>
        <v>-31.727806430017225</v>
      </c>
      <c r="BG289">
        <f t="shared" si="240"/>
        <v>-215.35584926602533</v>
      </c>
      <c r="BH289">
        <f t="shared" si="255"/>
        <v>-35.355849266025331</v>
      </c>
      <c r="BI289">
        <f t="shared" si="256"/>
        <v>-35.355849266025331</v>
      </c>
      <c r="BJ289">
        <f t="shared" si="241"/>
        <v>0</v>
      </c>
      <c r="BK289">
        <f t="shared" si="257"/>
        <v>0</v>
      </c>
      <c r="BM289">
        <f t="shared" si="258"/>
        <v>-40.520776071154643</v>
      </c>
      <c r="BN289">
        <f t="shared" si="242"/>
        <v>-174.29012769027156</v>
      </c>
      <c r="BQ289" s="56">
        <f t="shared" si="259"/>
        <v>25.694930441422553</v>
      </c>
      <c r="BR289" s="59"/>
      <c r="BS289" s="59"/>
      <c r="BT289" s="59">
        <v>61659.5</v>
      </c>
      <c r="BU289" s="59">
        <v>2.2781099999999999</v>
      </c>
      <c r="BV289" s="59">
        <v>-133.24799999999999</v>
      </c>
      <c r="BY289" s="59"/>
      <c r="BZ289" s="59"/>
      <c r="CA289" s="59"/>
      <c r="CC289" s="59"/>
    </row>
    <row r="290" spans="1:81" x14ac:dyDescent="0.2">
      <c r="A290">
        <f t="shared" si="211"/>
        <v>380000</v>
      </c>
      <c r="B290">
        <f t="shared" si="243"/>
        <v>380</v>
      </c>
      <c r="C290">
        <f t="shared" si="212"/>
        <v>1.0041942042481626</v>
      </c>
      <c r="D290">
        <f t="shared" si="213"/>
        <v>9.1428628629867781E-2</v>
      </c>
      <c r="F290">
        <f t="shared" si="214"/>
        <v>6.0895925017111891E-4</v>
      </c>
      <c r="G290">
        <f t="shared" si="215"/>
        <v>9.2997441005674714E-3</v>
      </c>
      <c r="H290">
        <f t="shared" si="216"/>
        <v>-3.1322929058994329</v>
      </c>
      <c r="J290">
        <f t="shared" si="217"/>
        <v>15</v>
      </c>
      <c r="M290">
        <f t="shared" si="218"/>
        <v>5.9388122921109497E-4</v>
      </c>
      <c r="N290">
        <f t="shared" si="219"/>
        <v>-1.5707963250000001</v>
      </c>
      <c r="O290">
        <f t="shared" si="220"/>
        <v>356.63876952075213</v>
      </c>
      <c r="P290">
        <f t="shared" si="221"/>
        <v>1.5679923654877412</v>
      </c>
      <c r="Q290">
        <f t="shared" si="222"/>
        <v>53.080269770099669</v>
      </c>
      <c r="R290">
        <f t="shared" si="223"/>
        <v>1.5519558203776935</v>
      </c>
      <c r="S290">
        <f t="shared" si="224"/>
        <v>0.55509357706762097</v>
      </c>
      <c r="T290">
        <f t="shared" si="225"/>
        <v>-0.98232086376500249</v>
      </c>
      <c r="U290">
        <f t="shared" si="226"/>
        <v>0.52096479636439585</v>
      </c>
      <c r="V290">
        <f t="shared" si="227"/>
        <v>-1.0228154690139502</v>
      </c>
      <c r="X290">
        <f t="shared" si="244"/>
        <v>-30.509338924084442</v>
      </c>
      <c r="Y290">
        <f t="shared" si="228"/>
        <v>-200.35467515273024</v>
      </c>
      <c r="Z290">
        <f t="shared" si="245"/>
        <v>-20.354675152730238</v>
      </c>
      <c r="AC290">
        <v>1</v>
      </c>
      <c r="AD290">
        <f t="shared" si="229"/>
        <v>356.63736753917999</v>
      </c>
      <c r="AE290">
        <f t="shared" si="230"/>
        <v>-0.15327199669645653</v>
      </c>
      <c r="AF290">
        <f t="shared" si="231"/>
        <v>9.3546576020520009E-2</v>
      </c>
      <c r="AG290">
        <f t="shared" si="246"/>
        <v>1029.9493771950081</v>
      </c>
      <c r="AH290">
        <f t="shared" si="247"/>
        <v>-1698.2171266653661</v>
      </c>
      <c r="AJ290">
        <f t="shared" si="232"/>
        <v>18000</v>
      </c>
      <c r="AK290">
        <f t="shared" si="233"/>
        <v>26972.3573248752</v>
      </c>
      <c r="AL290">
        <v>1</v>
      </c>
      <c r="AM290">
        <f t="shared" si="234"/>
        <v>53.070849238226408</v>
      </c>
      <c r="AN290">
        <f t="shared" si="248"/>
        <v>514.44123250221003</v>
      </c>
      <c r="AO290">
        <f t="shared" si="249"/>
        <v>-329.47576717696683</v>
      </c>
      <c r="AQ290">
        <f t="shared" si="235"/>
        <v>1.7312989416569571E-2</v>
      </c>
      <c r="AR290">
        <f t="shared" si="236"/>
        <v>-13.157871956592873</v>
      </c>
      <c r="AT290">
        <f t="shared" si="261"/>
        <v>-22327.092004488964</v>
      </c>
      <c r="AU290">
        <f t="shared" si="262"/>
        <v>-13581.343242045486</v>
      </c>
      <c r="AV290">
        <f t="shared" si="250"/>
        <v>-2.5950999684016596</v>
      </c>
      <c r="AW290">
        <f t="shared" si="251"/>
        <v>-2790.7635086408991</v>
      </c>
      <c r="AX290">
        <f t="shared" si="252"/>
        <v>-9164.5571633713225</v>
      </c>
      <c r="AY290">
        <f t="shared" si="260"/>
        <v>-1.8663919943058846</v>
      </c>
      <c r="BA290">
        <f t="shared" si="237"/>
        <v>2.727891090665802</v>
      </c>
      <c r="BB290">
        <f t="shared" si="253"/>
        <v>8.7165405479363098</v>
      </c>
      <c r="BC290">
        <f t="shared" si="254"/>
        <v>-0.72870797409577492</v>
      </c>
      <c r="BD290">
        <f t="shared" si="238"/>
        <v>-221.75189146092492</v>
      </c>
      <c r="BF290">
        <f t="shared" si="239"/>
        <v>-32.033515424078367</v>
      </c>
      <c r="BG290">
        <f t="shared" si="240"/>
        <v>-215.98058081965564</v>
      </c>
      <c r="BH290">
        <f t="shared" si="255"/>
        <v>-35.980580819655643</v>
      </c>
      <c r="BI290">
        <f t="shared" si="256"/>
        <v>-35.980580819655643</v>
      </c>
      <c r="BJ290">
        <f t="shared" si="241"/>
        <v>0</v>
      </c>
      <c r="BK290">
        <f t="shared" si="257"/>
        <v>0</v>
      </c>
      <c r="BM290">
        <f t="shared" si="258"/>
        <v>-40.750055972014678</v>
      </c>
      <c r="BN290">
        <f t="shared" si="242"/>
        <v>-174.22868935873072</v>
      </c>
      <c r="BQ290" s="56">
        <f t="shared" si="259"/>
        <v>25.618501348221447</v>
      </c>
      <c r="BR290" s="59"/>
      <c r="BS290" s="59"/>
      <c r="BT290" s="59">
        <v>63095.733999999997</v>
      </c>
      <c r="BU290" s="59">
        <v>2.4499300000000002</v>
      </c>
      <c r="BV290" s="59">
        <v>-132.86600000000001</v>
      </c>
      <c r="BY290" s="59"/>
      <c r="BZ290" s="59"/>
      <c r="CA290" s="59"/>
      <c r="CC290" s="59"/>
    </row>
    <row r="291" spans="1:81" x14ac:dyDescent="0.2">
      <c r="A291">
        <f t="shared" si="211"/>
        <v>385000</v>
      </c>
      <c r="B291">
        <f t="shared" si="243"/>
        <v>385</v>
      </c>
      <c r="C291">
        <f t="shared" si="212"/>
        <v>1.0043050660532569</v>
      </c>
      <c r="D291">
        <f t="shared" si="213"/>
        <v>9.2624812208908877E-2</v>
      </c>
      <c r="F291">
        <f t="shared" si="214"/>
        <v>5.9323608508074792E-4</v>
      </c>
      <c r="G291">
        <f t="shared" si="215"/>
        <v>9.1788293961727573E-3</v>
      </c>
      <c r="H291">
        <f t="shared" si="216"/>
        <v>-3.1324138206038277</v>
      </c>
      <c r="J291">
        <f t="shared" si="217"/>
        <v>15</v>
      </c>
      <c r="M291">
        <f t="shared" si="218"/>
        <v>5.8616848597458726E-4</v>
      </c>
      <c r="N291">
        <f t="shared" si="219"/>
        <v>-1.5707963250000001</v>
      </c>
      <c r="O291">
        <f t="shared" si="220"/>
        <v>361.33134825457444</v>
      </c>
      <c r="P291">
        <f t="shared" si="221"/>
        <v>1.5680287803824864</v>
      </c>
      <c r="Q291">
        <f t="shared" si="222"/>
        <v>53.778448094693587</v>
      </c>
      <c r="R291">
        <f t="shared" si="223"/>
        <v>1.5522004455037293</v>
      </c>
      <c r="S291">
        <f t="shared" si="224"/>
        <v>0.55007586470955827</v>
      </c>
      <c r="T291">
        <f t="shared" si="225"/>
        <v>-0.98834124818167013</v>
      </c>
      <c r="U291">
        <f t="shared" si="226"/>
        <v>0.51600917821543846</v>
      </c>
      <c r="V291">
        <f t="shared" si="227"/>
        <v>-1.0286109510173287</v>
      </c>
      <c r="X291">
        <f t="shared" si="244"/>
        <v>-30.783982756169081</v>
      </c>
      <c r="Y291">
        <f t="shared" si="228"/>
        <v>-200.95396365514998</v>
      </c>
      <c r="Z291">
        <f t="shared" si="245"/>
        <v>-20.953963655149977</v>
      </c>
      <c r="AC291">
        <v>1</v>
      </c>
      <c r="AD291">
        <f t="shared" si="229"/>
        <v>361.32996448048499</v>
      </c>
      <c r="AE291">
        <f t="shared" si="230"/>
        <v>-0.15733200630424002</v>
      </c>
      <c r="AF291">
        <f t="shared" si="231"/>
        <v>9.4777452020789993E-2</v>
      </c>
      <c r="AG291">
        <f t="shared" si="246"/>
        <v>1010.448020932397</v>
      </c>
      <c r="AH291">
        <f t="shared" si="247"/>
        <v>-1687.9100565433123</v>
      </c>
      <c r="AJ291">
        <f t="shared" si="232"/>
        <v>18000</v>
      </c>
      <c r="AK291">
        <f t="shared" si="233"/>
        <v>27327.256763360401</v>
      </c>
      <c r="AL291">
        <v>1</v>
      </c>
      <c r="AM291">
        <f t="shared" si="234"/>
        <v>53.769149886097807</v>
      </c>
      <c r="AN291">
        <f t="shared" si="248"/>
        <v>514.28108239619871</v>
      </c>
      <c r="AO291">
        <f t="shared" si="249"/>
        <v>-325.19983958542724</v>
      </c>
      <c r="AQ291">
        <f t="shared" si="235"/>
        <v>1.6866222185491338E-2</v>
      </c>
      <c r="AR291">
        <f t="shared" si="236"/>
        <v>-12.986991082828331</v>
      </c>
      <c r="AT291">
        <f t="shared" si="261"/>
        <v>-21903.830412116324</v>
      </c>
      <c r="AU291">
        <f t="shared" si="262"/>
        <v>-13151.148103553358</v>
      </c>
      <c r="AV291">
        <f t="shared" si="250"/>
        <v>-2.6008761236560738</v>
      </c>
      <c r="AW291">
        <f t="shared" si="251"/>
        <v>-2698.6998375699309</v>
      </c>
      <c r="AX291">
        <f t="shared" si="252"/>
        <v>-9054.8939189334651</v>
      </c>
      <c r="AY291">
        <f t="shared" si="260"/>
        <v>-1.8604518833060411</v>
      </c>
      <c r="BA291">
        <f t="shared" si="237"/>
        <v>2.7039847908127821</v>
      </c>
      <c r="BB291">
        <f t="shared" si="253"/>
        <v>8.640084889736201</v>
      </c>
      <c r="BC291">
        <f t="shared" si="254"/>
        <v>-0.74042424035003274</v>
      </c>
      <c r="BD291">
        <f t="shared" si="238"/>
        <v>-222.42318406971251</v>
      </c>
      <c r="BF291">
        <f t="shared" si="239"/>
        <v>-32.336225656298751</v>
      </c>
      <c r="BG291">
        <f t="shared" si="240"/>
        <v>-216.59026506001382</v>
      </c>
      <c r="BH291">
        <f t="shared" si="255"/>
        <v>-36.59026506001382</v>
      </c>
      <c r="BI291">
        <f t="shared" si="256"/>
        <v>-36.59026506001382</v>
      </c>
      <c r="BJ291">
        <f t="shared" si="241"/>
        <v>0</v>
      </c>
      <c r="BK291">
        <f t="shared" si="257"/>
        <v>0</v>
      </c>
      <c r="BM291">
        <f t="shared" si="258"/>
        <v>-40.976310546034959</v>
      </c>
      <c r="BN291">
        <f t="shared" si="242"/>
        <v>-174.16708099030132</v>
      </c>
      <c r="BQ291" s="56">
        <f t="shared" si="259"/>
        <v>25.54204569002134</v>
      </c>
      <c r="BR291" s="59"/>
      <c r="BS291" s="59"/>
      <c r="BT291" s="59">
        <v>64565.423000000003</v>
      </c>
      <c r="BU291" s="59">
        <v>2.6258699999999999</v>
      </c>
      <c r="BV291" s="59">
        <v>-132.49799999999999</v>
      </c>
      <c r="BY291" s="59"/>
      <c r="BZ291" s="59"/>
      <c r="CA291" s="59"/>
      <c r="CC291" s="59"/>
    </row>
    <row r="292" spans="1:81" x14ac:dyDescent="0.2">
      <c r="A292">
        <f t="shared" si="211"/>
        <v>390000</v>
      </c>
      <c r="B292">
        <f t="shared" si="243"/>
        <v>390</v>
      </c>
      <c r="C292">
        <f t="shared" si="212"/>
        <v>1.0044173645550136</v>
      </c>
      <c r="D292">
        <f t="shared" si="213"/>
        <v>9.3820730021117155E-2</v>
      </c>
      <c r="F292">
        <f t="shared" si="214"/>
        <v>5.7811420970022519E-4</v>
      </c>
      <c r="G292">
        <f t="shared" si="215"/>
        <v>9.0610203089566636E-3</v>
      </c>
      <c r="H292">
        <f t="shared" si="216"/>
        <v>-3.1325316296910435</v>
      </c>
      <c r="J292">
        <f t="shared" si="217"/>
        <v>15</v>
      </c>
      <c r="M292">
        <f t="shared" si="218"/>
        <v>5.7865350538516941E-4</v>
      </c>
      <c r="N292">
        <f t="shared" si="219"/>
        <v>-1.5707963250000001</v>
      </c>
      <c r="O292">
        <f t="shared" si="220"/>
        <v>366.02392745525259</v>
      </c>
      <c r="P292">
        <f t="shared" si="221"/>
        <v>1.5680642615690423</v>
      </c>
      <c r="Q292">
        <f t="shared" si="222"/>
        <v>54.476629554978729</v>
      </c>
      <c r="R292">
        <f t="shared" si="223"/>
        <v>1.5524388003318828</v>
      </c>
      <c r="S292">
        <f t="shared" si="224"/>
        <v>0.54512882392742812</v>
      </c>
      <c r="T292">
        <f t="shared" si="225"/>
        <v>-0.99425355649656155</v>
      </c>
      <c r="U292">
        <f t="shared" si="226"/>
        <v>0.51113026612277357</v>
      </c>
      <c r="V292">
        <f t="shared" si="227"/>
        <v>-1.0342970274263266</v>
      </c>
      <c r="X292">
        <f t="shared" si="244"/>
        <v>-31.056236901133602</v>
      </c>
      <c r="Y292">
        <f t="shared" si="228"/>
        <v>-201.54104142194879</v>
      </c>
      <c r="Z292">
        <f t="shared" si="245"/>
        <v>-21.54104142194879</v>
      </c>
      <c r="AC292">
        <v>1</v>
      </c>
      <c r="AD292">
        <f t="shared" si="229"/>
        <v>366.02256142178999</v>
      </c>
      <c r="AE292">
        <f t="shared" si="230"/>
        <v>-0.16144508793304041</v>
      </c>
      <c r="AF292">
        <f t="shared" si="231"/>
        <v>9.6008328021060005E-2</v>
      </c>
      <c r="AG292">
        <f t="shared" si="246"/>
        <v>991.43060411925342</v>
      </c>
      <c r="AH292">
        <f t="shared" si="247"/>
        <v>-1677.5794806697436</v>
      </c>
      <c r="AJ292">
        <f t="shared" si="232"/>
        <v>18000</v>
      </c>
      <c r="AK292">
        <f t="shared" si="233"/>
        <v>27682.156201845599</v>
      </c>
      <c r="AL292">
        <v>1</v>
      </c>
      <c r="AM292">
        <f t="shared" si="234"/>
        <v>54.467450533969199</v>
      </c>
      <c r="AN292">
        <f t="shared" si="248"/>
        <v>514.12704957125277</v>
      </c>
      <c r="AO292">
        <f t="shared" si="249"/>
        <v>-321.0334388521361</v>
      </c>
      <c r="AQ292">
        <f t="shared" si="235"/>
        <v>1.6436527882104073E-2</v>
      </c>
      <c r="AR292">
        <f t="shared" si="236"/>
        <v>-12.820491748041176</v>
      </c>
      <c r="AT292">
        <f t="shared" si="261"/>
        <v>-21491.098211841872</v>
      </c>
      <c r="AU292">
        <f t="shared" si="262"/>
        <v>-12738.201460774841</v>
      </c>
      <c r="AV292">
        <f t="shared" si="250"/>
        <v>-2.6065433688674422</v>
      </c>
      <c r="AW292">
        <f t="shared" si="251"/>
        <v>-2610.4097293309933</v>
      </c>
      <c r="AX292">
        <f t="shared" si="252"/>
        <v>-8947.8426403469384</v>
      </c>
      <c r="AY292">
        <f t="shared" si="260"/>
        <v>-1.8546545290061383</v>
      </c>
      <c r="BA292">
        <f t="shared" si="237"/>
        <v>2.6802912232708427</v>
      </c>
      <c r="BB292">
        <f t="shared" si="253"/>
        <v>8.5636396849653895</v>
      </c>
      <c r="BC292">
        <f t="shared" si="254"/>
        <v>-0.75188883986130395</v>
      </c>
      <c r="BD292">
        <f t="shared" si="238"/>
        <v>-223.08005723626667</v>
      </c>
      <c r="BF292">
        <f t="shared" si="239"/>
        <v>-32.635978004443565</v>
      </c>
      <c r="BG292">
        <f t="shared" si="240"/>
        <v>-217.18536714669909</v>
      </c>
      <c r="BH292">
        <f t="shared" si="255"/>
        <v>-37.185367146699093</v>
      </c>
      <c r="BI292">
        <f t="shared" si="256"/>
        <v>-37.185367146699093</v>
      </c>
      <c r="BJ292">
        <f t="shared" si="241"/>
        <v>0</v>
      </c>
      <c r="BK292">
        <f t="shared" si="257"/>
        <v>0</v>
      </c>
      <c r="BM292">
        <f t="shared" si="258"/>
        <v>-41.19961768940896</v>
      </c>
      <c r="BN292">
        <f t="shared" si="242"/>
        <v>-174.10530991043245</v>
      </c>
      <c r="BQ292" s="56">
        <f t="shared" si="259"/>
        <v>25.465600485250526</v>
      </c>
      <c r="BR292" s="59"/>
      <c r="BS292" s="59"/>
      <c r="BT292" s="59">
        <v>66069.345000000001</v>
      </c>
      <c r="BU292" s="59">
        <v>2.7940900000000002</v>
      </c>
      <c r="BV292" s="59">
        <v>-132.279</v>
      </c>
      <c r="BY292" s="59"/>
      <c r="BZ292" s="59"/>
      <c r="CA292" s="59"/>
      <c r="CC292" s="59"/>
    </row>
    <row r="293" spans="1:81" x14ac:dyDescent="0.2">
      <c r="A293">
        <f t="shared" si="211"/>
        <v>395000</v>
      </c>
      <c r="B293">
        <f t="shared" si="243"/>
        <v>395</v>
      </c>
      <c r="C293">
        <f t="shared" si="212"/>
        <v>1.0045310992715994</v>
      </c>
      <c r="D293">
        <f t="shared" si="213"/>
        <v>9.5016378735354234E-2</v>
      </c>
      <c r="F293">
        <f t="shared" si="214"/>
        <v>5.6356334549119088E-4</v>
      </c>
      <c r="G293">
        <f t="shared" si="215"/>
        <v>8.946198643563167E-3</v>
      </c>
      <c r="H293">
        <f t="shared" si="216"/>
        <v>-3.1326464513564369</v>
      </c>
      <c r="J293">
        <f t="shared" si="217"/>
        <v>15</v>
      </c>
      <c r="M293">
        <f t="shared" si="218"/>
        <v>5.713287774689015E-4</v>
      </c>
      <c r="N293">
        <f t="shared" si="219"/>
        <v>-1.5707963250000001</v>
      </c>
      <c r="O293">
        <f t="shared" si="220"/>
        <v>370.7165071050581</v>
      </c>
      <c r="P293">
        <f t="shared" si="221"/>
        <v>1.5680988445043313</v>
      </c>
      <c r="Q293">
        <f t="shared" si="222"/>
        <v>55.174814031918118</v>
      </c>
      <c r="R293">
        <f t="shared" si="223"/>
        <v>1.5526711228684027</v>
      </c>
      <c r="S293">
        <f t="shared" si="224"/>
        <v>0.54025158889386238</v>
      </c>
      <c r="T293">
        <f t="shared" si="225"/>
        <v>-1.0000602706378308</v>
      </c>
      <c r="U293">
        <f t="shared" si="226"/>
        <v>0.50632683807911039</v>
      </c>
      <c r="V293">
        <f t="shared" si="227"/>
        <v>-1.0398764097978921</v>
      </c>
      <c r="X293">
        <f t="shared" si="244"/>
        <v>-31.326134252744168</v>
      </c>
      <c r="Y293">
        <f t="shared" si="228"/>
        <v>-202.11619731257417</v>
      </c>
      <c r="Z293">
        <f t="shared" si="245"/>
        <v>-22.116197312574172</v>
      </c>
      <c r="AC293">
        <v>1</v>
      </c>
      <c r="AD293">
        <f t="shared" si="229"/>
        <v>370.71515836309499</v>
      </c>
      <c r="AE293">
        <f t="shared" si="230"/>
        <v>-0.16561124158285753</v>
      </c>
      <c r="AF293">
        <f t="shared" si="231"/>
        <v>9.7239204021330003E-2</v>
      </c>
      <c r="AG293">
        <f t="shared" si="246"/>
        <v>972.88390944301602</v>
      </c>
      <c r="AH293">
        <f t="shared" si="247"/>
        <v>-1667.2340522581828</v>
      </c>
      <c r="AJ293">
        <f t="shared" si="232"/>
        <v>18000</v>
      </c>
      <c r="AK293">
        <f t="shared" si="233"/>
        <v>28037.0556403308</v>
      </c>
      <c r="AL293">
        <v>1</v>
      </c>
      <c r="AM293">
        <f t="shared" si="234"/>
        <v>55.165751181840605</v>
      </c>
      <c r="AN293">
        <f t="shared" si="248"/>
        <v>513.9788264311627</v>
      </c>
      <c r="AO293">
        <f t="shared" si="249"/>
        <v>-316.97241130516613</v>
      </c>
      <c r="AQ293">
        <f t="shared" si="235"/>
        <v>1.6023047551598221E-2</v>
      </c>
      <c r="AR293">
        <f t="shared" si="236"/>
        <v>-12.658207565762593</v>
      </c>
      <c r="AT293">
        <f t="shared" si="261"/>
        <v>-21088.606129048367</v>
      </c>
      <c r="AU293">
        <f t="shared" si="262"/>
        <v>-12341.680633619253</v>
      </c>
      <c r="AV293">
        <f t="shared" si="250"/>
        <v>-2.612104396774622</v>
      </c>
      <c r="AW293">
        <f t="shared" si="251"/>
        <v>-2525.6924923717047</v>
      </c>
      <c r="AX293">
        <f t="shared" si="252"/>
        <v>-8843.3076323109381</v>
      </c>
      <c r="AY293">
        <f t="shared" si="260"/>
        <v>-1.8489949050046275</v>
      </c>
      <c r="BA293">
        <f t="shared" si="237"/>
        <v>2.6568188896588314</v>
      </c>
      <c r="BB293">
        <f t="shared" si="253"/>
        <v>8.4872390076439146</v>
      </c>
      <c r="BC293">
        <f t="shared" si="254"/>
        <v>-0.76310949176999454</v>
      </c>
      <c r="BD293">
        <f t="shared" si="238"/>
        <v>-223.72295323475467</v>
      </c>
      <c r="BF293">
        <f t="shared" si="239"/>
        <v>-32.932813307515879</v>
      </c>
      <c r="BG293">
        <f t="shared" si="240"/>
        <v>-217.76633631683401</v>
      </c>
      <c r="BH293">
        <f t="shared" si="255"/>
        <v>-37.766336316834014</v>
      </c>
      <c r="BI293">
        <f t="shared" si="256"/>
        <v>-37.766336316834014</v>
      </c>
      <c r="BJ293">
        <f t="shared" si="241"/>
        <v>0</v>
      </c>
      <c r="BK293">
        <f t="shared" si="257"/>
        <v>0</v>
      </c>
      <c r="BM293">
        <f t="shared" si="258"/>
        <v>-41.420052315159793</v>
      </c>
      <c r="BN293">
        <f t="shared" si="242"/>
        <v>-174.04338308207934</v>
      </c>
      <c r="BQ293" s="56">
        <f t="shared" si="259"/>
        <v>25.38919980792905</v>
      </c>
      <c r="BR293" s="59"/>
      <c r="BS293" s="59"/>
      <c r="BT293" s="59">
        <v>67608.297999999995</v>
      </c>
      <c r="BU293" s="59">
        <v>2.9581400000000002</v>
      </c>
      <c r="BV293" s="59">
        <v>-132.03399999999999</v>
      </c>
      <c r="BY293" s="59"/>
      <c r="BZ293" s="59"/>
      <c r="CA293" s="59"/>
      <c r="CC293" s="59"/>
    </row>
    <row r="294" spans="1:81" x14ac:dyDescent="0.2">
      <c r="A294">
        <f t="shared" si="211"/>
        <v>400000</v>
      </c>
      <c r="B294">
        <f t="shared" si="243"/>
        <v>400</v>
      </c>
      <c r="C294">
        <f t="shared" si="212"/>
        <v>1.0046462697152381</v>
      </c>
      <c r="D294">
        <f t="shared" si="213"/>
        <v>9.6211755025058313E-2</v>
      </c>
      <c r="F294">
        <f t="shared" si="214"/>
        <v>5.4955509639716951E-4</v>
      </c>
      <c r="G294">
        <f t="shared" si="215"/>
        <v>8.8342521303986336E-3</v>
      </c>
      <c r="H294">
        <f t="shared" si="216"/>
        <v>-3.1327583978696016</v>
      </c>
      <c r="J294">
        <f t="shared" si="217"/>
        <v>15</v>
      </c>
      <c r="M294">
        <f t="shared" si="218"/>
        <v>5.6418716775054019E-4</v>
      </c>
      <c r="N294">
        <f t="shared" si="219"/>
        <v>-1.5707963250000001</v>
      </c>
      <c r="O294">
        <f t="shared" si="220"/>
        <v>375.40908718714871</v>
      </c>
      <c r="P294">
        <f t="shared" si="221"/>
        <v>1.568132562872451</v>
      </c>
      <c r="Q294">
        <f t="shared" si="222"/>
        <v>55.873001412424131</v>
      </c>
      <c r="R294">
        <f t="shared" si="223"/>
        <v>1.5528976392257439</v>
      </c>
      <c r="S294">
        <f t="shared" si="224"/>
        <v>0.53544327637040023</v>
      </c>
      <c r="T294">
        <f t="shared" si="225"/>
        <v>-1.0057638131637492</v>
      </c>
      <c r="U294">
        <f t="shared" si="226"/>
        <v>0.5015976706489752</v>
      </c>
      <c r="V294">
        <f t="shared" si="227"/>
        <v>-1.0453517354637312</v>
      </c>
      <c r="X294">
        <f t="shared" si="244"/>
        <v>-31.593707161129728</v>
      </c>
      <c r="Y294">
        <f t="shared" si="228"/>
        <v>-202.67971297529266</v>
      </c>
      <c r="Z294">
        <f t="shared" si="245"/>
        <v>-22.679712975292659</v>
      </c>
      <c r="AC294">
        <v>1</v>
      </c>
      <c r="AD294">
        <f t="shared" si="229"/>
        <v>375.40775530439998</v>
      </c>
      <c r="AE294">
        <f t="shared" si="230"/>
        <v>-0.16983046725369141</v>
      </c>
      <c r="AF294">
        <f t="shared" si="231"/>
        <v>9.8470080021600001E-2</v>
      </c>
      <c r="AG294">
        <f t="shared" si="246"/>
        <v>954.79502350427208</v>
      </c>
      <c r="AH294">
        <f t="shared" si="247"/>
        <v>-1656.8818156483794</v>
      </c>
      <c r="AJ294">
        <f t="shared" si="232"/>
        <v>18000</v>
      </c>
      <c r="AK294">
        <f t="shared" si="233"/>
        <v>28391.955078815998</v>
      </c>
      <c r="AL294">
        <v>1</v>
      </c>
      <c r="AM294">
        <f t="shared" si="234"/>
        <v>55.864051829712004</v>
      </c>
      <c r="AN294">
        <f t="shared" si="248"/>
        <v>513.83612447107419</v>
      </c>
      <c r="AO294">
        <f t="shared" si="249"/>
        <v>-313.01281061444041</v>
      </c>
      <c r="AQ294">
        <f t="shared" si="235"/>
        <v>1.5624975585975647E-2</v>
      </c>
      <c r="AR294">
        <f t="shared" si="236"/>
        <v>-12.499980468780517</v>
      </c>
      <c r="AT294">
        <f t="shared" si="261"/>
        <v>-20696.071685750481</v>
      </c>
      <c r="AU294">
        <f t="shared" si="262"/>
        <v>-11960.807883410589</v>
      </c>
      <c r="AV294">
        <f t="shared" si="250"/>
        <v>-2.6175618268321141</v>
      </c>
      <c r="AW294">
        <f t="shared" si="251"/>
        <v>-2444.3603995297649</v>
      </c>
      <c r="AX294">
        <f t="shared" si="252"/>
        <v>-8741.1980652406382</v>
      </c>
      <c r="AY294">
        <f t="shared" si="260"/>
        <v>-1.8434681757582616</v>
      </c>
      <c r="BA294">
        <f t="shared" si="237"/>
        <v>2.6335751162386618</v>
      </c>
      <c r="BB294">
        <f t="shared" si="253"/>
        <v>8.4109142009951778</v>
      </c>
      <c r="BC294">
        <f t="shared" si="254"/>
        <v>-0.77409365107385253</v>
      </c>
      <c r="BD294">
        <f t="shared" si="238"/>
        <v>-224.35229920508422</v>
      </c>
      <c r="BF294">
        <f t="shared" si="239"/>
        <v>-33.22677230265792</v>
      </c>
      <c r="BG294">
        <f t="shared" si="240"/>
        <v>-218.33360633349812</v>
      </c>
      <c r="BH294">
        <f t="shared" si="255"/>
        <v>-38.333606333498125</v>
      </c>
      <c r="BI294">
        <f t="shared" si="256"/>
        <v>-38.333606333498125</v>
      </c>
      <c r="BJ294">
        <f t="shared" si="241"/>
        <v>0</v>
      </c>
      <c r="BK294">
        <f t="shared" si="257"/>
        <v>0</v>
      </c>
      <c r="BM294">
        <f t="shared" si="258"/>
        <v>-41.6376865036531</v>
      </c>
      <c r="BN294">
        <f t="shared" si="242"/>
        <v>-173.98130712841393</v>
      </c>
      <c r="BQ294" s="56">
        <f t="shared" si="259"/>
        <v>25.312875001280311</v>
      </c>
      <c r="BR294" s="59"/>
      <c r="BS294" s="59"/>
      <c r="BT294" s="59">
        <v>69183.096999999994</v>
      </c>
      <c r="BU294" s="59">
        <v>3.15646</v>
      </c>
      <c r="BV294" s="59">
        <v>-131.40799999999999</v>
      </c>
      <c r="BY294" s="59"/>
      <c r="BZ294" s="59"/>
      <c r="CA294" s="59"/>
      <c r="CC294" s="59"/>
    </row>
    <row r="295" spans="1:81" x14ac:dyDescent="0.2">
      <c r="A295">
        <f t="shared" si="211"/>
        <v>405000</v>
      </c>
      <c r="B295">
        <f t="shared" si="243"/>
        <v>405</v>
      </c>
      <c r="C295">
        <f t="shared" si="212"/>
        <v>1.0047628753922215</v>
      </c>
      <c r="D295">
        <f t="shared" si="213"/>
        <v>9.7406855568297396E-2</v>
      </c>
      <c r="F295">
        <f t="shared" si="214"/>
        <v>5.3606281010179187E-4</v>
      </c>
      <c r="G295">
        <f t="shared" si="215"/>
        <v>8.7250740586797861E-3</v>
      </c>
      <c r="H295">
        <f t="shared" si="216"/>
        <v>-3.1328675759413205</v>
      </c>
      <c r="J295">
        <f t="shared" si="217"/>
        <v>15</v>
      </c>
      <c r="M295">
        <f t="shared" si="218"/>
        <v>5.5722189407460764E-4</v>
      </c>
      <c r="N295">
        <f t="shared" si="219"/>
        <v>-1.5707963250000001</v>
      </c>
      <c r="O295">
        <f t="shared" si="220"/>
        <v>380.10166768551409</v>
      </c>
      <c r="P295">
        <f t="shared" si="221"/>
        <v>1.5681654486941068</v>
      </c>
      <c r="Q295">
        <f t="shared" si="222"/>
        <v>56.571191588991532</v>
      </c>
      <c r="R295">
        <f t="shared" si="223"/>
        <v>1.5531185643562779</v>
      </c>
      <c r="S295">
        <f t="shared" si="224"/>
        <v>0.53070298861447529</v>
      </c>
      <c r="T295">
        <f t="shared" si="225"/>
        <v>-1.0113665481698684</v>
      </c>
      <c r="U295">
        <f t="shared" si="226"/>
        <v>0.49694154134235058</v>
      </c>
      <c r="V295">
        <f t="shared" si="227"/>
        <v>-1.0507255692638924</v>
      </c>
      <c r="X295">
        <f t="shared" si="244"/>
        <v>-31.858987446643006</v>
      </c>
      <c r="Y295">
        <f t="shared" si="228"/>
        <v>-203.23186297120719</v>
      </c>
      <c r="Z295">
        <f t="shared" si="245"/>
        <v>-23.231862971207192</v>
      </c>
      <c r="AC295">
        <v>1</v>
      </c>
      <c r="AD295">
        <f t="shared" si="229"/>
        <v>380.10035224570498</v>
      </c>
      <c r="AE295">
        <f t="shared" si="230"/>
        <v>-0.17410276494554208</v>
      </c>
      <c r="AF295">
        <f t="shared" si="231"/>
        <v>9.9700956021869985E-2</v>
      </c>
      <c r="AG295">
        <f t="shared" si="246"/>
        <v>937.15133907741904</v>
      </c>
      <c r="AH295">
        <f t="shared" si="247"/>
        <v>-1646.5302425965333</v>
      </c>
      <c r="AJ295">
        <f t="shared" si="232"/>
        <v>18000</v>
      </c>
      <c r="AK295">
        <f t="shared" si="233"/>
        <v>28746.854517301199</v>
      </c>
      <c r="AL295">
        <v>1</v>
      </c>
      <c r="AM295">
        <f t="shared" si="234"/>
        <v>56.56235247758341</v>
      </c>
      <c r="AN295">
        <f t="shared" si="248"/>
        <v>513.69867287316686</v>
      </c>
      <c r="AO295">
        <f t="shared" si="249"/>
        <v>-309.15088501767917</v>
      </c>
      <c r="AQ295">
        <f t="shared" si="235"/>
        <v>1.524155579704954E-2</v>
      </c>
      <c r="AR295">
        <f t="shared" si="236"/>
        <v>-12.345660195610128</v>
      </c>
      <c r="AT295">
        <f t="shared" si="261"/>
        <v>-20313.21923246748</v>
      </c>
      <c r="AU295">
        <f t="shared" si="262"/>
        <v>-11594.847666674887</v>
      </c>
      <c r="AV295">
        <f t="shared" si="250"/>
        <v>-2.622918206885569</v>
      </c>
      <c r="AW295">
        <f t="shared" si="251"/>
        <v>-2366.2377102011137</v>
      </c>
      <c r="AX295">
        <f t="shared" si="252"/>
        <v>-8641.4276551431594</v>
      </c>
      <c r="AY295">
        <f t="shared" si="260"/>
        <v>-1.8380696906694209</v>
      </c>
      <c r="BA295">
        <f t="shared" si="237"/>
        <v>2.6105661582143016</v>
      </c>
      <c r="BB295">
        <f t="shared" si="253"/>
        <v>8.3346940756872545</v>
      </c>
      <c r="BC295">
        <f t="shared" si="254"/>
        <v>-0.78484851621614804</v>
      </c>
      <c r="BD295">
        <f t="shared" si="238"/>
        <v>-224.96850758767425</v>
      </c>
      <c r="BF295">
        <f t="shared" si="239"/>
        <v>-33.51789556804394</v>
      </c>
      <c r="BG295">
        <f t="shared" si="240"/>
        <v>-218.88759594152054</v>
      </c>
      <c r="BH295">
        <f t="shared" si="255"/>
        <v>-38.887595941520544</v>
      </c>
      <c r="BI295">
        <f t="shared" si="256"/>
        <v>-38.887595941520544</v>
      </c>
      <c r="BJ295">
        <f t="shared" si="241"/>
        <v>0</v>
      </c>
      <c r="BK295">
        <f t="shared" si="257"/>
        <v>0</v>
      </c>
      <c r="BM295">
        <f t="shared" si="258"/>
        <v>-41.852589643731193</v>
      </c>
      <c r="BN295">
        <f t="shared" si="242"/>
        <v>-173.91908835384629</v>
      </c>
      <c r="BQ295" s="56">
        <f t="shared" si="259"/>
        <v>25.236654875972391</v>
      </c>
      <c r="BR295" s="59"/>
      <c r="BS295" s="59"/>
      <c r="BT295" s="59">
        <v>70794.577999999994</v>
      </c>
      <c r="BU295" s="59">
        <v>3.32565</v>
      </c>
      <c r="BV295" s="59">
        <v>-131.172</v>
      </c>
      <c r="BY295" s="59"/>
      <c r="BZ295" s="59"/>
      <c r="CA295" s="59"/>
      <c r="CC295" s="59"/>
    </row>
    <row r="296" spans="1:81" x14ac:dyDescent="0.2">
      <c r="A296">
        <f t="shared" si="211"/>
        <v>410000</v>
      </c>
      <c r="B296">
        <f t="shared" si="243"/>
        <v>410</v>
      </c>
      <c r="C296">
        <f t="shared" si="212"/>
        <v>1.0048809158029191</v>
      </c>
      <c r="D296">
        <f t="shared" si="213"/>
        <v>9.8601677047822675E-2</v>
      </c>
      <c r="F296">
        <f t="shared" si="214"/>
        <v>5.2306145107373317E-4</v>
      </c>
      <c r="G296">
        <f t="shared" si="215"/>
        <v>8.6185629364295066E-3</v>
      </c>
      <c r="H296">
        <f t="shared" si="216"/>
        <v>-3.1329740870635705</v>
      </c>
      <c r="J296">
        <f t="shared" si="217"/>
        <v>15</v>
      </c>
      <c r="M296">
        <f t="shared" si="218"/>
        <v>5.5042650512247826E-4</v>
      </c>
      <c r="N296">
        <f t="shared" si="219"/>
        <v>-1.5707963250000001</v>
      </c>
      <c r="O296">
        <f t="shared" si="220"/>
        <v>384.79424858492473</v>
      </c>
      <c r="P296">
        <f t="shared" si="221"/>
        <v>1.5681975324280359</v>
      </c>
      <c r="Q296">
        <f t="shared" si="222"/>
        <v>57.269384459357141</v>
      </c>
      <c r="R296">
        <f t="shared" si="223"/>
        <v>1.5533341027323591</v>
      </c>
      <c r="S296">
        <f t="shared" si="224"/>
        <v>0.52602981605264421</v>
      </c>
      <c r="T296">
        <f t="shared" si="225"/>
        <v>-1.0168707822453076</v>
      </c>
      <c r="U296">
        <f t="shared" si="226"/>
        <v>0.49235723075216398</v>
      </c>
      <c r="V296">
        <f t="shared" si="227"/>
        <v>-1.0560004052894922</v>
      </c>
      <c r="X296">
        <f t="shared" si="244"/>
        <v>-32.12200641252528</v>
      </c>
      <c r="Y296">
        <f t="shared" si="228"/>
        <v>-203.77291490360068</v>
      </c>
      <c r="Z296">
        <f t="shared" si="245"/>
        <v>-23.772914903600679</v>
      </c>
      <c r="AC296">
        <v>1</v>
      </c>
      <c r="AD296">
        <f t="shared" si="229"/>
        <v>384.79294918700998</v>
      </c>
      <c r="AE296">
        <f t="shared" si="230"/>
        <v>-0.17842813465840957</v>
      </c>
      <c r="AF296">
        <f t="shared" si="231"/>
        <v>0.10093183202214001</v>
      </c>
      <c r="AG296">
        <f t="shared" si="246"/>
        <v>919.94055609497502</v>
      </c>
      <c r="AH296">
        <f t="shared" si="247"/>
        <v>-1636.1862666321285</v>
      </c>
      <c r="AJ296">
        <f t="shared" si="232"/>
        <v>18000</v>
      </c>
      <c r="AK296">
        <f t="shared" si="233"/>
        <v>29101.753955786404</v>
      </c>
      <c r="AL296">
        <v>1</v>
      </c>
      <c r="AM296">
        <f t="shared" si="234"/>
        <v>57.260653125454802</v>
      </c>
      <c r="AN296">
        <f t="shared" si="248"/>
        <v>513.56621722137913</v>
      </c>
      <c r="AO296">
        <f t="shared" si="249"/>
        <v>-305.38306547895729</v>
      </c>
      <c r="AQ296">
        <f t="shared" si="235"/>
        <v>1.4872077822608831E-2</v>
      </c>
      <c r="AR296">
        <f t="shared" si="236"/>
        <v>-12.195103814539241</v>
      </c>
      <c r="AT296">
        <f t="shared" si="261"/>
        <v>-19939.779953959773</v>
      </c>
      <c r="AU296">
        <f t="shared" si="262"/>
        <v>-11243.104074272816</v>
      </c>
      <c r="AV296">
        <f t="shared" si="250"/>
        <v>-2.6281760148606836</v>
      </c>
      <c r="AW296">
        <f t="shared" si="251"/>
        <v>-2291.1597764609901</v>
      </c>
      <c r="AX296">
        <f t="shared" si="252"/>
        <v>-8543.9143691774188</v>
      </c>
      <c r="AY296">
        <f t="shared" si="260"/>
        <v>-1.8327949780940218</v>
      </c>
      <c r="BA296">
        <f t="shared" si="237"/>
        <v>2.5877972957308151</v>
      </c>
      <c r="BB296">
        <f t="shared" si="253"/>
        <v>8.2586050937714557</v>
      </c>
      <c r="BC296">
        <f t="shared" si="254"/>
        <v>-0.79538103676666183</v>
      </c>
      <c r="BD296">
        <f t="shared" si="238"/>
        <v>-225.57197656354305</v>
      </c>
      <c r="BF296">
        <f t="shared" si="239"/>
        <v>-33.806223471389998</v>
      </c>
      <c r="BG296">
        <f t="shared" si="240"/>
        <v>-219.42870932704582</v>
      </c>
      <c r="BH296">
        <f t="shared" si="255"/>
        <v>-39.428709327045823</v>
      </c>
      <c r="BI296">
        <f t="shared" si="256"/>
        <v>-39.428709327045823</v>
      </c>
      <c r="BJ296">
        <f t="shared" si="241"/>
        <v>0</v>
      </c>
      <c r="BK296">
        <f t="shared" si="257"/>
        <v>0</v>
      </c>
      <c r="BM296">
        <f t="shared" si="258"/>
        <v>-42.064828565161456</v>
      </c>
      <c r="BN296">
        <f t="shared" si="242"/>
        <v>-173.85673276350281</v>
      </c>
      <c r="BQ296" s="56">
        <f t="shared" si="259"/>
        <v>25.160565894056592</v>
      </c>
      <c r="BR296" s="59"/>
      <c r="BS296" s="59"/>
      <c r="BT296" s="59">
        <v>72443.596000000005</v>
      </c>
      <c r="BU296" s="59">
        <v>3.4992100000000002</v>
      </c>
      <c r="BV296" s="59">
        <v>-130.929</v>
      </c>
      <c r="BY296" s="59"/>
      <c r="BZ296" s="59"/>
      <c r="CA296" s="59"/>
      <c r="CC296" s="59"/>
    </row>
    <row r="297" spans="1:81" x14ac:dyDescent="0.2">
      <c r="A297">
        <f t="shared" si="211"/>
        <v>415000</v>
      </c>
      <c r="B297">
        <f t="shared" si="243"/>
        <v>415</v>
      </c>
      <c r="C297">
        <f t="shared" si="212"/>
        <v>1.0050003904417888</v>
      </c>
      <c r="D297">
        <f t="shared" si="213"/>
        <v>9.9796216151121386E-2</v>
      </c>
      <c r="F297">
        <f t="shared" si="214"/>
        <v>5.1052748426754445E-4</v>
      </c>
      <c r="G297">
        <f t="shared" si="215"/>
        <v>8.5146221751385264E-3</v>
      </c>
      <c r="H297">
        <f t="shared" si="216"/>
        <v>-3.1330780278248618</v>
      </c>
      <c r="J297">
        <f t="shared" si="217"/>
        <v>15</v>
      </c>
      <c r="M297">
        <f t="shared" si="218"/>
        <v>5.4379486048244843E-4</v>
      </c>
      <c r="N297">
        <f t="shared" si="219"/>
        <v>-1.5707963250000001</v>
      </c>
      <c r="O297">
        <f t="shared" si="220"/>
        <v>389.48682987088506</v>
      </c>
      <c r="P297">
        <f t="shared" si="221"/>
        <v>1.5682288430651015</v>
      </c>
      <c r="Q297">
        <f t="shared" si="222"/>
        <v>57.967579926184293</v>
      </c>
      <c r="R297">
        <f t="shared" si="223"/>
        <v>1.5535444489772616</v>
      </c>
      <c r="S297">
        <f t="shared" si="224"/>
        <v>0.5214228397354842</v>
      </c>
      <c r="T297">
        <f t="shared" si="225"/>
        <v>-1.0222787654701091</v>
      </c>
      <c r="U297">
        <f t="shared" si="226"/>
        <v>0.48784352447418972</v>
      </c>
      <c r="V297">
        <f t="shared" si="227"/>
        <v>-1.061178668627772</v>
      </c>
      <c r="X297">
        <f t="shared" si="244"/>
        <v>-32.382794856541189</v>
      </c>
      <c r="Y297">
        <f t="shared" si="228"/>
        <v>-204.30312955158789</v>
      </c>
      <c r="Z297">
        <f t="shared" si="245"/>
        <v>-24.303129551587887</v>
      </c>
      <c r="AC297">
        <v>1</v>
      </c>
      <c r="AD297">
        <f t="shared" si="229"/>
        <v>389.48554612831498</v>
      </c>
      <c r="AE297">
        <f t="shared" si="230"/>
        <v>-0.18280657639229381</v>
      </c>
      <c r="AF297">
        <f t="shared" si="231"/>
        <v>0.10216270802241</v>
      </c>
      <c r="AG297">
        <f t="shared" si="246"/>
        <v>903.15068150810407</v>
      </c>
      <c r="AH297">
        <f t="shared" si="247"/>
        <v>-1625.8563155591764</v>
      </c>
      <c r="AJ297">
        <f t="shared" si="232"/>
        <v>18000</v>
      </c>
      <c r="AK297">
        <f t="shared" si="233"/>
        <v>29456.653394271598</v>
      </c>
      <c r="AL297">
        <v>1</v>
      </c>
      <c r="AM297">
        <f t="shared" si="234"/>
        <v>57.958953773326201</v>
      </c>
      <c r="AN297">
        <f t="shared" si="248"/>
        <v>513.43851832377902</v>
      </c>
      <c r="AO297">
        <f t="shared" si="249"/>
        <v>-301.70595470140915</v>
      </c>
      <c r="AQ297">
        <f t="shared" si="235"/>
        <v>1.4515873833830985E-2</v>
      </c>
      <c r="AR297">
        <f t="shared" si="236"/>
        <v>-12.048175282079718</v>
      </c>
      <c r="AT297">
        <f t="shared" si="261"/>
        <v>-19575.491851987561</v>
      </c>
      <c r="AU297">
        <f t="shared" si="262"/>
        <v>-10904.918442087985</v>
      </c>
      <c r="AV297">
        <f t="shared" si="250"/>
        <v>-2.6333376604583223</v>
      </c>
      <c r="AW297">
        <f t="shared" si="251"/>
        <v>-2218.9722250734253</v>
      </c>
      <c r="AX297">
        <f t="shared" si="252"/>
        <v>-8448.5801545012655</v>
      </c>
      <c r="AY297">
        <f t="shared" si="260"/>
        <v>-1.8276397393183479</v>
      </c>
      <c r="BA297">
        <f t="shared" si="237"/>
        <v>2.5652729221638544</v>
      </c>
      <c r="BB297">
        <f t="shared" si="253"/>
        <v>8.1826715393218858</v>
      </c>
      <c r="BC297">
        <f t="shared" si="254"/>
        <v>-0.8056979211399744</v>
      </c>
      <c r="BD297">
        <f t="shared" si="238"/>
        <v>-226.16309049653378</v>
      </c>
      <c r="BF297">
        <f t="shared" si="239"/>
        <v>-34.091796123710971</v>
      </c>
      <c r="BG297">
        <f t="shared" si="240"/>
        <v>-219.95733657782418</v>
      </c>
      <c r="BH297">
        <f t="shared" si="255"/>
        <v>-39.957336577824179</v>
      </c>
      <c r="BI297">
        <f t="shared" si="256"/>
        <v>-39.957336577824179</v>
      </c>
      <c r="BJ297">
        <f t="shared" si="241"/>
        <v>0</v>
      </c>
      <c r="BK297">
        <f t="shared" si="257"/>
        <v>0</v>
      </c>
      <c r="BM297">
        <f t="shared" si="258"/>
        <v>-42.274467663032866</v>
      </c>
      <c r="BN297">
        <f t="shared" si="242"/>
        <v>-173.7942460812904</v>
      </c>
      <c r="BQ297" s="56">
        <f t="shared" si="259"/>
        <v>25.084632339607023</v>
      </c>
      <c r="BR297" s="59"/>
      <c r="BS297" s="59"/>
      <c r="BT297" s="59">
        <v>74131.024000000005</v>
      </c>
      <c r="BU297" s="59">
        <v>3.6540400000000002</v>
      </c>
      <c r="BV297" s="59">
        <v>-130.88900000000001</v>
      </c>
      <c r="BY297" s="59"/>
      <c r="BZ297" s="59"/>
      <c r="CA297" s="59"/>
      <c r="CC297" s="59"/>
    </row>
    <row r="298" spans="1:81" x14ac:dyDescent="0.2">
      <c r="A298">
        <f t="shared" si="211"/>
        <v>420000</v>
      </c>
      <c r="B298">
        <f t="shared" si="243"/>
        <v>420</v>
      </c>
      <c r="C298">
        <f t="shared" si="212"/>
        <v>1.0051212987973885</v>
      </c>
      <c r="D298">
        <f t="shared" si="213"/>
        <v>0.1009904695704698</v>
      </c>
      <c r="F298">
        <f t="shared" si="214"/>
        <v>4.9843876847018075E-4</v>
      </c>
      <c r="G298">
        <f t="shared" si="215"/>
        <v>8.4131597970293227E-3</v>
      </c>
      <c r="H298">
        <f t="shared" si="216"/>
        <v>-3.1331794902029708</v>
      </c>
      <c r="J298">
        <f t="shared" si="217"/>
        <v>15</v>
      </c>
      <c r="M298">
        <f t="shared" si="218"/>
        <v>5.3732111214337163E-4</v>
      </c>
      <c r="N298">
        <f t="shared" si="219"/>
        <v>-1.5707963250000001</v>
      </c>
      <c r="O298">
        <f t="shared" si="220"/>
        <v>394.17941152958991</v>
      </c>
      <c r="P298">
        <f t="shared" si="221"/>
        <v>1.5682594082156647</v>
      </c>
      <c r="Q298">
        <f t="shared" si="222"/>
        <v>58.665777896769647</v>
      </c>
      <c r="R298">
        <f t="shared" si="223"/>
        <v>1.5537497884510847</v>
      </c>
      <c r="S298">
        <f t="shared" si="224"/>
        <v>0.51688113358877574</v>
      </c>
      <c r="T298">
        <f t="shared" si="225"/>
        <v>-1.027592692446371</v>
      </c>
      <c r="U298">
        <f t="shared" si="226"/>
        <v>0.4833992148266707</v>
      </c>
      <c r="V298">
        <f t="shared" si="227"/>
        <v>-1.0662627171035008</v>
      </c>
      <c r="X298">
        <f t="shared" si="244"/>
        <v>-32.641383081727511</v>
      </c>
      <c r="Y298">
        <f t="shared" si="228"/>
        <v>-204.82276100716373</v>
      </c>
      <c r="Z298">
        <f t="shared" si="245"/>
        <v>-24.822761007163734</v>
      </c>
      <c r="AC298">
        <v>1</v>
      </c>
      <c r="AD298">
        <f t="shared" si="229"/>
        <v>394.17814306961998</v>
      </c>
      <c r="AE298">
        <f t="shared" si="230"/>
        <v>-0.18723809014719484</v>
      </c>
      <c r="AF298">
        <f t="shared" si="231"/>
        <v>0.10339358402267999</v>
      </c>
      <c r="AG298">
        <f t="shared" si="246"/>
        <v>886.77002816153981</v>
      </c>
      <c r="AH298">
        <f t="shared" si="247"/>
        <v>-1615.546342180191</v>
      </c>
      <c r="AJ298">
        <f t="shared" si="232"/>
        <v>18000</v>
      </c>
      <c r="AK298">
        <f t="shared" si="233"/>
        <v>29811.552832756803</v>
      </c>
      <c r="AL298">
        <v>1</v>
      </c>
      <c r="AM298">
        <f t="shared" si="234"/>
        <v>58.657254421197607</v>
      </c>
      <c r="AN298">
        <f t="shared" si="248"/>
        <v>513.31535113240534</v>
      </c>
      <c r="AO298">
        <f t="shared" si="249"/>
        <v>-298.11631692308191</v>
      </c>
      <c r="AQ298">
        <f t="shared" si="235"/>
        <v>1.4172315515425856E-2</v>
      </c>
      <c r="AR298">
        <f t="shared" si="236"/>
        <v>-11.90474503295772</v>
      </c>
      <c r="AT298">
        <f t="shared" si="261"/>
        <v>-19220.099707953916</v>
      </c>
      <c r="AU298">
        <f t="shared" si="262"/>
        <v>-10579.667120623038</v>
      </c>
      <c r="AV298">
        <f t="shared" si="250"/>
        <v>-2.638405486849547</v>
      </c>
      <c r="AW298">
        <f t="shared" si="251"/>
        <v>-2149.5302081808882</v>
      </c>
      <c r="AX298">
        <f t="shared" si="252"/>
        <v>-8355.3506882608181</v>
      </c>
      <c r="AY298">
        <f t="shared" si="260"/>
        <v>-1.8225998425455805</v>
      </c>
      <c r="BA298">
        <f t="shared" si="237"/>
        <v>2.5429966252593652</v>
      </c>
      <c r="BB298">
        <f t="shared" si="253"/>
        <v>8.1069156767174171</v>
      </c>
      <c r="BC298">
        <f t="shared" si="254"/>
        <v>-0.81580564430396652</v>
      </c>
      <c r="BD298">
        <f t="shared" si="238"/>
        <v>-226.7422203749789</v>
      </c>
      <c r="BF298">
        <f t="shared" si="239"/>
        <v>-34.37465333796397</v>
      </c>
      <c r="BG298">
        <f t="shared" si="240"/>
        <v>-220.47385414164503</v>
      </c>
      <c r="BH298">
        <f t="shared" si="255"/>
        <v>-40.473854141645035</v>
      </c>
      <c r="BI298">
        <f t="shared" si="256"/>
        <v>-40.473854141645035</v>
      </c>
      <c r="BJ298">
        <f t="shared" si="241"/>
        <v>0</v>
      </c>
      <c r="BK298">
        <f t="shared" si="257"/>
        <v>0</v>
      </c>
      <c r="BM298">
        <f t="shared" si="258"/>
        <v>-42.481569014681391</v>
      </c>
      <c r="BN298">
        <f t="shared" si="242"/>
        <v>-173.73163376666614</v>
      </c>
      <c r="BQ298" s="56">
        <f t="shared" si="259"/>
        <v>25.008876477002552</v>
      </c>
      <c r="BR298" s="59"/>
      <c r="BS298" s="59"/>
      <c r="BT298" s="59">
        <v>75857.758000000002</v>
      </c>
      <c r="BU298" s="59">
        <v>3.8307899999999999</v>
      </c>
      <c r="BV298" s="59">
        <v>-130.62200000000001</v>
      </c>
      <c r="BY298" s="59"/>
      <c r="BZ298" s="59"/>
      <c r="CA298" s="59"/>
      <c r="CC298" s="59"/>
    </row>
    <row r="299" spans="1:81" x14ac:dyDescent="0.2">
      <c r="A299">
        <f t="shared" si="211"/>
        <v>425000</v>
      </c>
      <c r="B299">
        <f t="shared" si="243"/>
        <v>425</v>
      </c>
      <c r="C299">
        <f t="shared" si="212"/>
        <v>1.0052436403523859</v>
      </c>
      <c r="D299">
        <f t="shared" si="213"/>
        <v>0.10218443400298566</v>
      </c>
      <c r="F299">
        <f t="shared" si="214"/>
        <v>4.8677445838951909E-4</v>
      </c>
      <c r="G299">
        <f t="shared" si="215"/>
        <v>8.3140881630536425E-3</v>
      </c>
      <c r="H299">
        <f t="shared" si="216"/>
        <v>-3.1332785618369465</v>
      </c>
      <c r="J299">
        <f t="shared" si="217"/>
        <v>15</v>
      </c>
      <c r="M299">
        <f t="shared" si="218"/>
        <v>5.3099968729462604E-4</v>
      </c>
      <c r="N299">
        <f t="shared" si="219"/>
        <v>-1.5707963250000001</v>
      </c>
      <c r="O299">
        <f t="shared" si="220"/>
        <v>398.87199354788362</v>
      </c>
      <c r="P299">
        <f t="shared" si="221"/>
        <v>1.5682892541907891</v>
      </c>
      <c r="Q299">
        <f t="shared" si="222"/>
        <v>59.363978282770802</v>
      </c>
      <c r="R299">
        <f t="shared" si="223"/>
        <v>1.5539502977953243</v>
      </c>
      <c r="S299">
        <f t="shared" si="224"/>
        <v>0.51240376647478725</v>
      </c>
      <c r="T299">
        <f t="shared" si="225"/>
        <v>-1.03281470335657</v>
      </c>
      <c r="U299">
        <f t="shared" si="226"/>
        <v>0.47902310238575807</v>
      </c>
      <c r="V299">
        <f t="shared" si="227"/>
        <v>-1.0712548430114859</v>
      </c>
      <c r="X299">
        <f t="shared" si="244"/>
        <v>-32.897800906380496</v>
      </c>
      <c r="Y299">
        <f t="shared" si="228"/>
        <v>-205.33205681483321</v>
      </c>
      <c r="Z299">
        <f t="shared" si="245"/>
        <v>-25.332056814833209</v>
      </c>
      <c r="AC299">
        <v>1</v>
      </c>
      <c r="AD299">
        <f t="shared" si="229"/>
        <v>398.87074001092498</v>
      </c>
      <c r="AE299">
        <f t="shared" si="230"/>
        <v>-0.1917226759231126</v>
      </c>
      <c r="AF299">
        <f t="shared" si="231"/>
        <v>0.10462446002295001</v>
      </c>
      <c r="AG299">
        <f t="shared" si="246"/>
        <v>870.78721280788568</v>
      </c>
      <c r="AH299">
        <f t="shared" si="247"/>
        <v>-1605.2618533210684</v>
      </c>
      <c r="AJ299">
        <f t="shared" si="232"/>
        <v>18000</v>
      </c>
      <c r="AK299">
        <f t="shared" si="233"/>
        <v>30166.452271241997</v>
      </c>
      <c r="AL299">
        <v>1</v>
      </c>
      <c r="AM299">
        <f t="shared" si="234"/>
        <v>59.355555069069005</v>
      </c>
      <c r="AN299">
        <f t="shared" si="248"/>
        <v>513.19650375146205</v>
      </c>
      <c r="AO299">
        <f t="shared" si="249"/>
        <v>-294.6110684315907</v>
      </c>
      <c r="AQ299">
        <f t="shared" si="235"/>
        <v>1.384081129299475E-2</v>
      </c>
      <c r="AR299">
        <f t="shared" si="236"/>
        <v>-11.764689599045537</v>
      </c>
      <c r="AT299">
        <f t="shared" si="261"/>
        <v>-18873.355028022113</v>
      </c>
      <c r="AU299">
        <f t="shared" si="262"/>
        <v>-10266.759391890444</v>
      </c>
      <c r="AV299">
        <f t="shared" si="250"/>
        <v>-2.6433817723650321</v>
      </c>
      <c r="AW299">
        <f t="shared" si="251"/>
        <v>-2082.6977162222556</v>
      </c>
      <c r="AX299">
        <f t="shared" si="252"/>
        <v>-8264.1551467992995</v>
      </c>
      <c r="AY299">
        <f t="shared" si="260"/>
        <v>-1.8176713169261454</v>
      </c>
      <c r="BA299">
        <f t="shared" si="237"/>
        <v>2.5209712616520585</v>
      </c>
      <c r="BB299">
        <f t="shared" si="253"/>
        <v>8.0313578974474495</v>
      </c>
      <c r="BC299">
        <f t="shared" si="254"/>
        <v>-0.82571045543888677</v>
      </c>
      <c r="BD299">
        <f t="shared" si="238"/>
        <v>-227.3097242505325</v>
      </c>
      <c r="BF299">
        <f t="shared" si="239"/>
        <v>-34.654834592229008</v>
      </c>
      <c r="BG299">
        <f t="shared" si="240"/>
        <v>-220.97862528075129</v>
      </c>
      <c r="BH299">
        <f t="shared" si="255"/>
        <v>-40.978625280751288</v>
      </c>
      <c r="BI299">
        <f t="shared" si="256"/>
        <v>-40.978625280751288</v>
      </c>
      <c r="BJ299">
        <f t="shared" si="241"/>
        <v>0</v>
      </c>
      <c r="BK299">
        <f t="shared" si="257"/>
        <v>0</v>
      </c>
      <c r="BM299">
        <f t="shared" si="258"/>
        <v>-42.686192489676458</v>
      </c>
      <c r="BN299">
        <f t="shared" si="242"/>
        <v>-173.66890103021882</v>
      </c>
      <c r="BQ299" s="56">
        <f t="shared" si="259"/>
        <v>24.933318697732588</v>
      </c>
      <c r="BR299" s="59"/>
      <c r="BS299" s="59"/>
      <c r="BT299" s="59">
        <v>77624.712</v>
      </c>
      <c r="BU299" s="59">
        <v>4.0309799999999996</v>
      </c>
      <c r="BV299" s="59">
        <v>-130.36099999999999</v>
      </c>
      <c r="BY299" s="59"/>
      <c r="BZ299" s="59"/>
      <c r="CA299" s="59"/>
      <c r="CC299" s="59"/>
    </row>
    <row r="300" spans="1:81" x14ac:dyDescent="0.2">
      <c r="A300">
        <f t="shared" ref="A300:A363" si="263">A299+5000</f>
        <v>430000</v>
      </c>
      <c r="B300">
        <f t="shared" si="243"/>
        <v>430</v>
      </c>
      <c r="C300">
        <f t="shared" si="212"/>
        <v>1.0053674145835696</v>
      </c>
      <c r="D300">
        <f t="shared" si="213"/>
        <v>0.10337810615068076</v>
      </c>
      <c r="F300">
        <f t="shared" si="214"/>
        <v>4.7551491467532307E-4</v>
      </c>
      <c r="G300">
        <f t="shared" si="215"/>
        <v>8.2173237199296405E-3</v>
      </c>
      <c r="H300">
        <f t="shared" si="216"/>
        <v>-3.1333753262800705</v>
      </c>
      <c r="J300">
        <f t="shared" si="217"/>
        <v>15</v>
      </c>
      <c r="M300">
        <f t="shared" si="218"/>
        <v>5.2482527232608391E-4</v>
      </c>
      <c r="N300">
        <f t="shared" si="219"/>
        <v>-1.5707963250000001</v>
      </c>
      <c r="O300">
        <f t="shared" si="220"/>
        <v>403.56457591322248</v>
      </c>
      <c r="P300">
        <f t="shared" si="221"/>
        <v>1.5683184060777813</v>
      </c>
      <c r="Q300">
        <f t="shared" si="222"/>
        <v>60.062180999952837</v>
      </c>
      <c r="R300">
        <f t="shared" si="223"/>
        <v>1.5541461454394814</v>
      </c>
      <c r="S300">
        <f t="shared" si="224"/>
        <v>0.50798980407670535</v>
      </c>
      <c r="T300">
        <f t="shared" si="225"/>
        <v>-1.0379468850431377</v>
      </c>
      <c r="U300">
        <f t="shared" si="226"/>
        <v>0.47471399735173814</v>
      </c>
      <c r="V300">
        <f t="shared" si="227"/>
        <v>-1.0761572748356274</v>
      </c>
      <c r="X300">
        <f t="shared" si="244"/>
        <v>-33.1520776733894</v>
      </c>
      <c r="Y300">
        <f t="shared" si="228"/>
        <v>-205.8312581130977</v>
      </c>
      <c r="Z300">
        <f t="shared" si="245"/>
        <v>-25.831258113097704</v>
      </c>
      <c r="AC300">
        <v>1</v>
      </c>
      <c r="AD300">
        <f t="shared" si="229"/>
        <v>403.56333695222997</v>
      </c>
      <c r="AE300">
        <f t="shared" si="230"/>
        <v>-0.19626033372004711</v>
      </c>
      <c r="AF300">
        <f t="shared" si="231"/>
        <v>0.10585533602322</v>
      </c>
      <c r="AG300">
        <f t="shared" si="246"/>
        <v>855.19115337413143</v>
      </c>
      <c r="AH300">
        <f t="shared" si="247"/>
        <v>-1595.0079372342925</v>
      </c>
      <c r="AJ300">
        <f t="shared" si="232"/>
        <v>18000</v>
      </c>
      <c r="AK300">
        <f t="shared" si="233"/>
        <v>30521.351709727202</v>
      </c>
      <c r="AL300">
        <v>1</v>
      </c>
      <c r="AM300">
        <f t="shared" si="234"/>
        <v>60.053855716940411</v>
      </c>
      <c r="AN300">
        <f t="shared" si="248"/>
        <v>513.0817765257093</v>
      </c>
      <c r="AO300">
        <f t="shared" si="249"/>
        <v>-291.18726873920701</v>
      </c>
      <c r="AQ300">
        <f t="shared" si="235"/>
        <v>1.3520803784743395E-2</v>
      </c>
      <c r="AR300">
        <f t="shared" si="236"/>
        <v>-11.627891254879319</v>
      </c>
      <c r="AT300">
        <f t="shared" si="261"/>
        <v>-18535.015973046513</v>
      </c>
      <c r="AU300">
        <f t="shared" si="262"/>
        <v>-9965.635522923676</v>
      </c>
      <c r="AV300">
        <f t="shared" si="250"/>
        <v>-2.648268732174027</v>
      </c>
      <c r="AW300">
        <f t="shared" si="251"/>
        <v>-2018.3469472970239</v>
      </c>
      <c r="AX300">
        <f t="shared" si="252"/>
        <v>-8174.9259923598256</v>
      </c>
      <c r="AY300">
        <f t="shared" si="260"/>
        <v>-1.8128503466602064</v>
      </c>
      <c r="BA300">
        <f t="shared" si="237"/>
        <v>2.4991990252598479</v>
      </c>
      <c r="BB300">
        <f t="shared" si="253"/>
        <v>7.9560168562652533</v>
      </c>
      <c r="BC300">
        <f t="shared" si="254"/>
        <v>-0.83541838551382064</v>
      </c>
      <c r="BD300">
        <f t="shared" si="238"/>
        <v>-227.8659476722699</v>
      </c>
      <c r="BF300">
        <f t="shared" si="239"/>
        <v>-34.932378997091782</v>
      </c>
      <c r="BG300">
        <f t="shared" si="240"/>
        <v>-221.47200052042959</v>
      </c>
      <c r="BH300">
        <f t="shared" si="255"/>
        <v>-41.472000520429589</v>
      </c>
      <c r="BI300">
        <f t="shared" si="256"/>
        <v>-41.472000520429589</v>
      </c>
      <c r="BJ300">
        <f t="shared" si="241"/>
        <v>0</v>
      </c>
      <c r="BK300">
        <f t="shared" si="257"/>
        <v>0</v>
      </c>
      <c r="BM300">
        <f t="shared" si="258"/>
        <v>-42.888395853357039</v>
      </c>
      <c r="BN300">
        <f t="shared" si="242"/>
        <v>-173.60605284815969</v>
      </c>
      <c r="BQ300" s="56">
        <f t="shared" si="259"/>
        <v>24.857977656550393</v>
      </c>
      <c r="BR300" s="59"/>
      <c r="BS300" s="59"/>
      <c r="BT300" s="59">
        <v>79432.823000000004</v>
      </c>
      <c r="BU300" s="59">
        <v>4.23407</v>
      </c>
      <c r="BV300" s="59">
        <v>-130.17400000000001</v>
      </c>
      <c r="BY300" s="59"/>
      <c r="BZ300" s="59"/>
      <c r="CA300" s="59"/>
      <c r="CC300" s="59"/>
    </row>
    <row r="301" spans="1:81" x14ac:dyDescent="0.2">
      <c r="A301">
        <f t="shared" si="263"/>
        <v>435000</v>
      </c>
      <c r="B301">
        <f t="shared" si="243"/>
        <v>435</v>
      </c>
      <c r="C301">
        <f t="shared" si="212"/>
        <v>1.0054926209618607</v>
      </c>
      <c r="D301">
        <f t="shared" si="213"/>
        <v>0.1045714827205131</v>
      </c>
      <c r="F301">
        <f t="shared" si="214"/>
        <v>4.6464162114649287E-4</v>
      </c>
      <c r="G301">
        <f t="shared" si="215"/>
        <v>8.1227867646810319E-3</v>
      </c>
      <c r="H301">
        <f t="shared" si="216"/>
        <v>-3.1334698632353191</v>
      </c>
      <c r="J301">
        <f t="shared" si="217"/>
        <v>15</v>
      </c>
      <c r="M301">
        <f t="shared" si="218"/>
        <v>5.187927979315312E-4</v>
      </c>
      <c r="N301">
        <f t="shared" si="219"/>
        <v>-1.5707963250000001</v>
      </c>
      <c r="O301">
        <f t="shared" si="220"/>
        <v>408.25715861363949</v>
      </c>
      <c r="P301">
        <f t="shared" si="221"/>
        <v>1.5683468878105196</v>
      </c>
      <c r="Q301">
        <f t="shared" si="222"/>
        <v>60.760385967952374</v>
      </c>
      <c r="R301">
        <f t="shared" si="223"/>
        <v>1.5543374920727504</v>
      </c>
      <c r="S301">
        <f t="shared" si="224"/>
        <v>0.50363831061850362</v>
      </c>
      <c r="T301">
        <f t="shared" si="225"/>
        <v>-1.0429912721039512</v>
      </c>
      <c r="U301">
        <f t="shared" si="226"/>
        <v>0.47047072075994295</v>
      </c>
      <c r="V301">
        <f t="shared" si="227"/>
        <v>-1.0809721789505631</v>
      </c>
      <c r="X301">
        <f t="shared" si="244"/>
        <v>-33.404242259009067</v>
      </c>
      <c r="Y301">
        <f t="shared" si="228"/>
        <v>-206.32059977715093</v>
      </c>
      <c r="Z301">
        <f t="shared" si="245"/>
        <v>-26.320599777150932</v>
      </c>
      <c r="AC301">
        <v>1</v>
      </c>
      <c r="AD301">
        <f t="shared" si="229"/>
        <v>408.25593389353503</v>
      </c>
      <c r="AE301">
        <f t="shared" si="230"/>
        <v>-0.2008510635379985</v>
      </c>
      <c r="AF301">
        <f t="shared" si="231"/>
        <v>0.10708621202348999</v>
      </c>
      <c r="AG301">
        <f t="shared" si="246"/>
        <v>839.97106558213454</v>
      </c>
      <c r="AH301">
        <f t="shared" si="247"/>
        <v>-1584.7892894567128</v>
      </c>
      <c r="AJ301">
        <f t="shared" si="232"/>
        <v>18000</v>
      </c>
      <c r="AK301">
        <f t="shared" si="233"/>
        <v>30876.251148212399</v>
      </c>
      <c r="AL301">
        <v>1</v>
      </c>
      <c r="AM301">
        <f t="shared" si="234"/>
        <v>60.752156364811803</v>
      </c>
      <c r="AN301">
        <f t="shared" si="248"/>
        <v>512.97098120171881</v>
      </c>
      <c r="AO301">
        <f t="shared" si="249"/>
        <v>-287.84211236536333</v>
      </c>
      <c r="AQ301">
        <f t="shared" si="235"/>
        <v>1.3211767457038635E-2</v>
      </c>
      <c r="AR301">
        <f t="shared" si="236"/>
        <v>-11.494237687623613</v>
      </c>
      <c r="AT301">
        <f t="shared" si="261"/>
        <v>-18204.847275426484</v>
      </c>
      <c r="AU301">
        <f t="shared" si="262"/>
        <v>-9675.764946088244</v>
      </c>
      <c r="AV301">
        <f t="shared" si="250"/>
        <v>-2.6530685199486785</v>
      </c>
      <c r="AW301">
        <f t="shared" si="251"/>
        <v>-1956.3577277872255</v>
      </c>
      <c r="AX301">
        <f t="shared" si="252"/>
        <v>-8087.5987757312032</v>
      </c>
      <c r="AY301">
        <f t="shared" si="260"/>
        <v>-1.8081332651955824</v>
      </c>
      <c r="BA301">
        <f t="shared" si="237"/>
        <v>2.4776815100205698</v>
      </c>
      <c r="BB301">
        <f t="shared" si="253"/>
        <v>7.8809095974578831</v>
      </c>
      <c r="BC301">
        <f t="shared" si="254"/>
        <v>-0.84493525475309617</v>
      </c>
      <c r="BD301">
        <f t="shared" si="238"/>
        <v>-228.41122411448134</v>
      </c>
      <c r="BF301">
        <f t="shared" si="239"/>
        <v>-35.207325266908548</v>
      </c>
      <c r="BG301">
        <f t="shared" si="240"/>
        <v>-221.95431809029162</v>
      </c>
      <c r="BH301">
        <f t="shared" si="255"/>
        <v>-41.954318090291622</v>
      </c>
      <c r="BI301">
        <f t="shared" si="256"/>
        <v>-41.954318090291622</v>
      </c>
      <c r="BJ301">
        <f t="shared" si="241"/>
        <v>0</v>
      </c>
      <c r="BK301">
        <f t="shared" si="257"/>
        <v>0</v>
      </c>
      <c r="BM301">
        <f t="shared" si="258"/>
        <v>-43.088234864366434</v>
      </c>
      <c r="BN301">
        <f t="shared" si="242"/>
        <v>-173.54309397581034</v>
      </c>
      <c r="BQ301" s="56">
        <f t="shared" si="259"/>
        <v>24.782870397743018</v>
      </c>
      <c r="BR301" s="59"/>
      <c r="BS301" s="59"/>
      <c r="BT301" s="59">
        <v>81283.051999999996</v>
      </c>
      <c r="BU301" s="59">
        <v>4.4202000000000004</v>
      </c>
      <c r="BV301" s="59">
        <v>-130.05699999999999</v>
      </c>
      <c r="BY301" s="59"/>
      <c r="BZ301" s="59"/>
      <c r="CA301" s="59"/>
      <c r="CC301" s="59"/>
    </row>
    <row r="302" spans="1:81" x14ac:dyDescent="0.2">
      <c r="A302">
        <f t="shared" si="263"/>
        <v>440000</v>
      </c>
      <c r="B302">
        <f t="shared" si="243"/>
        <v>440</v>
      </c>
      <c r="C302">
        <f t="shared" si="212"/>
        <v>1.005619258952323</v>
      </c>
      <c r="D302">
        <f t="shared" si="213"/>
        <v>0.10576456042443881</v>
      </c>
      <c r="F302">
        <f t="shared" si="214"/>
        <v>4.5413710857239063E-4</v>
      </c>
      <c r="G302">
        <f t="shared" si="215"/>
        <v>8.0304012252810138E-3</v>
      </c>
      <c r="H302">
        <f t="shared" si="216"/>
        <v>-3.133562248774719</v>
      </c>
      <c r="J302">
        <f t="shared" si="217"/>
        <v>15</v>
      </c>
      <c r="M302">
        <f t="shared" si="218"/>
        <v>5.1289742522776381E-4</v>
      </c>
      <c r="N302">
        <f t="shared" si="219"/>
        <v>-1.5707963250000001</v>
      </c>
      <c r="O302">
        <f t="shared" si="220"/>
        <v>412.94974163771161</v>
      </c>
      <c r="P302">
        <f t="shared" si="221"/>
        <v>1.56837472223499</v>
      </c>
      <c r="Q302">
        <f t="shared" si="222"/>
        <v>61.458593110057663</v>
      </c>
      <c r="R302">
        <f t="shared" si="223"/>
        <v>1.5545244910835707</v>
      </c>
      <c r="S302">
        <f t="shared" si="224"/>
        <v>0.49934835043181908</v>
      </c>
      <c r="T302">
        <f t="shared" si="225"/>
        <v>-1.0479498479989484</v>
      </c>
      <c r="U302">
        <f t="shared" si="226"/>
        <v>0.46629210554923989</v>
      </c>
      <c r="V302">
        <f t="shared" si="227"/>
        <v>-1.0857016613025001</v>
      </c>
      <c r="X302">
        <f t="shared" si="244"/>
        <v>-33.654323081151468</v>
      </c>
      <c r="Y302">
        <f t="shared" si="228"/>
        <v>-206.80031056221443</v>
      </c>
      <c r="Z302">
        <f t="shared" si="245"/>
        <v>-26.800310562214435</v>
      </c>
      <c r="AC302">
        <v>1</v>
      </c>
      <c r="AD302">
        <f t="shared" si="229"/>
        <v>412.94853083483997</v>
      </c>
      <c r="AE302">
        <f t="shared" si="230"/>
        <v>-0.20549486537696662</v>
      </c>
      <c r="AF302">
        <f t="shared" si="231"/>
        <v>0.10831708802376</v>
      </c>
      <c r="AG302">
        <f t="shared" si="246"/>
        <v>825.11645901463692</v>
      </c>
      <c r="AH302">
        <f t="shared" si="247"/>
        <v>-1574.6102371965494</v>
      </c>
      <c r="AJ302">
        <f t="shared" si="232"/>
        <v>18000</v>
      </c>
      <c r="AK302">
        <f t="shared" si="233"/>
        <v>31231.1505866976</v>
      </c>
      <c r="AL302">
        <v>1</v>
      </c>
      <c r="AM302">
        <f t="shared" si="234"/>
        <v>61.450457012683202</v>
      </c>
      <c r="AN302">
        <f t="shared" si="248"/>
        <v>512.86394015541998</v>
      </c>
      <c r="AO302">
        <f t="shared" si="249"/>
        <v>-284.57292117836136</v>
      </c>
      <c r="AQ302">
        <f t="shared" si="235"/>
        <v>1.2913206465384214E-2</v>
      </c>
      <c r="AR302">
        <f t="shared" si="236"/>
        <v>-11.363621689538107</v>
      </c>
      <c r="AT302">
        <f t="shared" si="261"/>
        <v>-17882.62014478221</v>
      </c>
      <c r="AU302">
        <f t="shared" si="262"/>
        <v>-9396.6445571490349</v>
      </c>
      <c r="AV302">
        <f t="shared" si="250"/>
        <v>-2.6577832295100765</v>
      </c>
      <c r="AW302">
        <f t="shared" si="251"/>
        <v>-1896.6169795753963</v>
      </c>
      <c r="AX302">
        <f t="shared" si="252"/>
        <v>-8002.1119534413174</v>
      </c>
      <c r="AY302">
        <f t="shared" si="260"/>
        <v>-1.8035165495399668</v>
      </c>
      <c r="BA302">
        <f t="shared" si="237"/>
        <v>2.4564197674069934</v>
      </c>
      <c r="BB302">
        <f t="shared" si="253"/>
        <v>7.8060516719492012</v>
      </c>
      <c r="BC302">
        <f t="shared" si="254"/>
        <v>-0.85426667997010974</v>
      </c>
      <c r="BD302">
        <f t="shared" si="238"/>
        <v>-228.94587539686907</v>
      </c>
      <c r="BF302">
        <f t="shared" si="239"/>
        <v>-35.47971169464909</v>
      </c>
      <c r="BG302">
        <f t="shared" si="240"/>
        <v>-222.4259043570369</v>
      </c>
      <c r="BH302">
        <f t="shared" si="255"/>
        <v>-42.425904357036899</v>
      </c>
      <c r="BI302">
        <f t="shared" si="256"/>
        <v>-42.425904357036899</v>
      </c>
      <c r="BJ302">
        <f t="shared" si="241"/>
        <v>0</v>
      </c>
      <c r="BK302">
        <f t="shared" si="257"/>
        <v>0</v>
      </c>
      <c r="BM302">
        <f t="shared" si="258"/>
        <v>-43.285763366598289</v>
      </c>
      <c r="BN302">
        <f t="shared" si="242"/>
        <v>-173.48002896016786</v>
      </c>
      <c r="BQ302" s="56">
        <f t="shared" si="259"/>
        <v>24.708012472234341</v>
      </c>
      <c r="BR302" s="59"/>
      <c r="BS302" s="59"/>
      <c r="BT302" s="59">
        <v>83176.376999999993</v>
      </c>
      <c r="BU302" s="59">
        <v>4.5639399999999997</v>
      </c>
      <c r="BV302" s="59">
        <v>-130.11600000000001</v>
      </c>
      <c r="BY302" s="59"/>
      <c r="BZ302" s="59"/>
      <c r="CA302" s="59"/>
      <c r="CC302" s="59"/>
    </row>
    <row r="303" spans="1:81" x14ac:dyDescent="0.2">
      <c r="A303">
        <f t="shared" si="263"/>
        <v>445000</v>
      </c>
      <c r="B303">
        <f t="shared" si="243"/>
        <v>445</v>
      </c>
      <c r="C303">
        <f t="shared" si="212"/>
        <v>1.0057473280141751</v>
      </c>
      <c r="D303">
        <f t="shared" si="213"/>
        <v>0.10695733597946409</v>
      </c>
      <c r="F303">
        <f t="shared" si="214"/>
        <v>4.4398488442169904E-4</v>
      </c>
      <c r="G303">
        <f t="shared" si="215"/>
        <v>7.9400944561298092E-3</v>
      </c>
      <c r="H303">
        <f t="shared" si="216"/>
        <v>-3.1336525555438706</v>
      </c>
      <c r="J303">
        <f t="shared" si="217"/>
        <v>15</v>
      </c>
      <c r="M303">
        <f t="shared" si="218"/>
        <v>5.071345328094744E-4</v>
      </c>
      <c r="N303">
        <f t="shared" si="219"/>
        <v>-1.5707963250000001</v>
      </c>
      <c r="O303">
        <f t="shared" si="220"/>
        <v>417.64232497452923</v>
      </c>
      <c r="P303">
        <f t="shared" si="221"/>
        <v>1.5684019311704029</v>
      </c>
      <c r="Q303">
        <f t="shared" si="222"/>
        <v>62.156802353003528</v>
      </c>
      <c r="R303">
        <f t="shared" si="223"/>
        <v>1.5547072889695623</v>
      </c>
      <c r="S303">
        <f t="shared" si="224"/>
        <v>0.49511898938071336</v>
      </c>
      <c r="T303">
        <f t="shared" si="225"/>
        <v>-1.0528245461635768</v>
      </c>
      <c r="U303">
        <f t="shared" si="226"/>
        <v>0.46217699750004759</v>
      </c>
      <c r="V303">
        <f t="shared" si="227"/>
        <v>-1.0903477690663177</v>
      </c>
      <c r="X303">
        <f t="shared" si="244"/>
        <v>-33.902348107264977</v>
      </c>
      <c r="Y303">
        <f t="shared" si="228"/>
        <v>-207.27061324700398</v>
      </c>
      <c r="Z303">
        <f t="shared" si="245"/>
        <v>-27.270613247003979</v>
      </c>
      <c r="AC303">
        <v>1</v>
      </c>
      <c r="AD303">
        <f t="shared" si="229"/>
        <v>417.64112777614503</v>
      </c>
      <c r="AE303">
        <f t="shared" si="230"/>
        <v>-0.2101917392369515</v>
      </c>
      <c r="AF303">
        <f t="shared" si="231"/>
        <v>0.10954796402403</v>
      </c>
      <c r="AG303">
        <f t="shared" si="246"/>
        <v>810.61713270911162</v>
      </c>
      <c r="AH303">
        <f t="shared" si="247"/>
        <v>-1564.4747623224159</v>
      </c>
      <c r="AJ303">
        <f t="shared" si="232"/>
        <v>18000</v>
      </c>
      <c r="AK303">
        <f t="shared" si="233"/>
        <v>31586.050025182802</v>
      </c>
      <c r="AL303">
        <v>1</v>
      </c>
      <c r="AM303">
        <f t="shared" si="234"/>
        <v>62.148757660554608</v>
      </c>
      <c r="AN303">
        <f t="shared" si="248"/>
        <v>512.76048568000965</v>
      </c>
      <c r="AO303">
        <f t="shared" si="249"/>
        <v>-281.37713725239951</v>
      </c>
      <c r="AQ303">
        <f t="shared" si="235"/>
        <v>1.2624652664243575E-2</v>
      </c>
      <c r="AR303">
        <f t="shared" si="236"/>
        <v>-11.235940871176782</v>
      </c>
      <c r="AT303">
        <f t="shared" si="261"/>
        <v>-17568.112164158876</v>
      </c>
      <c r="AU303">
        <f t="shared" si="262"/>
        <v>-9127.797122758735</v>
      </c>
      <c r="AV303">
        <f t="shared" si="250"/>
        <v>-2.6624148964529235</v>
      </c>
      <c r="AW303">
        <f t="shared" si="251"/>
        <v>-1839.018229665329</v>
      </c>
      <c r="AX303">
        <f t="shared" si="252"/>
        <v>-7918.4067182406234</v>
      </c>
      <c r="AY303">
        <f t="shared" si="260"/>
        <v>-1.7989968147025432</v>
      </c>
      <c r="BA303">
        <f t="shared" si="237"/>
        <v>2.4354143591269524</v>
      </c>
      <c r="BB303">
        <f t="shared" si="253"/>
        <v>7.7314572459034174</v>
      </c>
      <c r="BC303">
        <f t="shared" si="254"/>
        <v>-0.86341808175038026</v>
      </c>
      <c r="BD303">
        <f t="shared" si="238"/>
        <v>-229.47021209610622</v>
      </c>
      <c r="BF303">
        <f t="shared" si="239"/>
        <v>-35.749576130030825</v>
      </c>
      <c r="BG303">
        <f t="shared" si="240"/>
        <v>-222.88707424772639</v>
      </c>
      <c r="BH303">
        <f t="shared" si="255"/>
        <v>-42.887074247726389</v>
      </c>
      <c r="BI303">
        <f t="shared" si="256"/>
        <v>-42.887074247726389</v>
      </c>
      <c r="BJ303">
        <f t="shared" si="241"/>
        <v>0</v>
      </c>
      <c r="BK303">
        <f t="shared" si="257"/>
        <v>0</v>
      </c>
      <c r="BM303">
        <f t="shared" si="258"/>
        <v>-43.481033375934246</v>
      </c>
      <c r="BN303">
        <f t="shared" si="242"/>
        <v>-173.41686215162017</v>
      </c>
      <c r="BQ303" s="56">
        <f t="shared" si="259"/>
        <v>24.633418046188552</v>
      </c>
      <c r="BR303" s="59"/>
      <c r="BS303" s="59"/>
      <c r="BT303" s="59">
        <v>85113.804000000004</v>
      </c>
      <c r="BU303" s="59">
        <v>4.7605300000000002</v>
      </c>
      <c r="BV303" s="59">
        <v>-129.97300000000001</v>
      </c>
      <c r="BY303" s="59"/>
      <c r="BZ303" s="59"/>
      <c r="CA303" s="59"/>
      <c r="CC303" s="59"/>
    </row>
    <row r="304" spans="1:81" x14ac:dyDescent="0.2">
      <c r="A304">
        <f t="shared" si="263"/>
        <v>450000</v>
      </c>
      <c r="B304">
        <f t="shared" si="243"/>
        <v>450</v>
      </c>
      <c r="C304">
        <f t="shared" si="212"/>
        <v>1.0058768276008019</v>
      </c>
      <c r="D304">
        <f t="shared" si="213"/>
        <v>0.10814980610769669</v>
      </c>
      <c r="F304">
        <f t="shared" si="214"/>
        <v>4.3416936805068323E-4</v>
      </c>
      <c r="G304">
        <f t="shared" si="215"/>
        <v>7.8517970472081269E-3</v>
      </c>
      <c r="H304">
        <f t="shared" si="216"/>
        <v>-3.1337408529527919</v>
      </c>
      <c r="J304">
        <f t="shared" si="217"/>
        <v>15</v>
      </c>
      <c r="M304">
        <f t="shared" si="218"/>
        <v>5.0149970466714688E-4</v>
      </c>
      <c r="N304">
        <f t="shared" si="219"/>
        <v>-1.5707963250000001</v>
      </c>
      <c r="O304">
        <f t="shared" si="220"/>
        <v>422.33490861366744</v>
      </c>
      <c r="P304">
        <f t="shared" si="221"/>
        <v>1.5684285354662348</v>
      </c>
      <c r="Q304">
        <f t="shared" si="222"/>
        <v>62.855013626779993</v>
      </c>
      <c r="R304">
        <f t="shared" si="223"/>
        <v>1.5548860257201498</v>
      </c>
      <c r="S304">
        <f t="shared" si="224"/>
        <v>0.49094929615452909</v>
      </c>
      <c r="T304">
        <f t="shared" si="225"/>
        <v>-1.0576172511252535</v>
      </c>
      <c r="U304">
        <f t="shared" si="226"/>
        <v>0.45812425605294727</v>
      </c>
      <c r="V304">
        <f t="shared" si="227"/>
        <v>-1.0949124922764746</v>
      </c>
      <c r="X304">
        <f t="shared" si="244"/>
        <v>-34.148344861860409</v>
      </c>
      <c r="Y304">
        <f t="shared" si="228"/>
        <v>-207.73172477688311</v>
      </c>
      <c r="Z304">
        <f t="shared" si="245"/>
        <v>-27.731724776883112</v>
      </c>
      <c r="AC304">
        <v>1</v>
      </c>
      <c r="AD304">
        <f t="shared" si="229"/>
        <v>422.33372471745002</v>
      </c>
      <c r="AE304">
        <f t="shared" si="230"/>
        <v>-0.21494168511795322</v>
      </c>
      <c r="AF304">
        <f t="shared" si="231"/>
        <v>0.1107788400243</v>
      </c>
      <c r="AG304">
        <f t="shared" si="246"/>
        <v>796.46317035326831</v>
      </c>
      <c r="AH304">
        <f t="shared" si="247"/>
        <v>-1554.386523025041</v>
      </c>
      <c r="AJ304">
        <f t="shared" si="232"/>
        <v>18000</v>
      </c>
      <c r="AK304">
        <f t="shared" si="233"/>
        <v>31940.949463667999</v>
      </c>
      <c r="AL304">
        <v>1</v>
      </c>
      <c r="AM304">
        <f t="shared" si="234"/>
        <v>62.847058308426007</v>
      </c>
      <c r="AN304">
        <f t="shared" si="248"/>
        <v>512.66045932890131</v>
      </c>
      <c r="AO304">
        <f t="shared" si="249"/>
        <v>-278.25231619992218</v>
      </c>
      <c r="AQ304">
        <f t="shared" si="235"/>
        <v>1.2345663770785468E-2</v>
      </c>
      <c r="AR304">
        <f t="shared" si="236"/>
        <v>-11.111097393706922</v>
      </c>
      <c r="AT304">
        <f t="shared" si="261"/>
        <v>-17261.107178289702</v>
      </c>
      <c r="AU304">
        <f t="shared" si="262"/>
        <v>-8868.7697896788595</v>
      </c>
      <c r="AV304">
        <f t="shared" si="250"/>
        <v>-2.6669654997461687</v>
      </c>
      <c r="AW304">
        <f t="shared" si="251"/>
        <v>-1783.4611584291479</v>
      </c>
      <c r="AX304">
        <f t="shared" si="252"/>
        <v>-7836.4268417413959</v>
      </c>
      <c r="AY304">
        <f t="shared" si="260"/>
        <v>-1.7945708082768059</v>
      </c>
      <c r="BA304">
        <f t="shared" si="237"/>
        <v>2.4146654053872596</v>
      </c>
      <c r="BB304">
        <f t="shared" si="253"/>
        <v>7.6571392014496817</v>
      </c>
      <c r="BC304">
        <f t="shared" si="254"/>
        <v>-0.87239469146936277</v>
      </c>
      <c r="BD304">
        <f t="shared" si="238"/>
        <v>-229.98453394792773</v>
      </c>
      <c r="BF304">
        <f t="shared" si="239"/>
        <v>-36.01695596067345</v>
      </c>
      <c r="BG304">
        <f t="shared" si="240"/>
        <v>-223.33813166280558</v>
      </c>
      <c r="BH304">
        <f t="shared" si="255"/>
        <v>-43.33813166280558</v>
      </c>
      <c r="BI304">
        <f t="shared" si="256"/>
        <v>-43.33813166280558</v>
      </c>
      <c r="BJ304">
        <f t="shared" si="241"/>
        <v>0</v>
      </c>
      <c r="BK304">
        <f t="shared" si="257"/>
        <v>0</v>
      </c>
      <c r="BM304">
        <f t="shared" si="258"/>
        <v>-43.67409516212313</v>
      </c>
      <c r="BN304">
        <f t="shared" si="242"/>
        <v>-173.35359771487785</v>
      </c>
      <c r="BQ304" s="56">
        <f t="shared" si="259"/>
        <v>24.559100001734819</v>
      </c>
      <c r="BR304" s="59"/>
      <c r="BS304" s="59"/>
      <c r="BT304" s="59">
        <v>87096.358999999997</v>
      </c>
      <c r="BU304" s="59">
        <v>4.9475499999999997</v>
      </c>
      <c r="BV304" s="59">
        <v>-129.96199999999999</v>
      </c>
      <c r="BY304" s="59"/>
      <c r="BZ304" s="59"/>
      <c r="CA304" s="59"/>
      <c r="CC304" s="59"/>
    </row>
    <row r="305" spans="1:81" x14ac:dyDescent="0.2">
      <c r="A305">
        <f t="shared" si="263"/>
        <v>455000</v>
      </c>
      <c r="B305">
        <f t="shared" si="243"/>
        <v>455</v>
      </c>
      <c r="C305">
        <f t="shared" si="212"/>
        <v>1.0060077571597645</v>
      </c>
      <c r="D305">
        <f t="shared" si="213"/>
        <v>0.10934196753639733</v>
      </c>
      <c r="F305">
        <f t="shared" si="214"/>
        <v>4.2467583085473382E-4</v>
      </c>
      <c r="G305">
        <f t="shared" si="215"/>
        <v>7.7654426458509743E-3</v>
      </c>
      <c r="H305">
        <f t="shared" si="216"/>
        <v>-3.1338272073541491</v>
      </c>
      <c r="J305">
        <f t="shared" si="217"/>
        <v>15</v>
      </c>
      <c r="M305">
        <f t="shared" si="218"/>
        <v>4.9598871890157385E-4</v>
      </c>
      <c r="N305">
        <f t="shared" si="219"/>
        <v>-1.5707963250000001</v>
      </c>
      <c r="O305">
        <f t="shared" si="220"/>
        <v>427.0274925451597</v>
      </c>
      <c r="P305">
        <f t="shared" si="221"/>
        <v>1.5684545550555107</v>
      </c>
      <c r="Q305">
        <f t="shared" si="222"/>
        <v>63.553226864453443</v>
      </c>
      <c r="R305">
        <f t="shared" si="223"/>
        <v>1.5550608351739734</v>
      </c>
      <c r="S305">
        <f t="shared" si="224"/>
        <v>0.4868383434384177</v>
      </c>
      <c r="T305">
        <f t="shared" si="225"/>
        <v>-1.0623297996194245</v>
      </c>
      <c r="U305">
        <f t="shared" si="226"/>
        <v>0.45413275501812594</v>
      </c>
      <c r="V305">
        <f t="shared" si="227"/>
        <v>-1.0993977654296503</v>
      </c>
      <c r="X305">
        <f t="shared" si="244"/>
        <v>-34.39234043373412</v>
      </c>
      <c r="Y305">
        <f t="shared" si="228"/>
        <v>-208.18385640631084</v>
      </c>
      <c r="Z305">
        <f t="shared" si="245"/>
        <v>-28.183856406310838</v>
      </c>
      <c r="AC305">
        <v>1</v>
      </c>
      <c r="AD305">
        <f t="shared" si="229"/>
        <v>427.02632165875497</v>
      </c>
      <c r="AE305">
        <f t="shared" si="230"/>
        <v>-0.21974470301997168</v>
      </c>
      <c r="AF305">
        <f t="shared" si="231"/>
        <v>0.11200971602457001</v>
      </c>
      <c r="AG305">
        <f t="shared" si="246"/>
        <v>782.64493514833919</v>
      </c>
      <c r="AH305">
        <f t="shared" si="247"/>
        <v>-1544.3488742200909</v>
      </c>
      <c r="AJ305">
        <f t="shared" si="232"/>
        <v>18000</v>
      </c>
      <c r="AK305">
        <f t="shared" si="233"/>
        <v>32295.8489021532</v>
      </c>
      <c r="AL305">
        <v>1</v>
      </c>
      <c r="AM305">
        <f t="shared" si="234"/>
        <v>63.545358956297399</v>
      </c>
      <c r="AN305">
        <f t="shared" si="248"/>
        <v>512.56371130889943</v>
      </c>
      <c r="AO305">
        <f t="shared" si="249"/>
        <v>-275.19612094280376</v>
      </c>
      <c r="AQ305">
        <f t="shared" si="235"/>
        <v>1.207582166909592E-2</v>
      </c>
      <c r="AR305">
        <f t="shared" si="236"/>
        <v>-10.988997718877286</v>
      </c>
      <c r="AT305">
        <f t="shared" si="261"/>
        <v>-16961.395175288209</v>
      </c>
      <c r="AU305">
        <f t="shared" si="262"/>
        <v>-8619.1326886359111</v>
      </c>
      <c r="AV305">
        <f t="shared" si="250"/>
        <v>-2.6714369633073693</v>
      </c>
      <c r="AW305">
        <f t="shared" si="251"/>
        <v>-1729.8511830758032</v>
      </c>
      <c r="AX305">
        <f t="shared" si="252"/>
        <v>-7756.1185281881153</v>
      </c>
      <c r="AY305">
        <f t="shared" si="260"/>
        <v>-1.7902354051735718</v>
      </c>
      <c r="BA305">
        <f t="shared" si="237"/>
        <v>2.3941726290733083</v>
      </c>
      <c r="BB305">
        <f t="shared" si="253"/>
        <v>7.5831092301046557</v>
      </c>
      <c r="BC305">
        <f t="shared" si="254"/>
        <v>-0.88120155813379752</v>
      </c>
      <c r="BD305">
        <f t="shared" si="238"/>
        <v>-230.48913023911089</v>
      </c>
      <c r="BF305">
        <f t="shared" si="239"/>
        <v>-36.281888096020424</v>
      </c>
      <c r="BG305">
        <f t="shared" si="240"/>
        <v>-223.77936987829369</v>
      </c>
      <c r="BH305">
        <f t="shared" si="255"/>
        <v>-43.779369878293693</v>
      </c>
      <c r="BI305">
        <f t="shared" si="256"/>
        <v>-43.779369878293693</v>
      </c>
      <c r="BJ305">
        <f t="shared" si="241"/>
        <v>0</v>
      </c>
      <c r="BK305">
        <f t="shared" si="257"/>
        <v>0</v>
      </c>
      <c r="BM305">
        <f t="shared" si="258"/>
        <v>-43.864997326125078</v>
      </c>
      <c r="BN305">
        <f t="shared" si="242"/>
        <v>-173.2902396391828</v>
      </c>
      <c r="BQ305" s="56">
        <f t="shared" si="259"/>
        <v>24.485070030389792</v>
      </c>
      <c r="BR305" s="59"/>
      <c r="BS305" s="59"/>
      <c r="BT305" s="59">
        <v>89125.093999999997</v>
      </c>
      <c r="BU305" s="59">
        <v>5.2143100000000002</v>
      </c>
      <c r="BV305" s="59">
        <v>-129.73099999999999</v>
      </c>
      <c r="BY305" s="59"/>
      <c r="BZ305" s="59"/>
      <c r="CA305" s="59"/>
      <c r="CC305" s="59"/>
    </row>
    <row r="306" spans="1:81" x14ac:dyDescent="0.2">
      <c r="A306">
        <f t="shared" si="263"/>
        <v>460000</v>
      </c>
      <c r="B306">
        <f t="shared" si="243"/>
        <v>460</v>
      </c>
      <c r="C306">
        <f t="shared" si="212"/>
        <v>1.0061401161328141</v>
      </c>
      <c r="D306">
        <f t="shared" si="213"/>
        <v>0.11053381699803085</v>
      </c>
      <c r="F306">
        <f t="shared" si="214"/>
        <v>4.154903409534557E-4</v>
      </c>
      <c r="G306">
        <f t="shared" si="215"/>
        <v>7.6809677901784144E-3</v>
      </c>
      <c r="H306">
        <f t="shared" si="216"/>
        <v>-3.1339116822098219</v>
      </c>
      <c r="J306">
        <f t="shared" si="217"/>
        <v>15</v>
      </c>
      <c r="M306">
        <f t="shared" si="218"/>
        <v>4.9059753717438283E-4</v>
      </c>
      <c r="N306">
        <f t="shared" si="219"/>
        <v>-1.5707963250000001</v>
      </c>
      <c r="O306">
        <f t="shared" si="220"/>
        <v>431.72007675947299</v>
      </c>
      <c r="P306">
        <f t="shared" si="221"/>
        <v>1.5684800090046098</v>
      </c>
      <c r="Q306">
        <f t="shared" si="222"/>
        <v>64.25144200199955</v>
      </c>
      <c r="R306">
        <f t="shared" si="223"/>
        <v>1.5552318453530047</v>
      </c>
      <c r="S306">
        <f t="shared" si="224"/>
        <v>0.48278520897050964</v>
      </c>
      <c r="T306">
        <f t="shared" si="225"/>
        <v>-1.0669639817022099</v>
      </c>
      <c r="U306">
        <f t="shared" si="226"/>
        <v>0.45020138318511904</v>
      </c>
      <c r="V306">
        <f t="shared" si="227"/>
        <v>-1.1038054690574004</v>
      </c>
      <c r="X306">
        <f t="shared" si="244"/>
        <v>-34.634361482931389</v>
      </c>
      <c r="Y306">
        <f t="shared" si="228"/>
        <v>-208.62721384024169</v>
      </c>
      <c r="Z306">
        <f t="shared" si="245"/>
        <v>-28.627213840241694</v>
      </c>
      <c r="AC306">
        <v>1</v>
      </c>
      <c r="AD306">
        <f t="shared" si="229"/>
        <v>431.71891860006002</v>
      </c>
      <c r="AE306">
        <f t="shared" si="230"/>
        <v>-0.22460079294300694</v>
      </c>
      <c r="AF306">
        <f t="shared" si="231"/>
        <v>0.11324059202483999</v>
      </c>
      <c r="AG306">
        <f t="shared" si="246"/>
        <v>769.15306439923211</v>
      </c>
      <c r="AH306">
        <f t="shared" si="247"/>
        <v>-1534.3648867580769</v>
      </c>
      <c r="AJ306">
        <f t="shared" si="232"/>
        <v>18000</v>
      </c>
      <c r="AK306">
        <f t="shared" si="233"/>
        <v>32650.748340638398</v>
      </c>
      <c r="AL306">
        <v>1</v>
      </c>
      <c r="AM306">
        <f t="shared" si="234"/>
        <v>64.243659604168798</v>
      </c>
      <c r="AN306">
        <f t="shared" si="248"/>
        <v>512.470099919262</v>
      </c>
      <c r="AO306">
        <f t="shared" si="249"/>
        <v>-272.20631588904632</v>
      </c>
      <c r="AQ306">
        <f t="shared" si="235"/>
        <v>1.1814730842709308E-2</v>
      </c>
      <c r="AR306">
        <f t="shared" si="236"/>
        <v>-10.869552375292562</v>
      </c>
      <c r="AT306">
        <f t="shared" si="261"/>
        <v>-16668.772162994035</v>
      </c>
      <c r="AU306">
        <f t="shared" si="262"/>
        <v>-8378.4776262557789</v>
      </c>
      <c r="AV306">
        <f t="shared" si="250"/>
        <v>-2.6758311575489144</v>
      </c>
      <c r="AW306">
        <f t="shared" si="251"/>
        <v>-1678.0990732676257</v>
      </c>
      <c r="AX306">
        <f t="shared" si="252"/>
        <v>-7677.43027843235</v>
      </c>
      <c r="AY306">
        <f t="shared" si="260"/>
        <v>-1.7859876025107655</v>
      </c>
      <c r="BA306">
        <f t="shared" si="237"/>
        <v>2.3739353961707201</v>
      </c>
      <c r="BB306">
        <f t="shared" si="253"/>
        <v>7.5093779194284593</v>
      </c>
      <c r="BC306">
        <f t="shared" si="254"/>
        <v>-0.88984355503814894</v>
      </c>
      <c r="BD306">
        <f t="shared" si="238"/>
        <v>-230.98428018886113</v>
      </c>
      <c r="BF306">
        <f t="shared" si="239"/>
        <v>-36.544408953790061</v>
      </c>
      <c r="BG306">
        <f t="shared" si="240"/>
        <v>-224.21107193670989</v>
      </c>
      <c r="BH306">
        <f t="shared" si="255"/>
        <v>-44.211071936709885</v>
      </c>
      <c r="BI306">
        <f t="shared" si="256"/>
        <v>-44.211071936709885</v>
      </c>
      <c r="BJ306">
        <f t="shared" si="241"/>
        <v>0</v>
      </c>
      <c r="BK306">
        <f t="shared" si="257"/>
        <v>0</v>
      </c>
      <c r="BM306">
        <f t="shared" si="258"/>
        <v>-44.053786873218513</v>
      </c>
      <c r="BN306">
        <f t="shared" si="242"/>
        <v>-173.22679174784878</v>
      </c>
      <c r="BQ306" s="56">
        <f t="shared" si="259"/>
        <v>24.411338719713598</v>
      </c>
      <c r="BR306" s="59"/>
      <c r="BS306" s="59"/>
      <c r="BT306" s="59">
        <v>91201.084000000003</v>
      </c>
      <c r="BU306" s="59">
        <v>5.4050900000000004</v>
      </c>
      <c r="BV306" s="59">
        <v>-129.68299999999999</v>
      </c>
      <c r="BY306" s="59"/>
      <c r="BZ306" s="59"/>
      <c r="CA306" s="59"/>
      <c r="CC306" s="59"/>
    </row>
    <row r="307" spans="1:81" x14ac:dyDescent="0.2">
      <c r="A307">
        <f t="shared" si="263"/>
        <v>465000</v>
      </c>
      <c r="B307">
        <f t="shared" si="243"/>
        <v>465</v>
      </c>
      <c r="C307">
        <f t="shared" si="212"/>
        <v>1.0062739039559021</v>
      </c>
      <c r="D307">
        <f t="shared" si="213"/>
        <v>0.11172535123031721</v>
      </c>
      <c r="F307">
        <f t="shared" si="214"/>
        <v>4.0659971202098303E-4</v>
      </c>
      <c r="G307">
        <f t="shared" si="215"/>
        <v>7.5983117533030275E-3</v>
      </c>
      <c r="H307">
        <f t="shared" si="216"/>
        <v>-3.1339943382466973</v>
      </c>
      <c r="J307">
        <f t="shared" si="217"/>
        <v>15</v>
      </c>
      <c r="M307">
        <f t="shared" si="218"/>
        <v>4.853222948391744E-4</v>
      </c>
      <c r="N307">
        <f t="shared" si="219"/>
        <v>-1.5707963250000001</v>
      </c>
      <c r="O307">
        <f t="shared" si="220"/>
        <v>436.41266124748387</v>
      </c>
      <c r="P307">
        <f t="shared" si="221"/>
        <v>1.5685049155598598</v>
      </c>
      <c r="Q307">
        <f t="shared" si="222"/>
        <v>64.949658978146829</v>
      </c>
      <c r="R307">
        <f t="shared" si="223"/>
        <v>1.5553991787751171</v>
      </c>
      <c r="S307">
        <f t="shared" si="224"/>
        <v>0.47878897649412344</v>
      </c>
      <c r="T307">
        <f t="shared" si="225"/>
        <v>-1.0715215418569577</v>
      </c>
      <c r="U307">
        <f t="shared" si="226"/>
        <v>0.44632904484159802</v>
      </c>
      <c r="V307">
        <f t="shared" si="227"/>
        <v>-1.1081374312674317</v>
      </c>
      <c r="X307">
        <f t="shared" si="244"/>
        <v>-34.874434247486732</v>
      </c>
      <c r="Y307">
        <f t="shared" si="228"/>
        <v>-209.06199737417978</v>
      </c>
      <c r="Z307">
        <f t="shared" si="245"/>
        <v>-29.061997374179782</v>
      </c>
      <c r="AC307">
        <v>1</v>
      </c>
      <c r="AD307">
        <f t="shared" si="229"/>
        <v>436.41151554136502</v>
      </c>
      <c r="AE307">
        <f t="shared" si="230"/>
        <v>-0.22950995488705894</v>
      </c>
      <c r="AF307">
        <f t="shared" si="231"/>
        <v>0.11447146802510999</v>
      </c>
      <c r="AG307">
        <f t="shared" si="246"/>
        <v>755.97846388428525</v>
      </c>
      <c r="AH307">
        <f t="shared" si="247"/>
        <v>-1524.4373655048421</v>
      </c>
      <c r="AJ307">
        <f t="shared" si="232"/>
        <v>18000</v>
      </c>
      <c r="AK307">
        <f t="shared" si="233"/>
        <v>33005.647779123603</v>
      </c>
      <c r="AL307">
        <v>1</v>
      </c>
      <c r="AM307">
        <f t="shared" si="234"/>
        <v>64.941960252040204</v>
      </c>
      <c r="AN307">
        <f t="shared" si="248"/>
        <v>512.37949103272979</v>
      </c>
      <c r="AO307">
        <f t="shared" si="249"/>
        <v>-269.28076148452698</v>
      </c>
      <c r="AQ307">
        <f t="shared" si="235"/>
        <v>1.1562016924480374E-2</v>
      </c>
      <c r="AR307">
        <f t="shared" si="236"/>
        <v>-10.752675739766747</v>
      </c>
      <c r="AT307">
        <f t="shared" si="261"/>
        <v>-16383.040041063876</v>
      </c>
      <c r="AU307">
        <f t="shared" si="262"/>
        <v>-8146.4168590149638</v>
      </c>
      <c r="AV307">
        <f t="shared" si="250"/>
        <v>-2.6801499008945697</v>
      </c>
      <c r="AW307">
        <f t="shared" si="251"/>
        <v>-1628.1205961077512</v>
      </c>
      <c r="AX307">
        <f t="shared" si="252"/>
        <v>-7600.3127632731757</v>
      </c>
      <c r="AY307">
        <f t="shared" si="260"/>
        <v>-1.7818245146644844</v>
      </c>
      <c r="BA307">
        <f t="shared" si="237"/>
        <v>2.353952752731391</v>
      </c>
      <c r="BB307">
        <f t="shared" si="253"/>
        <v>7.4359548334111389</v>
      </c>
      <c r="BC307">
        <f t="shared" si="254"/>
        <v>-0.89832538623008529</v>
      </c>
      <c r="BD307">
        <f t="shared" si="238"/>
        <v>-231.47025331925681</v>
      </c>
      <c r="BF307">
        <f t="shared" si="239"/>
        <v>-36.804554448734784</v>
      </c>
      <c r="BG307">
        <f t="shared" si="240"/>
        <v>-224.63351102644185</v>
      </c>
      <c r="BH307">
        <f t="shared" si="255"/>
        <v>-44.633511026441852</v>
      </c>
      <c r="BI307">
        <f t="shared" si="256"/>
        <v>-44.633511026441852</v>
      </c>
      <c r="BJ307">
        <f t="shared" si="241"/>
        <v>0</v>
      </c>
      <c r="BK307">
        <f t="shared" si="257"/>
        <v>0</v>
      </c>
      <c r="BM307">
        <f t="shared" si="258"/>
        <v>-44.240509282145915</v>
      </c>
      <c r="BN307">
        <f t="shared" si="242"/>
        <v>-173.16325770718504</v>
      </c>
      <c r="BQ307" s="56">
        <f t="shared" si="259"/>
        <v>24.337915633696277</v>
      </c>
      <c r="BR307" s="59"/>
      <c r="BS307" s="59"/>
      <c r="BT307" s="59">
        <v>93325.43</v>
      </c>
      <c r="BU307" s="59">
        <v>5.6014999999999997</v>
      </c>
      <c r="BV307" s="59">
        <v>-129.64400000000001</v>
      </c>
      <c r="BY307" s="59"/>
      <c r="BZ307" s="59"/>
      <c r="CA307" s="59"/>
      <c r="CC307" s="59"/>
    </row>
    <row r="308" spans="1:81" x14ac:dyDescent="0.2">
      <c r="A308">
        <f t="shared" si="263"/>
        <v>470000</v>
      </c>
      <c r="B308">
        <f t="shared" si="243"/>
        <v>470</v>
      </c>
      <c r="C308">
        <f t="shared" si="212"/>
        <v>1.0064091200591927</v>
      </c>
      <c r="D308">
        <f t="shared" si="213"/>
        <v>0.11291656697628209</v>
      </c>
      <c r="F308">
        <f t="shared" si="214"/>
        <v>3.9799145591022428E-4</v>
      </c>
      <c r="G308">
        <f t="shared" si="215"/>
        <v>7.5174163975090039E-3</v>
      </c>
      <c r="H308">
        <f t="shared" si="216"/>
        <v>-3.1340752336024913</v>
      </c>
      <c r="J308">
        <f t="shared" si="217"/>
        <v>15</v>
      </c>
      <c r="M308">
        <f t="shared" si="218"/>
        <v>4.801592917025874E-4</v>
      </c>
      <c r="N308">
        <f t="shared" si="219"/>
        <v>-1.5707963250000001</v>
      </c>
      <c r="O308">
        <f t="shared" si="220"/>
        <v>441.10524600045733</v>
      </c>
      <c r="P308">
        <f t="shared" si="221"/>
        <v>1.5685292921911553</v>
      </c>
      <c r="Q308">
        <f t="shared" si="222"/>
        <v>65.647877734230406</v>
      </c>
      <c r="R308">
        <f t="shared" si="223"/>
        <v>1.5555629527467185</v>
      </c>
      <c r="S308">
        <f t="shared" si="224"/>
        <v>0.47484873661286736</v>
      </c>
      <c r="T308">
        <f t="shared" si="225"/>
        <v>-1.0760041800923621</v>
      </c>
      <c r="U308">
        <f t="shared" si="226"/>
        <v>0.4425146602092771</v>
      </c>
      <c r="V308">
        <f t="shared" si="227"/>
        <v>-1.1123954292523761</v>
      </c>
      <c r="X308">
        <f t="shared" si="244"/>
        <v>-35.112584549972134</v>
      </c>
      <c r="Y308">
        <f t="shared" si="228"/>
        <v>-209.48840203262924</v>
      </c>
      <c r="Z308">
        <f t="shared" si="245"/>
        <v>-29.488402032629239</v>
      </c>
      <c r="AC308">
        <v>1</v>
      </c>
      <c r="AD308">
        <f t="shared" si="229"/>
        <v>441.10411248266996</v>
      </c>
      <c r="AE308">
        <f t="shared" si="230"/>
        <v>-0.23447218885212767</v>
      </c>
      <c r="AF308">
        <f t="shared" si="231"/>
        <v>0.11570234402538</v>
      </c>
      <c r="AG308">
        <f t="shared" si="246"/>
        <v>743.11230205155448</v>
      </c>
      <c r="AH308">
        <f t="shared" si="247"/>
        <v>-1514.5688663535775</v>
      </c>
      <c r="AJ308">
        <f t="shared" si="232"/>
        <v>18000</v>
      </c>
      <c r="AK308">
        <f t="shared" si="233"/>
        <v>33360.547217608801</v>
      </c>
      <c r="AL308">
        <v>1</v>
      </c>
      <c r="AM308">
        <f t="shared" si="234"/>
        <v>65.64026089991161</v>
      </c>
      <c r="AN308">
        <f t="shared" si="248"/>
        <v>512.2917576149672</v>
      </c>
      <c r="AO308">
        <f t="shared" si="249"/>
        <v>-266.41740911192176</v>
      </c>
      <c r="AQ308">
        <f t="shared" si="235"/>
        <v>1.131732535386447E-2</v>
      </c>
      <c r="AR308">
        <f t="shared" si="236"/>
        <v>-10.638285832632603</v>
      </c>
      <c r="AT308">
        <f t="shared" si="261"/>
        <v>-16104.006469778909</v>
      </c>
      <c r="AU308">
        <f t="shared" si="262"/>
        <v>-7922.5819436014081</v>
      </c>
      <c r="AV308">
        <f t="shared" si="250"/>
        <v>-2.6843949612651037</v>
      </c>
      <c r="AW308">
        <f t="shared" si="251"/>
        <v>-1579.8361879862994</v>
      </c>
      <c r="AX308">
        <f t="shared" si="252"/>
        <v>-7524.7187054025371</v>
      </c>
      <c r="AY308">
        <f t="shared" si="260"/>
        <v>-1.7777433684841166</v>
      </c>
      <c r="BA308">
        <f t="shared" si="237"/>
        <v>2.334223458663625</v>
      </c>
      <c r="BB308">
        <f t="shared" si="253"/>
        <v>7.3628485870505891</v>
      </c>
      <c r="BC308">
        <f t="shared" si="254"/>
        <v>-0.90665159278098706</v>
      </c>
      <c r="BD308">
        <f t="shared" si="238"/>
        <v>-231.94730981452278</v>
      </c>
      <c r="BF308">
        <f t="shared" si="239"/>
        <v>-37.062359983502418</v>
      </c>
      <c r="BG308">
        <f t="shared" si="240"/>
        <v>-225.046950849371</v>
      </c>
      <c r="BH308">
        <f t="shared" si="255"/>
        <v>-45.046950849371001</v>
      </c>
      <c r="BI308">
        <f t="shared" si="256"/>
        <v>-45.046950849371001</v>
      </c>
      <c r="BJ308">
        <f t="shared" si="241"/>
        <v>0</v>
      </c>
      <c r="BK308">
        <f t="shared" si="257"/>
        <v>0</v>
      </c>
      <c r="BM308">
        <f t="shared" si="258"/>
        <v>-44.425208570553004</v>
      </c>
      <c r="BN308">
        <f t="shared" si="242"/>
        <v>-173.09964103484822</v>
      </c>
      <c r="BQ308" s="56">
        <f t="shared" si="259"/>
        <v>24.264809387335724</v>
      </c>
      <c r="BR308" s="59"/>
      <c r="BS308" s="59"/>
      <c r="BT308" s="59">
        <v>95499.259000000005</v>
      </c>
      <c r="BU308" s="59">
        <v>5.7946099999999996</v>
      </c>
      <c r="BV308" s="59">
        <v>-129.63</v>
      </c>
      <c r="BY308" s="59"/>
      <c r="BZ308" s="59"/>
      <c r="CA308" s="59"/>
      <c r="CC308" s="59"/>
    </row>
    <row r="309" spans="1:81" x14ac:dyDescent="0.2">
      <c r="A309">
        <f t="shared" si="263"/>
        <v>475000</v>
      </c>
      <c r="B309">
        <f t="shared" si="243"/>
        <v>475</v>
      </c>
      <c r="C309">
        <f t="shared" si="212"/>
        <v>1.0065457638670738</v>
      </c>
      <c r="D309">
        <f t="shared" si="213"/>
        <v>0.11410746098430756</v>
      </c>
      <c r="F309">
        <f t="shared" si="214"/>
        <v>3.8965373875288987E-4</v>
      </c>
      <c r="G309">
        <f t="shared" si="215"/>
        <v>7.4382260376658436E-3</v>
      </c>
      <c r="H309">
        <f t="shared" si="216"/>
        <v>-3.1341544239623342</v>
      </c>
      <c r="J309">
        <f t="shared" si="217"/>
        <v>15</v>
      </c>
      <c r="M309">
        <f t="shared" si="218"/>
        <v>4.7510498336887598E-4</v>
      </c>
      <c r="N309">
        <f t="shared" si="219"/>
        <v>-1.5707963250000001</v>
      </c>
      <c r="O309">
        <f t="shared" si="220"/>
        <v>445.79783101002636</v>
      </c>
      <c r="P309">
        <f t="shared" si="221"/>
        <v>1.5685531556328232</v>
      </c>
      <c r="Q309">
        <f t="shared" si="222"/>
        <v>66.346098214054706</v>
      </c>
      <c r="R309">
        <f t="shared" si="223"/>
        <v>1.5557232796369107</v>
      </c>
      <c r="S309">
        <f t="shared" si="224"/>
        <v>0.47096358755596507</v>
      </c>
      <c r="T309">
        <f t="shared" si="225"/>
        <v>-1.0804135530300847</v>
      </c>
      <c r="U309">
        <f t="shared" si="226"/>
        <v>0.43875716580438584</v>
      </c>
      <c r="V309">
        <f t="shared" si="227"/>
        <v>-1.1165811907652032</v>
      </c>
      <c r="X309">
        <f t="shared" si="244"/>
        <v>-35.348837803879746</v>
      </c>
      <c r="Y309">
        <f t="shared" si="228"/>
        <v>-209.9066177057183</v>
      </c>
      <c r="Z309">
        <f t="shared" si="245"/>
        <v>-29.906617705718304</v>
      </c>
      <c r="AC309">
        <v>1</v>
      </c>
      <c r="AD309">
        <f t="shared" si="229"/>
        <v>445.79670942397502</v>
      </c>
      <c r="AE309">
        <f t="shared" si="230"/>
        <v>-0.23948749483821324</v>
      </c>
      <c r="AF309">
        <f t="shared" si="231"/>
        <v>0.11693322002565</v>
      </c>
      <c r="AG309">
        <f t="shared" si="246"/>
        <v>730.54600408332362</v>
      </c>
      <c r="AH309">
        <f t="shared" si="247"/>
        <v>-1504.761712226732</v>
      </c>
      <c r="AJ309">
        <f t="shared" si="232"/>
        <v>18000</v>
      </c>
      <c r="AK309">
        <f t="shared" si="233"/>
        <v>33715.446656093998</v>
      </c>
      <c r="AL309">
        <v>1</v>
      </c>
      <c r="AM309">
        <f t="shared" si="234"/>
        <v>66.338561547783016</v>
      </c>
      <c r="AN309">
        <f t="shared" si="248"/>
        <v>512.20677927920531</v>
      </c>
      <c r="AO309">
        <f t="shared" si="249"/>
        <v>-263.61429631127152</v>
      </c>
      <c r="AQ309">
        <f t="shared" si="235"/>
        <v>1.1080320132609272E-2</v>
      </c>
      <c r="AR309">
        <f t="shared" si="236"/>
        <v>-10.526304125978807</v>
      </c>
      <c r="AT309">
        <f t="shared" si="261"/>
        <v>-15831.484736430342</v>
      </c>
      <c r="AU309">
        <f t="shared" si="262"/>
        <v>-7706.6226584943861</v>
      </c>
      <c r="AV309">
        <f t="shared" si="250"/>
        <v>-2.688568057532009</v>
      </c>
      <c r="AW309">
        <f t="shared" si="251"/>
        <v>-1533.1706510104493</v>
      </c>
      <c r="AX309">
        <f t="shared" si="252"/>
        <v>-7450.6027692653843</v>
      </c>
      <c r="AY309">
        <f t="shared" si="260"/>
        <v>-1.7737414986727849</v>
      </c>
      <c r="BA309">
        <f t="shared" si="237"/>
        <v>2.3147460186047466</v>
      </c>
      <c r="BB309">
        <f t="shared" si="253"/>
        <v>7.2900669155491729</v>
      </c>
      <c r="BC309">
        <f t="shared" si="254"/>
        <v>-0.91482655885922415</v>
      </c>
      <c r="BD309">
        <f t="shared" si="238"/>
        <v>-232.41570086900362</v>
      </c>
      <c r="BF309">
        <f t="shared" si="239"/>
        <v>-37.317860441408378</v>
      </c>
      <c r="BG309">
        <f t="shared" si="240"/>
        <v>-225.45164597666891</v>
      </c>
      <c r="BH309">
        <f t="shared" si="255"/>
        <v>-45.451645976668914</v>
      </c>
      <c r="BI309">
        <f t="shared" si="256"/>
        <v>-45.451645976668914</v>
      </c>
      <c r="BJ309">
        <f t="shared" si="241"/>
        <v>0</v>
      </c>
      <c r="BK309">
        <f t="shared" si="257"/>
        <v>0</v>
      </c>
      <c r="BM309">
        <f t="shared" si="258"/>
        <v>-44.607927356957553</v>
      </c>
      <c r="BN309">
        <f t="shared" si="242"/>
        <v>-173.0359451076653</v>
      </c>
      <c r="BQ309" s="56">
        <f t="shared" si="259"/>
        <v>24.192027715834307</v>
      </c>
      <c r="BR309" s="59"/>
      <c r="BS309" s="59"/>
      <c r="BT309" s="59">
        <v>97723.721999999994</v>
      </c>
      <c r="BU309" s="59">
        <v>5.9855799999999997</v>
      </c>
      <c r="BV309" s="59">
        <v>-129.62100000000001</v>
      </c>
      <c r="BY309" s="59"/>
      <c r="BZ309" s="59"/>
      <c r="CA309" s="59"/>
      <c r="CC309" s="59"/>
    </row>
    <row r="310" spans="1:81" x14ac:dyDescent="0.2">
      <c r="A310">
        <f t="shared" si="263"/>
        <v>480000</v>
      </c>
      <c r="B310">
        <f t="shared" si="243"/>
        <v>480</v>
      </c>
      <c r="C310">
        <f t="shared" si="212"/>
        <v>1.0066838347981704</v>
      </c>
      <c r="D310">
        <f t="shared" si="213"/>
        <v>0.11529803000818224</v>
      </c>
      <c r="F310">
        <f t="shared" si="214"/>
        <v>3.8157534024685916E-4</v>
      </c>
      <c r="G310">
        <f t="shared" si="215"/>
        <v>7.3606873132012795E-3</v>
      </c>
      <c r="H310">
        <f t="shared" si="216"/>
        <v>-3.1342319626867989</v>
      </c>
      <c r="J310">
        <f t="shared" si="217"/>
        <v>15</v>
      </c>
      <c r="M310">
        <f t="shared" si="218"/>
        <v>4.7015597312545022E-4</v>
      </c>
      <c r="N310">
        <f t="shared" si="219"/>
        <v>-1.5707963250000001</v>
      </c>
      <c r="O310">
        <f t="shared" si="220"/>
        <v>450.49041626817228</v>
      </c>
      <c r="P310">
        <f t="shared" si="221"/>
        <v>1.5685765219219316</v>
      </c>
      <c r="Q310">
        <f t="shared" si="222"/>
        <v>67.044320363765038</v>
      </c>
      <c r="R310">
        <f t="shared" si="223"/>
        <v>1.5558802671345222</v>
      </c>
      <c r="S310">
        <f t="shared" si="224"/>
        <v>0.46713263586065895</v>
      </c>
      <c r="T310">
        <f t="shared" si="225"/>
        <v>-1.0847512749800849</v>
      </c>
      <c r="U310">
        <f t="shared" si="226"/>
        <v>0.43505551472957715</v>
      </c>
      <c r="V310">
        <f t="shared" si="227"/>
        <v>-1.1206963955606251</v>
      </c>
      <c r="X310">
        <f t="shared" si="244"/>
        <v>-35.583219019860884</v>
      </c>
      <c r="Y310">
        <f t="shared" si="228"/>
        <v>-210.31682928380832</v>
      </c>
      <c r="Z310">
        <f t="shared" si="245"/>
        <v>-30.316829283808318</v>
      </c>
      <c r="AC310">
        <v>1</v>
      </c>
      <c r="AD310">
        <f t="shared" si="229"/>
        <v>450.48930636528002</v>
      </c>
      <c r="AE310">
        <f t="shared" si="230"/>
        <v>-0.2445558728453156</v>
      </c>
      <c r="AF310">
        <f t="shared" si="231"/>
        <v>0.11816409602592</v>
      </c>
      <c r="AG310">
        <f t="shared" si="246"/>
        <v>718.27124586578611</v>
      </c>
      <c r="AH310">
        <f t="shared" si="247"/>
        <v>-1495.0180081236244</v>
      </c>
      <c r="AJ310">
        <f t="shared" si="232"/>
        <v>18000</v>
      </c>
      <c r="AK310">
        <f t="shared" si="233"/>
        <v>34070.346094579203</v>
      </c>
      <c r="AL310">
        <v>1</v>
      </c>
      <c r="AM310">
        <f t="shared" si="234"/>
        <v>67.036862195654408</v>
      </c>
      <c r="AN310">
        <f t="shared" si="248"/>
        <v>512.12444187316794</v>
      </c>
      <c r="AO310">
        <f t="shared" si="249"/>
        <v>-260.8695422987812</v>
      </c>
      <c r="AQ310">
        <f t="shared" si="235"/>
        <v>1.0850682670700227E-2</v>
      </c>
      <c r="AR310">
        <f t="shared" si="236"/>
        <v>-10.416655363872218</v>
      </c>
      <c r="AT310">
        <f t="shared" si="261"/>
        <v>-15565.293620046134</v>
      </c>
      <c r="AU310">
        <f t="shared" si="262"/>
        <v>-7498.2059919561534</v>
      </c>
      <c r="AV310">
        <f t="shared" si="250"/>
        <v>-2.6926708609385797</v>
      </c>
      <c r="AW310">
        <f t="shared" si="251"/>
        <v>-1488.0528719564345</v>
      </c>
      <c r="AX310">
        <f t="shared" si="252"/>
        <v>-7377.9214582074665</v>
      </c>
      <c r="AY310">
        <f t="shared" si="260"/>
        <v>-1.7698163433331702</v>
      </c>
      <c r="BA310">
        <f t="shared" si="237"/>
        <v>2.2955187101147358</v>
      </c>
      <c r="BB310">
        <f t="shared" si="253"/>
        <v>7.217616738524959</v>
      </c>
      <c r="BC310">
        <f t="shared" si="254"/>
        <v>-0.92285451760540949</v>
      </c>
      <c r="BD310">
        <f t="shared" si="238"/>
        <v>-232.87566902379075</v>
      </c>
      <c r="BF310">
        <f t="shared" si="239"/>
        <v>-37.571090180941319</v>
      </c>
      <c r="BG310">
        <f t="shared" si="240"/>
        <v>-225.84784219275679</v>
      </c>
      <c r="BH310">
        <f t="shared" si="255"/>
        <v>-45.847842192756787</v>
      </c>
      <c r="BI310">
        <f t="shared" si="256"/>
        <v>-45.847842192756787</v>
      </c>
      <c r="BJ310">
        <f t="shared" si="241"/>
        <v>0</v>
      </c>
      <c r="BK310">
        <f t="shared" si="257"/>
        <v>0</v>
      </c>
      <c r="BM310">
        <f t="shared" si="258"/>
        <v>-44.788706919466279</v>
      </c>
      <c r="BN310">
        <f t="shared" si="242"/>
        <v>-172.97217316896604</v>
      </c>
      <c r="BQ310" s="56">
        <f t="shared" si="259"/>
        <v>24.119577538810098</v>
      </c>
      <c r="BR310" s="59"/>
      <c r="BS310" s="59"/>
      <c r="BT310" s="59">
        <v>100000</v>
      </c>
      <c r="BU310" s="59">
        <v>6.1811499999999997</v>
      </c>
      <c r="BV310" s="59">
        <v>-129.59</v>
      </c>
      <c r="BY310" s="59"/>
      <c r="BZ310" s="59"/>
      <c r="CA310" s="59"/>
      <c r="CC310" s="59"/>
    </row>
    <row r="311" spans="1:81" x14ac:dyDescent="0.2">
      <c r="A311">
        <f t="shared" si="263"/>
        <v>485000</v>
      </c>
      <c r="B311">
        <f t="shared" si="243"/>
        <v>485</v>
      </c>
      <c r="C311">
        <f t="shared" si="212"/>
        <v>1.0068233322653561</v>
      </c>
      <c r="D311">
        <f t="shared" si="213"/>
        <v>0.11648827080715145</v>
      </c>
      <c r="F311">
        <f t="shared" si="214"/>
        <v>3.7374561586909978E-4</v>
      </c>
      <c r="G311">
        <f t="shared" si="215"/>
        <v>7.2847490680138889E-3</v>
      </c>
      <c r="H311">
        <f t="shared" si="216"/>
        <v>-3.1343079009319865</v>
      </c>
      <c r="J311">
        <f t="shared" si="217"/>
        <v>15</v>
      </c>
      <c r="M311">
        <f t="shared" si="218"/>
        <v>4.6530900433034247E-4</v>
      </c>
      <c r="N311">
        <f t="shared" si="219"/>
        <v>-1.5707963250000001</v>
      </c>
      <c r="O311">
        <f t="shared" si="220"/>
        <v>455.18300176720714</v>
      </c>
      <c r="P311">
        <f t="shared" si="221"/>
        <v>1.5685994064342332</v>
      </c>
      <c r="Q311">
        <f t="shared" si="222"/>
        <v>67.742544131726845</v>
      </c>
      <c r="R311">
        <f t="shared" si="223"/>
        <v>1.5560340184892529</v>
      </c>
      <c r="S311">
        <f t="shared" si="224"/>
        <v>0.46335499697807431</v>
      </c>
      <c r="T311">
        <f t="shared" si="225"/>
        <v>-1.0890189190021062</v>
      </c>
      <c r="U311">
        <f t="shared" si="226"/>
        <v>0.43140867690359475</v>
      </c>
      <c r="V311">
        <f t="shared" si="227"/>
        <v>-1.1247426768020541</v>
      </c>
      <c r="X311">
        <f t="shared" si="244"/>
        <v>-35.815752811840134</v>
      </c>
      <c r="Y311">
        <f t="shared" si="228"/>
        <v>-210.71921678992709</v>
      </c>
      <c r="Z311">
        <f t="shared" si="245"/>
        <v>-30.719216789927088</v>
      </c>
      <c r="AC311">
        <v>1</v>
      </c>
      <c r="AD311">
        <f t="shared" si="229"/>
        <v>455.18190330658496</v>
      </c>
      <c r="AE311">
        <f t="shared" si="230"/>
        <v>-0.24967732287343475</v>
      </c>
      <c r="AF311">
        <f t="shared" si="231"/>
        <v>0.11939497202619001</v>
      </c>
      <c r="AG311">
        <f t="shared" si="246"/>
        <v>706.27994789653621</v>
      </c>
      <c r="AH311">
        <f t="shared" si="247"/>
        <v>-1485.3396552670165</v>
      </c>
      <c r="AJ311">
        <f t="shared" si="232"/>
        <v>18000</v>
      </c>
      <c r="AK311">
        <f t="shared" si="233"/>
        <v>34425.245533064401</v>
      </c>
      <c r="AL311">
        <v>1</v>
      </c>
      <c r="AM311">
        <f t="shared" si="234"/>
        <v>67.735162843525799</v>
      </c>
      <c r="AN311">
        <f t="shared" si="248"/>
        <v>512.04463709563299</v>
      </c>
      <c r="AO311">
        <f t="shared" si="249"/>
        <v>-258.18134376236884</v>
      </c>
      <c r="AQ311">
        <f t="shared" si="235"/>
        <v>1.0628110715154942E-2</v>
      </c>
      <c r="AR311">
        <f t="shared" si="236"/>
        <v>-10.309267393700294</v>
      </c>
      <c r="AT311">
        <f t="shared" si="261"/>
        <v>-15305.25725513215</v>
      </c>
      <c r="AU311">
        <f t="shared" si="262"/>
        <v>-7297.0151919798918</v>
      </c>
      <c r="AV311">
        <f t="shared" si="250"/>
        <v>-2.6967049964877896</v>
      </c>
      <c r="AW311">
        <f t="shared" si="251"/>
        <v>-1444.4155618724733</v>
      </c>
      <c r="AX311">
        <f t="shared" si="252"/>
        <v>-7306.633018340337</v>
      </c>
      <c r="AY311">
        <f t="shared" si="260"/>
        <v>-1.7659654396777109</v>
      </c>
      <c r="BA311">
        <f t="shared" si="237"/>
        <v>2.2765396094108805</v>
      </c>
      <c r="BB311">
        <f t="shared" si="253"/>
        <v>7.1455042196043683</v>
      </c>
      <c r="BC311">
        <f t="shared" si="254"/>
        <v>-0.93073955681007869</v>
      </c>
      <c r="BD311">
        <f t="shared" si="238"/>
        <v>-233.32744849202973</v>
      </c>
      <c r="BF311">
        <f t="shared" si="239"/>
        <v>-37.822083031838247</v>
      </c>
      <c r="BG311">
        <f t="shared" si="240"/>
        <v>-226.2357768274905</v>
      </c>
      <c r="BH311">
        <f t="shared" si="255"/>
        <v>-46.235776827490497</v>
      </c>
      <c r="BI311">
        <f t="shared" si="256"/>
        <v>-46.235776827490497</v>
      </c>
      <c r="BJ311">
        <f t="shared" si="241"/>
        <v>0</v>
      </c>
      <c r="BK311">
        <f t="shared" si="257"/>
        <v>0</v>
      </c>
      <c r="BM311">
        <f t="shared" si="258"/>
        <v>-44.967587251442616</v>
      </c>
      <c r="BN311">
        <f t="shared" si="242"/>
        <v>-172.90832833546077</v>
      </c>
      <c r="BQ311" s="56">
        <f t="shared" si="259"/>
        <v>24.047465019889508</v>
      </c>
      <c r="BR311" s="59"/>
      <c r="BS311" s="59"/>
      <c r="BT311" s="59">
        <v>102329.299</v>
      </c>
      <c r="BU311" s="59">
        <v>6.3762999999999996</v>
      </c>
      <c r="BV311" s="59">
        <v>-129.61099999999999</v>
      </c>
      <c r="BY311" s="59"/>
      <c r="BZ311" s="59"/>
      <c r="CA311" s="59"/>
      <c r="CC311" s="59"/>
    </row>
    <row r="312" spans="1:81" x14ac:dyDescent="0.2">
      <c r="A312">
        <f t="shared" si="263"/>
        <v>490000</v>
      </c>
      <c r="B312">
        <f t="shared" si="243"/>
        <v>490</v>
      </c>
      <c r="C312">
        <f t="shared" si="212"/>
        <v>1.006964255675765</v>
      </c>
      <c r="D312">
        <f t="shared" si="213"/>
        <v>0.11767818014596694</v>
      </c>
      <c r="F312">
        <f t="shared" si="214"/>
        <v>3.6615446177629547E-4</v>
      </c>
      <c r="G312">
        <f t="shared" si="215"/>
        <v>7.2103622377566474E-3</v>
      </c>
      <c r="H312">
        <f t="shared" si="216"/>
        <v>-3.1343822877622434</v>
      </c>
      <c r="J312">
        <f t="shared" si="217"/>
        <v>15</v>
      </c>
      <c r="M312">
        <f t="shared" si="218"/>
        <v>4.6056095326574715E-4</v>
      </c>
      <c r="N312">
        <f t="shared" si="219"/>
        <v>-1.5707963250000001</v>
      </c>
      <c r="O312">
        <f t="shared" si="220"/>
        <v>459.87558749975693</v>
      </c>
      <c r="P312">
        <f t="shared" si="221"/>
        <v>1.5686218239179026</v>
      </c>
      <c r="Q312">
        <f t="shared" si="222"/>
        <v>68.440769468412569</v>
      </c>
      <c r="R312">
        <f t="shared" si="223"/>
        <v>1.5561846327380606</v>
      </c>
      <c r="S312">
        <f t="shared" si="224"/>
        <v>0.45962979580850188</v>
      </c>
      <c r="T312">
        <f t="shared" si="225"/>
        <v>-1.0932180179519797</v>
      </c>
      <c r="U312">
        <f t="shared" si="226"/>
        <v>0.42781563923452731</v>
      </c>
      <c r="V312">
        <f t="shared" si="227"/>
        <v>-1.1287216224338414</v>
      </c>
      <c r="X312">
        <f t="shared" si="244"/>
        <v>-36.046463403019921</v>
      </c>
      <c r="Y312">
        <f t="shared" si="228"/>
        <v>-211.11395550989212</v>
      </c>
      <c r="Z312">
        <f t="shared" si="245"/>
        <v>-31.113955509892122</v>
      </c>
      <c r="AC312">
        <v>1</v>
      </c>
      <c r="AD312">
        <f t="shared" si="229"/>
        <v>459.87450024789001</v>
      </c>
      <c r="AE312">
        <f t="shared" si="230"/>
        <v>-0.25485184492257068</v>
      </c>
      <c r="AF312">
        <f t="shared" si="231"/>
        <v>0.12062584802645999</v>
      </c>
      <c r="AG312">
        <f t="shared" si="246"/>
        <v>694.56426915864029</v>
      </c>
      <c r="AH312">
        <f t="shared" si="247"/>
        <v>-1475.7283643993837</v>
      </c>
      <c r="AJ312">
        <f t="shared" si="232"/>
        <v>18000</v>
      </c>
      <c r="AK312">
        <f t="shared" si="233"/>
        <v>34780.144971549598</v>
      </c>
      <c r="AL312">
        <v>1</v>
      </c>
      <c r="AM312">
        <f t="shared" si="234"/>
        <v>68.433463491397205</v>
      </c>
      <c r="AN312">
        <f t="shared" si="248"/>
        <v>511.96726214022738</v>
      </c>
      <c r="AO312">
        <f t="shared" si="249"/>
        <v>-255.54797091423265</v>
      </c>
      <c r="AQ312">
        <f t="shared" si="235"/>
        <v>1.0412317354938198E-2</v>
      </c>
      <c r="AR312">
        <f t="shared" si="236"/>
        <v>-10.204071007839433</v>
      </c>
      <c r="AT312">
        <f t="shared" si="261"/>
        <v>-15051.204995020176</v>
      </c>
      <c r="AU312">
        <f t="shared" si="262"/>
        <v>-7102.7488740626759</v>
      </c>
      <c r="AV312">
        <f t="shared" si="250"/>
        <v>-2.7006720442966272</v>
      </c>
      <c r="AW312">
        <f t="shared" si="251"/>
        <v>-1402.1950146333832</v>
      </c>
      <c r="AX312">
        <f t="shared" si="252"/>
        <v>-7236.6973486042216</v>
      </c>
      <c r="AY312">
        <f t="shared" si="260"/>
        <v>-1.7621864199013306</v>
      </c>
      <c r="BA312">
        <f t="shared" si="237"/>
        <v>2.2578066148461189</v>
      </c>
      <c r="BB312">
        <f t="shared" si="253"/>
        <v>7.0737348217356724</v>
      </c>
      <c r="BC312">
        <f t="shared" si="254"/>
        <v>-0.93848562439529659</v>
      </c>
      <c r="BD312">
        <f t="shared" si="238"/>
        <v>-233.77126547299292</v>
      </c>
      <c r="BF312">
        <f t="shared" si="239"/>
        <v>-38.070872292577846</v>
      </c>
      <c r="BG312">
        <f t="shared" si="240"/>
        <v>-226.61567907668839</v>
      </c>
      <c r="BH312">
        <f t="shared" si="255"/>
        <v>-46.615679076688394</v>
      </c>
      <c r="BI312">
        <f t="shared" si="256"/>
        <v>-46.615679076688394</v>
      </c>
      <c r="BJ312">
        <f t="shared" si="241"/>
        <v>0</v>
      </c>
      <c r="BK312">
        <f t="shared" si="257"/>
        <v>0</v>
      </c>
      <c r="BM312">
        <f t="shared" si="258"/>
        <v>-45.144607114313516</v>
      </c>
      <c r="BN312">
        <f t="shared" si="242"/>
        <v>-172.8444136036955</v>
      </c>
      <c r="BQ312" s="56">
        <f t="shared" si="259"/>
        <v>23.975695622020808</v>
      </c>
      <c r="BR312" s="59"/>
      <c r="BS312" s="59"/>
      <c r="BT312" s="59">
        <v>104712.855</v>
      </c>
      <c r="BU312" s="59">
        <v>6.5692300000000001</v>
      </c>
      <c r="BV312" s="59">
        <v>-129.61699999999999</v>
      </c>
      <c r="BY312" s="59"/>
      <c r="BZ312" s="59"/>
      <c r="CA312" s="59"/>
      <c r="CC312" s="59"/>
    </row>
    <row r="313" spans="1:81" x14ac:dyDescent="0.2">
      <c r="A313">
        <f t="shared" si="263"/>
        <v>495000</v>
      </c>
      <c r="B313">
        <f t="shared" si="243"/>
        <v>495</v>
      </c>
      <c r="C313">
        <f t="shared" si="212"/>
        <v>1.007106604430805</v>
      </c>
      <c r="D313">
        <f t="shared" si="213"/>
        <v>0.11886775479493669</v>
      </c>
      <c r="F313">
        <f t="shared" si="214"/>
        <v>3.5879228217687977E-4</v>
      </c>
      <c r="G313">
        <f t="shared" si="215"/>
        <v>7.1374797439687308E-3</v>
      </c>
      <c r="H313">
        <f t="shared" si="216"/>
        <v>-3.1344551702560315</v>
      </c>
      <c r="J313">
        <f t="shared" si="217"/>
        <v>15</v>
      </c>
      <c r="M313">
        <f t="shared" si="218"/>
        <v>4.5590882242467902E-4</v>
      </c>
      <c r="N313">
        <f t="shared" si="219"/>
        <v>-1.5707963250000001</v>
      </c>
      <c r="O313">
        <f t="shared" si="220"/>
        <v>464.56817345874543</v>
      </c>
      <c r="P313">
        <f t="shared" si="221"/>
        <v>1.568643788525234</v>
      </c>
      <c r="Q313">
        <f t="shared" si="222"/>
        <v>69.138996326295228</v>
      </c>
      <c r="R313">
        <f t="shared" si="223"/>
        <v>1.5563322049178334</v>
      </c>
      <c r="S313">
        <f t="shared" si="224"/>
        <v>0.45595616717164456</v>
      </c>
      <c r="T313">
        <f t="shared" si="225"/>
        <v>-1.0973500655116062</v>
      </c>
      <c r="U313">
        <f t="shared" si="226"/>
        <v>0.42427540574200817</v>
      </c>
      <c r="V313">
        <f t="shared" si="227"/>
        <v>-1.1326347765186788</v>
      </c>
      <c r="X313">
        <f t="shared" si="244"/>
        <v>-36.275374631788367</v>
      </c>
      <c r="Y313">
        <f t="shared" si="228"/>
        <v>-211.50121612001354</v>
      </c>
      <c r="Z313">
        <f t="shared" si="245"/>
        <v>-31.501216120013538</v>
      </c>
      <c r="AC313">
        <v>1</v>
      </c>
      <c r="AD313">
        <f t="shared" si="229"/>
        <v>464.56709718919501</v>
      </c>
      <c r="AE313">
        <f t="shared" si="230"/>
        <v>-0.2600794389927234</v>
      </c>
      <c r="AF313">
        <f t="shared" si="231"/>
        <v>0.12185672402672999</v>
      </c>
      <c r="AG313">
        <f t="shared" si="246"/>
        <v>683.11660098655159</v>
      </c>
      <c r="AH313">
        <f t="shared" si="247"/>
        <v>-1466.185668277175</v>
      </c>
      <c r="AJ313">
        <f t="shared" si="232"/>
        <v>18000</v>
      </c>
      <c r="AK313">
        <f t="shared" si="233"/>
        <v>35135.044410034796</v>
      </c>
      <c r="AL313">
        <v>1</v>
      </c>
      <c r="AM313">
        <f t="shared" si="234"/>
        <v>69.131764139268611</v>
      </c>
      <c r="AN313">
        <f t="shared" si="248"/>
        <v>511.89221936426463</v>
      </c>
      <c r="AO313">
        <f t="shared" si="249"/>
        <v>-252.96776378229353</v>
      </c>
      <c r="AQ313">
        <f t="shared" si="235"/>
        <v>1.0203030095877873E-2</v>
      </c>
      <c r="AR313">
        <f t="shared" si="236"/>
        <v>-10.100999794919096</v>
      </c>
      <c r="AT313">
        <f t="shared" si="261"/>
        <v>-14802.971275342203</v>
      </c>
      <c r="AU313">
        <f t="shared" si="262"/>
        <v>-6915.1201829705642</v>
      </c>
      <c r="AV313">
        <f t="shared" si="250"/>
        <v>-2.7045735409166736</v>
      </c>
      <c r="AW313">
        <f t="shared" si="251"/>
        <v>-1361.3308829020334</v>
      </c>
      <c r="AX313">
        <f t="shared" si="252"/>
        <v>-7168.075916555259</v>
      </c>
      <c r="AY313">
        <f t="shared" si="260"/>
        <v>-1.7584770072141345</v>
      </c>
      <c r="BA313">
        <f t="shared" si="237"/>
        <v>2.2393174683177572</v>
      </c>
      <c r="BB313">
        <f t="shared" si="253"/>
        <v>7.0023133585378163</v>
      </c>
      <c r="BC313">
        <f t="shared" si="254"/>
        <v>-0.9460965337025391</v>
      </c>
      <c r="BD313">
        <f t="shared" si="238"/>
        <v>-234.20733845505305</v>
      </c>
      <c r="BF313">
        <f t="shared" si="239"/>
        <v>-38.317490729152034</v>
      </c>
      <c r="BG313">
        <f t="shared" si="240"/>
        <v>-226.98777031116813</v>
      </c>
      <c r="BH313">
        <f t="shared" si="255"/>
        <v>-46.987770311168134</v>
      </c>
      <c r="BI313">
        <f t="shared" si="256"/>
        <v>-46.987770311168134</v>
      </c>
      <c r="BJ313">
        <f t="shared" si="241"/>
        <v>0</v>
      </c>
      <c r="BK313">
        <f t="shared" si="257"/>
        <v>0</v>
      </c>
      <c r="BM313">
        <f t="shared" si="258"/>
        <v>-45.319804087689846</v>
      </c>
      <c r="BN313">
        <f t="shared" si="242"/>
        <v>-172.78043185611509</v>
      </c>
      <c r="BQ313" s="56">
        <f t="shared" si="259"/>
        <v>23.90427415882295</v>
      </c>
      <c r="BR313" s="59"/>
      <c r="BS313" s="59"/>
      <c r="BT313" s="59">
        <v>107151.931</v>
      </c>
      <c r="BU313" s="59">
        <v>6.77081</v>
      </c>
      <c r="BV313" s="59">
        <v>-129.57599999999999</v>
      </c>
      <c r="BY313" s="59"/>
      <c r="BZ313" s="59"/>
      <c r="CA313" s="59"/>
      <c r="CC313" s="59"/>
    </row>
    <row r="314" spans="1:81" x14ac:dyDescent="0.2">
      <c r="A314">
        <f t="shared" si="263"/>
        <v>500000</v>
      </c>
      <c r="B314">
        <f t="shared" si="243"/>
        <v>500</v>
      </c>
      <c r="C314">
        <f t="shared" si="212"/>
        <v>1.0072503779261694</v>
      </c>
      <c r="D314">
        <f t="shared" si="213"/>
        <v>0.12005699152997407</v>
      </c>
      <c r="F314">
        <f t="shared" si="214"/>
        <v>3.5164995897755979E-4</v>
      </c>
      <c r="G314">
        <f t="shared" si="215"/>
        <v>7.066056394574899E-3</v>
      </c>
      <c r="H314">
        <f t="shared" si="216"/>
        <v>-3.1345265936054254</v>
      </c>
      <c r="J314">
        <f t="shared" si="217"/>
        <v>15</v>
      </c>
      <c r="M314">
        <f t="shared" si="218"/>
        <v>4.513497342004322E-4</v>
      </c>
      <c r="N314">
        <f t="shared" si="219"/>
        <v>-1.5707963250000001</v>
      </c>
      <c r="O314">
        <f t="shared" si="220"/>
        <v>469.26075963737946</v>
      </c>
      <c r="P314">
        <f t="shared" si="221"/>
        <v>1.5686653138424338</v>
      </c>
      <c r="Q314">
        <f t="shared" si="222"/>
        <v>69.837224659748401</v>
      </c>
      <c r="R314">
        <f t="shared" si="223"/>
        <v>1.5564768262653101</v>
      </c>
      <c r="S314">
        <f t="shared" si="224"/>
        <v>0.45233325621699189</v>
      </c>
      <c r="T314">
        <f t="shared" si="225"/>
        <v>-1.1014165172016559</v>
      </c>
      <c r="U314">
        <f t="shared" si="226"/>
        <v>0.42078699763329008</v>
      </c>
      <c r="V314">
        <f t="shared" si="227"/>
        <v>-1.1364836405401832</v>
      </c>
      <c r="X314">
        <f t="shared" si="244"/>
        <v>-36.502509957540909</v>
      </c>
      <c r="Y314">
        <f t="shared" si="228"/>
        <v>-211.88116481228664</v>
      </c>
      <c r="Z314">
        <f t="shared" si="245"/>
        <v>-31.881164812286642</v>
      </c>
      <c r="AC314">
        <v>1</v>
      </c>
      <c r="AD314">
        <f t="shared" si="229"/>
        <v>469.25969413049995</v>
      </c>
      <c r="AE314">
        <f t="shared" si="230"/>
        <v>-0.26536010508389291</v>
      </c>
      <c r="AF314">
        <f t="shared" si="231"/>
        <v>0.123087600027</v>
      </c>
      <c r="AG314">
        <f t="shared" si="246"/>
        <v>671.92956094597616</v>
      </c>
      <c r="AH314">
        <f t="shared" si="247"/>
        <v>-1456.7129334089461</v>
      </c>
      <c r="AJ314">
        <f t="shared" si="232"/>
        <v>18000</v>
      </c>
      <c r="AK314">
        <f t="shared" si="233"/>
        <v>35489.943848520001</v>
      </c>
      <c r="AL314">
        <v>1</v>
      </c>
      <c r="AM314">
        <f t="shared" si="234"/>
        <v>69.830064787140003</v>
      </c>
      <c r="AN314">
        <f t="shared" si="248"/>
        <v>511.81941598063383</v>
      </c>
      <c r="AO314">
        <f t="shared" si="249"/>
        <v>-250.43912872382171</v>
      </c>
      <c r="AQ314">
        <f t="shared" si="235"/>
        <v>9.9999900000099992E-3</v>
      </c>
      <c r="AR314">
        <f t="shared" si="236"/>
        <v>-9.9999900000099995</v>
      </c>
      <c r="AT314">
        <f t="shared" si="261"/>
        <v>-14560.395478084523</v>
      </c>
      <c r="AU314">
        <f t="shared" si="262"/>
        <v>-6733.8560049378457</v>
      </c>
      <c r="AV314">
        <f t="shared" si="250"/>
        <v>-2.7084109806208758</v>
      </c>
      <c r="AW314">
        <f t="shared" si="251"/>
        <v>-1321.7659700919505</v>
      </c>
      <c r="AX314">
        <f t="shared" si="252"/>
        <v>-7100.7316794450207</v>
      </c>
      <c r="AY314">
        <f t="shared" si="260"/>
        <v>-1.7548350120309528</v>
      </c>
      <c r="BA314">
        <f t="shared" si="237"/>
        <v>2.2210697747783161</v>
      </c>
      <c r="BB314">
        <f t="shared" si="253"/>
        <v>6.9312440419754529</v>
      </c>
      <c r="BC314">
        <f t="shared" si="254"/>
        <v>-0.953575968589923</v>
      </c>
      <c r="BD314">
        <f t="shared" si="238"/>
        <v>-234.63587850773274</v>
      </c>
      <c r="BF314">
        <f t="shared" si="239"/>
        <v>-38.561970574987498</v>
      </c>
      <c r="BG314">
        <f t="shared" si="240"/>
        <v>-227.35226437449404</v>
      </c>
      <c r="BH314">
        <f t="shared" si="255"/>
        <v>-47.352264374494041</v>
      </c>
      <c r="BI314">
        <f t="shared" si="256"/>
        <v>-47.352264374494041</v>
      </c>
      <c r="BJ314">
        <f t="shared" si="241"/>
        <v>0</v>
      </c>
      <c r="BK314">
        <f t="shared" si="257"/>
        <v>0</v>
      </c>
      <c r="BM314">
        <f t="shared" si="258"/>
        <v>-45.493214616962945</v>
      </c>
      <c r="BN314">
        <f t="shared" si="242"/>
        <v>-172.71638586676133</v>
      </c>
      <c r="BQ314" s="56">
        <f t="shared" si="259"/>
        <v>23.833204842260592</v>
      </c>
      <c r="BR314" s="59"/>
      <c r="BS314" s="59"/>
      <c r="BT314" s="59">
        <v>109647.82</v>
      </c>
      <c r="BU314" s="59">
        <v>6.9849899999999998</v>
      </c>
      <c r="BV314" s="59">
        <v>-129.52799999999999</v>
      </c>
      <c r="BY314" s="59"/>
      <c r="BZ314" s="59"/>
      <c r="CA314" s="59"/>
      <c r="CC314" s="59"/>
    </row>
    <row r="315" spans="1:81" x14ac:dyDescent="0.2">
      <c r="A315">
        <f t="shared" si="263"/>
        <v>505000</v>
      </c>
      <c r="B315">
        <f t="shared" si="243"/>
        <v>505</v>
      </c>
      <c r="C315">
        <f t="shared" si="212"/>
        <v>1.0073955755518498</v>
      </c>
      <c r="D315">
        <f t="shared" si="213"/>
        <v>0.12124588713264718</v>
      </c>
      <c r="F315">
        <f t="shared" si="214"/>
        <v>3.447188235248941E-4</v>
      </c>
      <c r="G315">
        <f t="shared" si="215"/>
        <v>6.9960487903098847E-3</v>
      </c>
      <c r="H315">
        <f t="shared" si="216"/>
        <v>-3.1345966012096902</v>
      </c>
      <c r="J315">
        <f t="shared" si="217"/>
        <v>15</v>
      </c>
      <c r="M315">
        <f t="shared" si="218"/>
        <v>4.4688092495092291E-4</v>
      </c>
      <c r="N315">
        <f t="shared" si="219"/>
        <v>-1.5707963250000001</v>
      </c>
      <c r="O315">
        <f t="shared" si="220"/>
        <v>473.95334602913499</v>
      </c>
      <c r="P315">
        <f t="shared" si="221"/>
        <v>1.5686864129176454</v>
      </c>
      <c r="Q315">
        <f t="shared" si="222"/>
        <v>70.535454424952221</v>
      </c>
      <c r="R315">
        <f t="shared" si="223"/>
        <v>1.5566185844051286</v>
      </c>
      <c r="S315">
        <f t="shared" si="224"/>
        <v>0.4487602187791252</v>
      </c>
      <c r="T315">
        <f t="shared" si="225"/>
        <v>-1.1054187913761808</v>
      </c>
      <c r="U315">
        <f t="shared" si="226"/>
        <v>0.41734945333772411</v>
      </c>
      <c r="V315">
        <f t="shared" si="227"/>
        <v>-1.1402696746708005</v>
      </c>
      <c r="X315">
        <f t="shared" si="244"/>
        <v>-36.727892466424464</v>
      </c>
      <c r="Y315">
        <f t="shared" si="228"/>
        <v>-212.25396341700281</v>
      </c>
      <c r="Z315">
        <f t="shared" si="245"/>
        <v>-32.253963417002808</v>
      </c>
      <c r="AC315">
        <v>1</v>
      </c>
      <c r="AD315">
        <f t="shared" si="229"/>
        <v>473.95229107180501</v>
      </c>
      <c r="AE315">
        <f t="shared" si="230"/>
        <v>-0.27069384319607914</v>
      </c>
      <c r="AF315">
        <f t="shared" si="231"/>
        <v>0.12431847602727</v>
      </c>
      <c r="AG315">
        <f t="shared" si="246"/>
        <v>660.99598674695903</v>
      </c>
      <c r="AH315">
        <f t="shared" si="247"/>
        <v>-1447.3113710809225</v>
      </c>
      <c r="AJ315">
        <f t="shared" si="232"/>
        <v>18000</v>
      </c>
      <c r="AK315">
        <f t="shared" si="233"/>
        <v>35844.843287005206</v>
      </c>
      <c r="AL315">
        <v>1</v>
      </c>
      <c r="AM315">
        <f t="shared" si="234"/>
        <v>70.528365435011409</v>
      </c>
      <c r="AN315">
        <f t="shared" si="248"/>
        <v>511.74876377092437</v>
      </c>
      <c r="AO315">
        <f t="shared" si="249"/>
        <v>-247.96053514587237</v>
      </c>
      <c r="AQ315">
        <f t="shared" si="235"/>
        <v>9.8029508842751838E-3</v>
      </c>
      <c r="AR315">
        <f t="shared" si="236"/>
        <v>-9.900980393117937</v>
      </c>
      <c r="AT315">
        <f t="shared" si="261"/>
        <v>-14323.321796616068</v>
      </c>
      <c r="AU315">
        <f t="shared" si="262"/>
        <v>-6558.6962269962441</v>
      </c>
      <c r="AV315">
        <f t="shared" si="250"/>
        <v>-2.7121858166565769</v>
      </c>
      <c r="AW315">
        <f t="shared" si="251"/>
        <v>-1283.4460370507566</v>
      </c>
      <c r="AX315">
        <f t="shared" si="252"/>
        <v>-7034.6290101976701</v>
      </c>
      <c r="AY315">
        <f t="shared" si="260"/>
        <v>-1.7512583283141476</v>
      </c>
      <c r="BA315">
        <f t="shared" si="237"/>
        <v>2.203061020006492</v>
      </c>
      <c r="BB315">
        <f t="shared" si="253"/>
        <v>6.8605305266294838</v>
      </c>
      <c r="BC315">
        <f t="shared" si="254"/>
        <v>-0.96092748834242925</v>
      </c>
      <c r="BD315">
        <f t="shared" si="238"/>
        <v>-235.05708956303971</v>
      </c>
      <c r="BF315">
        <f t="shared" si="239"/>
        <v>-38.804343531898809</v>
      </c>
      <c r="BG315">
        <f t="shared" si="240"/>
        <v>-227.7093678696711</v>
      </c>
      <c r="BH315">
        <f t="shared" si="255"/>
        <v>-47.709367869671098</v>
      </c>
      <c r="BI315">
        <f t="shared" si="256"/>
        <v>-47.709367869671098</v>
      </c>
      <c r="BJ315">
        <f t="shared" si="241"/>
        <v>0</v>
      </c>
      <c r="BK315">
        <f t="shared" si="257"/>
        <v>0</v>
      </c>
      <c r="BM315">
        <f t="shared" si="258"/>
        <v>-45.664874058528291</v>
      </c>
      <c r="BN315">
        <f t="shared" si="242"/>
        <v>-172.65227830663142</v>
      </c>
      <c r="BQ315" s="56">
        <f t="shared" si="259"/>
        <v>23.762491326914621</v>
      </c>
      <c r="BR315" s="59"/>
      <c r="BS315" s="59"/>
      <c r="BT315" s="59">
        <v>112201.845</v>
      </c>
      <c r="BU315" s="59">
        <v>7.2120699999999998</v>
      </c>
      <c r="BV315" s="59">
        <v>-129.44300000000001</v>
      </c>
      <c r="BY315" s="59"/>
      <c r="BZ315" s="59"/>
      <c r="CA315" s="59"/>
      <c r="CC315" s="59"/>
    </row>
    <row r="316" spans="1:81" x14ac:dyDescent="0.2">
      <c r="A316">
        <f t="shared" si="263"/>
        <v>510000</v>
      </c>
      <c r="B316">
        <f t="shared" si="243"/>
        <v>510</v>
      </c>
      <c r="C316">
        <f t="shared" si="212"/>
        <v>1.0075421966921487</v>
      </c>
      <c r="D316">
        <f t="shared" si="213"/>
        <v>0.12243443839022766</v>
      </c>
      <c r="F316">
        <f t="shared" si="214"/>
        <v>3.379906302782612E-4</v>
      </c>
      <c r="G316">
        <f t="shared" si="215"/>
        <v>6.9274152366600979E-3</v>
      </c>
      <c r="H316">
        <f t="shared" si="216"/>
        <v>-3.1346652347633399</v>
      </c>
      <c r="J316">
        <f t="shared" si="217"/>
        <v>15</v>
      </c>
      <c r="M316">
        <f t="shared" si="218"/>
        <v>4.4249973941218838E-4</v>
      </c>
      <c r="N316">
        <f t="shared" si="219"/>
        <v>-1.5707963250000001</v>
      </c>
      <c r="O316">
        <f t="shared" si="220"/>
        <v>478.64593262774372</v>
      </c>
      <c r="P316">
        <f t="shared" si="221"/>
        <v>1.5687070982873237</v>
      </c>
      <c r="Q316">
        <f t="shared" si="222"/>
        <v>71.233685579804785</v>
      </c>
      <c r="R316">
        <f t="shared" si="223"/>
        <v>1.5567575635268176</v>
      </c>
      <c r="S316">
        <f t="shared" si="224"/>
        <v>0.44523622168242072</v>
      </c>
      <c r="T316">
        <f t="shared" si="225"/>
        <v>-1.1093582701984845</v>
      </c>
      <c r="U316">
        <f t="shared" si="226"/>
        <v>0.41396182850380392</v>
      </c>
      <c r="V316">
        <f t="shared" si="227"/>
        <v>-1.1439942990052612</v>
      </c>
      <c r="X316">
        <f t="shared" si="244"/>
        <v>-36.951544877010768</v>
      </c>
      <c r="Y316">
        <f t="shared" si="228"/>
        <v>-212.61976952272562</v>
      </c>
      <c r="Z316">
        <f t="shared" si="245"/>
        <v>-32.619769522725619</v>
      </c>
      <c r="AC316">
        <v>1</v>
      </c>
      <c r="AD316">
        <f t="shared" si="229"/>
        <v>478.64488801311001</v>
      </c>
      <c r="AE316">
        <f t="shared" si="230"/>
        <v>-0.27608065332928206</v>
      </c>
      <c r="AF316">
        <f t="shared" si="231"/>
        <v>0.12554935202754</v>
      </c>
      <c r="AG316">
        <f t="shared" si="246"/>
        <v>650.30893020689916</v>
      </c>
      <c r="AH316">
        <f t="shared" si="247"/>
        <v>-1437.9820477112874</v>
      </c>
      <c r="AJ316">
        <f t="shared" si="232"/>
        <v>18000</v>
      </c>
      <c r="AK316">
        <f t="shared" si="233"/>
        <v>36199.742725490396</v>
      </c>
      <c r="AL316">
        <v>1</v>
      </c>
      <c r="AM316">
        <f t="shared" si="234"/>
        <v>71.226666082882801</v>
      </c>
      <c r="AN316">
        <f t="shared" si="248"/>
        <v>511.68017881813074</v>
      </c>
      <c r="AO316">
        <f t="shared" si="249"/>
        <v>-245.53051241836326</v>
      </c>
      <c r="AQ316">
        <f t="shared" si="235"/>
        <v>9.6116785739344731E-3</v>
      </c>
      <c r="AR316">
        <f t="shared" si="236"/>
        <v>-9.8039121454131628</v>
      </c>
      <c r="AT316">
        <f t="shared" si="261"/>
        <v>-14091.599102031872</v>
      </c>
      <c r="AU316">
        <f t="shared" si="262"/>
        <v>-6389.3930403637487</v>
      </c>
      <c r="AV316">
        <f t="shared" si="250"/>
        <v>-2.715899462464975</v>
      </c>
      <c r="AW316">
        <f t="shared" si="251"/>
        <v>-1246.3196222973265</v>
      </c>
      <c r="AX316">
        <f t="shared" si="252"/>
        <v>-6969.7336279237961</v>
      </c>
      <c r="AY316">
        <f t="shared" si="260"/>
        <v>-1.7477449300657535</v>
      </c>
      <c r="BA316">
        <f t="shared" si="237"/>
        <v>2.1852885867834546</v>
      </c>
      <c r="BB316">
        <f t="shared" si="253"/>
        <v>6.7901759508122108</v>
      </c>
      <c r="BC316">
        <f t="shared" si="254"/>
        <v>-0.96815453239922156</v>
      </c>
      <c r="BD316">
        <f t="shared" si="238"/>
        <v>-235.47116868632216</v>
      </c>
      <c r="BF316">
        <f t="shared" si="239"/>
        <v>-39.044640771964666</v>
      </c>
      <c r="BG316">
        <f t="shared" si="240"/>
        <v>-228.05928043504304</v>
      </c>
      <c r="BH316">
        <f t="shared" si="255"/>
        <v>-48.059280435043036</v>
      </c>
      <c r="BI316">
        <f t="shared" si="256"/>
        <v>-48.059280435043036</v>
      </c>
      <c r="BJ316">
        <f t="shared" si="241"/>
        <v>0</v>
      </c>
      <c r="BK316">
        <f t="shared" si="257"/>
        <v>0</v>
      </c>
      <c r="BM316">
        <f t="shared" si="258"/>
        <v>-45.834816722776878</v>
      </c>
      <c r="BN316">
        <f t="shared" si="242"/>
        <v>-172.58811174872088</v>
      </c>
      <c r="BQ316" s="56">
        <f t="shared" si="259"/>
        <v>23.692136751097344</v>
      </c>
      <c r="BR316" s="59"/>
      <c r="BS316" s="59"/>
      <c r="BT316" s="59">
        <v>114815.36199999999</v>
      </c>
      <c r="BU316" s="59">
        <v>7.47248</v>
      </c>
      <c r="BV316" s="59">
        <v>-129.58500000000001</v>
      </c>
      <c r="BY316" s="59"/>
      <c r="BZ316" s="59"/>
      <c r="CA316" s="59"/>
      <c r="CC316" s="59"/>
    </row>
    <row r="317" spans="1:81" x14ac:dyDescent="0.2">
      <c r="A317">
        <f t="shared" si="263"/>
        <v>515000</v>
      </c>
      <c r="B317">
        <f t="shared" si="243"/>
        <v>515</v>
      </c>
      <c r="C317">
        <f t="shared" si="212"/>
        <v>1.0076902407256929</v>
      </c>
      <c r="D317">
        <f t="shared" si="213"/>
        <v>0.12362264209573945</v>
      </c>
      <c r="F317">
        <f t="shared" si="214"/>
        <v>3.314575322647987E-4</v>
      </c>
      <c r="G317">
        <f t="shared" si="215"/>
        <v>6.8601156609467201E-3</v>
      </c>
      <c r="H317">
        <f t="shared" si="216"/>
        <v>-3.1347325343390535</v>
      </c>
      <c r="J317">
        <f t="shared" si="217"/>
        <v>15</v>
      </c>
      <c r="M317">
        <f t="shared" si="218"/>
        <v>4.3820362543731274E-4</v>
      </c>
      <c r="N317">
        <f t="shared" si="219"/>
        <v>-1.5707963250000001</v>
      </c>
      <c r="O317">
        <f t="shared" si="220"/>
        <v>483.33851942718093</v>
      </c>
      <c r="P317">
        <f t="shared" si="221"/>
        <v>1.5687273820010748</v>
      </c>
      <c r="Q317">
        <f t="shared" si="222"/>
        <v>71.931918083838823</v>
      </c>
      <c r="R317">
        <f t="shared" si="223"/>
        <v>1.5568938445514844</v>
      </c>
      <c r="S317">
        <f t="shared" si="224"/>
        <v>0.44176044299929856</v>
      </c>
      <c r="T317">
        <f t="shared" si="225"/>
        <v>-1.1132363005977226</v>
      </c>
      <c r="U317">
        <f t="shared" si="226"/>
        <v>0.41062319596259311</v>
      </c>
      <c r="V317">
        <f t="shared" si="227"/>
        <v>-1.1476588947599193</v>
      </c>
      <c r="X317">
        <f t="shared" si="244"/>
        <v>-37.173489545904637</v>
      </c>
      <c r="Y317">
        <f t="shared" si="228"/>
        <v>-212.97873659359095</v>
      </c>
      <c r="Z317">
        <f t="shared" si="245"/>
        <v>-32.978736593590952</v>
      </c>
      <c r="AC317">
        <v>1</v>
      </c>
      <c r="AD317">
        <f t="shared" si="229"/>
        <v>483.33748495441495</v>
      </c>
      <c r="AE317">
        <f t="shared" si="230"/>
        <v>-0.28152053548350187</v>
      </c>
      <c r="AF317">
        <f t="shared" si="231"/>
        <v>0.12678022802781</v>
      </c>
      <c r="AG317">
        <f t="shared" si="246"/>
        <v>639.86165127791935</v>
      </c>
      <c r="AH317">
        <f t="shared" si="247"/>
        <v>-1428.7258945723361</v>
      </c>
      <c r="AJ317">
        <f t="shared" si="232"/>
        <v>18000</v>
      </c>
      <c r="AK317">
        <f t="shared" si="233"/>
        <v>36554.642163975601</v>
      </c>
      <c r="AL317">
        <v>1</v>
      </c>
      <c r="AM317">
        <f t="shared" si="234"/>
        <v>71.924966730754207</v>
      </c>
      <c r="AN317">
        <f t="shared" si="248"/>
        <v>511.61358125742521</v>
      </c>
      <c r="AO317">
        <f t="shared" si="249"/>
        <v>-243.14764696672094</v>
      </c>
      <c r="AQ317">
        <f t="shared" si="235"/>
        <v>9.4259502064754398E-3</v>
      </c>
      <c r="AR317">
        <f t="shared" si="236"/>
        <v>-9.7087287126697017</v>
      </c>
      <c r="AT317">
        <f t="shared" si="261"/>
        <v>-13865.080811105165</v>
      </c>
      <c r="AU317">
        <f t="shared" si="262"/>
        <v>-6225.7102850391248</v>
      </c>
      <c r="AV317">
        <f t="shared" si="250"/>
        <v>-2.7195532928672765</v>
      </c>
      <c r="AW317">
        <f t="shared" si="251"/>
        <v>-1210.3378747477734</v>
      </c>
      <c r="AX317">
        <f t="shared" si="252"/>
        <v>-6906.0125326405851</v>
      </c>
      <c r="AY317">
        <f t="shared" si="260"/>
        <v>-1.7442928679647418</v>
      </c>
      <c r="BA317">
        <f t="shared" si="237"/>
        <v>2.167749769607938</v>
      </c>
      <c r="BB317">
        <f t="shared" si="253"/>
        <v>6.7201829747576749</v>
      </c>
      <c r="BC317">
        <f t="shared" si="254"/>
        <v>-0.97526042490253473</v>
      </c>
      <c r="BD317">
        <f t="shared" si="238"/>
        <v>-235.87830633690089</v>
      </c>
      <c r="BF317">
        <f t="shared" si="239"/>
        <v>-39.282892940227597</v>
      </c>
      <c r="BG317">
        <f t="shared" si="240"/>
        <v>-228.40219500967217</v>
      </c>
      <c r="BH317">
        <f t="shared" si="255"/>
        <v>-48.40219500967217</v>
      </c>
      <c r="BI317">
        <f t="shared" si="256"/>
        <v>-48.40219500967217</v>
      </c>
      <c r="BJ317">
        <f t="shared" si="241"/>
        <v>0</v>
      </c>
      <c r="BK317">
        <f t="shared" si="257"/>
        <v>0</v>
      </c>
      <c r="BM317">
        <f t="shared" si="258"/>
        <v>-46.003075914985274</v>
      </c>
      <c r="BN317">
        <f t="shared" si="242"/>
        <v>-172.52388867277128</v>
      </c>
      <c r="BQ317" s="56">
        <f t="shared" si="259"/>
        <v>23.622143775042808</v>
      </c>
      <c r="BR317" s="59"/>
      <c r="BS317" s="59"/>
      <c r="BT317" s="59">
        <v>117489.755</v>
      </c>
      <c r="BU317" s="59">
        <v>7.6753600000000004</v>
      </c>
      <c r="BV317" s="59">
        <v>-129.61699999999999</v>
      </c>
      <c r="BY317" s="59"/>
      <c r="BZ317" s="59"/>
      <c r="CA317" s="59"/>
      <c r="CC317" s="59"/>
    </row>
    <row r="318" spans="1:81" x14ac:dyDescent="0.2">
      <c r="A318">
        <f t="shared" si="263"/>
        <v>520000</v>
      </c>
      <c r="B318">
        <f t="shared" si="243"/>
        <v>520</v>
      </c>
      <c r="C318">
        <f t="shared" si="212"/>
        <v>1.0078397070254457</v>
      </c>
      <c r="D318">
        <f t="shared" si="213"/>
        <v>0.12481049504800716</v>
      </c>
      <c r="F318">
        <f t="shared" si="214"/>
        <v>3.2511205817977617E-4</v>
      </c>
      <c r="G318">
        <f t="shared" si="215"/>
        <v>6.7941115342032019E-3</v>
      </c>
      <c r="H318">
        <f t="shared" si="216"/>
        <v>-3.1347985384657968</v>
      </c>
      <c r="J318">
        <f t="shared" si="217"/>
        <v>15</v>
      </c>
      <c r="M318">
        <f t="shared" si="218"/>
        <v>4.3399012903887706E-4</v>
      </c>
      <c r="N318">
        <f t="shared" si="219"/>
        <v>-1.5707963250000001</v>
      </c>
      <c r="O318">
        <f t="shared" si="220"/>
        <v>488.03110642165336</v>
      </c>
      <c r="P318">
        <f t="shared" si="221"/>
        <v>1.5687472756450611</v>
      </c>
      <c r="Q318">
        <f t="shared" si="222"/>
        <v>72.630151898143154</v>
      </c>
      <c r="R318">
        <f t="shared" si="223"/>
        <v>1.5570275052888882</v>
      </c>
      <c r="S318">
        <f t="shared" si="224"/>
        <v>0.4383320722658734</v>
      </c>
      <c r="T318">
        <f t="shared" si="225"/>
        <v>-1.1170541952058215</v>
      </c>
      <c r="U318">
        <f t="shared" si="226"/>
        <v>0.40733264566103777</v>
      </c>
      <c r="V318">
        <f t="shared" si="227"/>
        <v>-1.1512648054383725</v>
      </c>
      <c r="X318">
        <f t="shared" si="244"/>
        <v>-37.393748473291396</v>
      </c>
      <c r="Y318">
        <f t="shared" si="228"/>
        <v>-213.33101408390618</v>
      </c>
      <c r="Z318">
        <f t="shared" si="245"/>
        <v>-33.331014083906183</v>
      </c>
      <c r="AC318">
        <v>1</v>
      </c>
      <c r="AD318">
        <f t="shared" si="229"/>
        <v>488.03008189572</v>
      </c>
      <c r="AE318">
        <f t="shared" si="230"/>
        <v>-0.28701348965873852</v>
      </c>
      <c r="AF318">
        <f t="shared" si="231"/>
        <v>0.12801110402808</v>
      </c>
      <c r="AG318">
        <f t="shared" si="246"/>
        <v>629.64761215094802</v>
      </c>
      <c r="AH318">
        <f t="shared" si="247"/>
        <v>-1419.5437169175161</v>
      </c>
      <c r="AJ318">
        <f t="shared" si="232"/>
        <v>18000</v>
      </c>
      <c r="AK318">
        <f t="shared" si="233"/>
        <v>36909.541602460798</v>
      </c>
      <c r="AL318">
        <v>1</v>
      </c>
      <c r="AM318">
        <f t="shared" si="234"/>
        <v>72.623267378625613</v>
      </c>
      <c r="AN318">
        <f t="shared" si="248"/>
        <v>511.54889504361341</v>
      </c>
      <c r="AO318">
        <f t="shared" si="249"/>
        <v>-240.81057953202981</v>
      </c>
      <c r="AQ318">
        <f t="shared" si="235"/>
        <v>9.2455535821435071E-3</v>
      </c>
      <c r="AR318">
        <f t="shared" si="236"/>
        <v>-9.6153757254292476</v>
      </c>
      <c r="AT318">
        <f t="shared" si="261"/>
        <v>-13643.624756098281</v>
      </c>
      <c r="AU318">
        <f t="shared" si="262"/>
        <v>-6067.4228329476709</v>
      </c>
      <c r="AV318">
        <f t="shared" si="250"/>
        <v>-2.7231486452178979</v>
      </c>
      <c r="AW318">
        <f t="shared" si="251"/>
        <v>-1175.4543979578214</v>
      </c>
      <c r="AX318">
        <f t="shared" si="252"/>
        <v>-6843.4339438955367</v>
      </c>
      <c r="AY318">
        <f t="shared" si="260"/>
        <v>-1.7409002661450115</v>
      </c>
      <c r="BA318">
        <f t="shared" si="237"/>
        <v>2.1504417880727007</v>
      </c>
      <c r="BB318">
        <f t="shared" si="253"/>
        <v>6.6505538161004623</v>
      </c>
      <c r="BC318">
        <f t="shared" si="254"/>
        <v>-0.98224837907288642</v>
      </c>
      <c r="BD318">
        <f t="shared" si="238"/>
        <v>-236.27868661875038</v>
      </c>
      <c r="BF318">
        <f t="shared" si="239"/>
        <v>-39.519130158126082</v>
      </c>
      <c r="BG318">
        <f t="shared" si="240"/>
        <v>-228.73829808849396</v>
      </c>
      <c r="BH318">
        <f t="shared" si="255"/>
        <v>-48.738298088493963</v>
      </c>
      <c r="BI318">
        <f t="shared" si="256"/>
        <v>-48.738298088493963</v>
      </c>
      <c r="BJ318">
        <f t="shared" si="241"/>
        <v>0</v>
      </c>
      <c r="BK318">
        <f t="shared" si="257"/>
        <v>0</v>
      </c>
      <c r="BM318">
        <f t="shared" si="258"/>
        <v>-46.169683974226544</v>
      </c>
      <c r="BN318">
        <f t="shared" si="242"/>
        <v>-172.45961146974355</v>
      </c>
      <c r="BQ318" s="56">
        <f t="shared" si="259"/>
        <v>23.552514616385597</v>
      </c>
      <c r="BR318" s="59"/>
      <c r="BS318" s="59"/>
      <c r="BT318" s="59">
        <v>120226.443</v>
      </c>
      <c r="BU318" s="59">
        <v>7.9446199999999996</v>
      </c>
      <c r="BV318" s="59">
        <v>-129.863</v>
      </c>
      <c r="BY318" s="59"/>
      <c r="BZ318" s="59"/>
      <c r="CA318" s="59"/>
      <c r="CC318" s="59"/>
    </row>
    <row r="319" spans="1:81" x14ac:dyDescent="0.2">
      <c r="A319">
        <f t="shared" si="263"/>
        <v>525000</v>
      </c>
      <c r="B319">
        <f t="shared" si="243"/>
        <v>525</v>
      </c>
      <c r="C319">
        <f t="shared" si="212"/>
        <v>1.0079905949587193</v>
      </c>
      <c r="D319">
        <f t="shared" si="213"/>
        <v>0.12599799405170439</v>
      </c>
      <c r="F319">
        <f t="shared" si="214"/>
        <v>3.1894709100752262E-4</v>
      </c>
      <c r="G319">
        <f t="shared" si="215"/>
        <v>6.7293657975267488E-3</v>
      </c>
      <c r="H319">
        <f t="shared" si="216"/>
        <v>-3.1348632842024733</v>
      </c>
      <c r="J319">
        <f t="shared" si="217"/>
        <v>15</v>
      </c>
      <c r="M319">
        <f t="shared" si="218"/>
        <v>4.2985688971469731E-4</v>
      </c>
      <c r="N319">
        <f t="shared" si="219"/>
        <v>-1.5707963250000001</v>
      </c>
      <c r="O319">
        <f t="shared" si="220"/>
        <v>492.72369360558872</v>
      </c>
      <c r="P319">
        <f t="shared" si="221"/>
        <v>1.5687667903640714</v>
      </c>
      <c r="Q319">
        <f t="shared" si="222"/>
        <v>73.328386985288503</v>
      </c>
      <c r="R319">
        <f t="shared" si="223"/>
        <v>1.5571586205855443</v>
      </c>
      <c r="S319">
        <f t="shared" si="224"/>
        <v>0.43495031065858109</v>
      </c>
      <c r="T319">
        <f t="shared" si="225"/>
        <v>-1.1208132332744078</v>
      </c>
      <c r="U319">
        <f t="shared" si="226"/>
        <v>0.40408928456837651</v>
      </c>
      <c r="V319">
        <f t="shared" si="227"/>
        <v>-1.1548133379638308</v>
      </c>
      <c r="X319">
        <f t="shared" si="244"/>
        <v>-37.612343308426752</v>
      </c>
      <c r="Y319">
        <f t="shared" si="228"/>
        <v>-213.67674755003347</v>
      </c>
      <c r="Z319">
        <f t="shared" si="245"/>
        <v>-33.676747550033468</v>
      </c>
      <c r="AC319">
        <v>1</v>
      </c>
      <c r="AD319">
        <f t="shared" si="229"/>
        <v>492.722678837025</v>
      </c>
      <c r="AE319">
        <f t="shared" si="230"/>
        <v>-0.2925595158549919</v>
      </c>
      <c r="AF319">
        <f t="shared" si="231"/>
        <v>0.12924198002835</v>
      </c>
      <c r="AG319">
        <f t="shared" si="246"/>
        <v>619.66047144703452</v>
      </c>
      <c r="AH319">
        <f t="shared" si="247"/>
        <v>-1410.4362025483872</v>
      </c>
      <c r="AJ319">
        <f t="shared" si="232"/>
        <v>18000</v>
      </c>
      <c r="AK319">
        <f t="shared" si="233"/>
        <v>37264.441040946003</v>
      </c>
      <c r="AL319">
        <v>1</v>
      </c>
      <c r="AM319">
        <f t="shared" si="234"/>
        <v>73.321568026497005</v>
      </c>
      <c r="AN319">
        <f t="shared" si="248"/>
        <v>511.48604773401314</v>
      </c>
      <c r="AO319">
        <f t="shared" si="249"/>
        <v>-238.51800258753298</v>
      </c>
      <c r="AQ319">
        <f t="shared" si="235"/>
        <v>9.0702865575632129E-3</v>
      </c>
      <c r="AR319">
        <f t="shared" si="236"/>
        <v>-9.5238008854413732</v>
      </c>
      <c r="AT319">
        <f t="shared" si="261"/>
        <v>-13427.093056644479</v>
      </c>
      <c r="AU319">
        <f t="shared" si="262"/>
        <v>-5914.3160071685616</v>
      </c>
      <c r="AV319">
        <f t="shared" si="250"/>
        <v>-2.7266868205251171</v>
      </c>
      <c r="AW319">
        <f t="shared" si="251"/>
        <v>-1141.6251049927785</v>
      </c>
      <c r="AX319">
        <f t="shared" si="252"/>
        <v>-6781.9672430161354</v>
      </c>
      <c r="AY319">
        <f t="shared" si="260"/>
        <v>-1.7375653191095641</v>
      </c>
      <c r="BA319">
        <f t="shared" si="237"/>
        <v>2.1333617990149012</v>
      </c>
      <c r="BB319">
        <f t="shared" si="253"/>
        <v>6.5812902828402864</v>
      </c>
      <c r="BC319">
        <f t="shared" si="254"/>
        <v>-0.98912150141555299</v>
      </c>
      <c r="BD319">
        <f t="shared" si="238"/>
        <v>-236.67248752151221</v>
      </c>
      <c r="BF319">
        <f t="shared" si="239"/>
        <v>-39.753382027575469</v>
      </c>
      <c r="BG319">
        <f t="shared" si="240"/>
        <v>-229.06776996754746</v>
      </c>
      <c r="BH319">
        <f t="shared" si="255"/>
        <v>-49.067769967547463</v>
      </c>
      <c r="BI319">
        <f t="shared" si="256"/>
        <v>-49.067769967547463</v>
      </c>
      <c r="BJ319">
        <f t="shared" si="241"/>
        <v>0</v>
      </c>
      <c r="BK319">
        <f t="shared" si="257"/>
        <v>0</v>
      </c>
      <c r="BM319">
        <f t="shared" si="258"/>
        <v>-46.334672310415755</v>
      </c>
      <c r="BN319">
        <f t="shared" si="242"/>
        <v>-172.39528244603525</v>
      </c>
      <c r="BQ319" s="56">
        <f t="shared" si="259"/>
        <v>23.483251083125424</v>
      </c>
      <c r="BR319" s="59"/>
      <c r="BS319" s="59"/>
      <c r="BT319" s="59">
        <v>123026.87699999999</v>
      </c>
      <c r="BU319" s="59">
        <v>8.1865900000000007</v>
      </c>
      <c r="BV319" s="59">
        <v>-130.31299999999999</v>
      </c>
      <c r="BY319" s="59"/>
      <c r="BZ319" s="59"/>
      <c r="CA319" s="59"/>
      <c r="CC319" s="59"/>
    </row>
    <row r="320" spans="1:81" x14ac:dyDescent="0.2">
      <c r="A320">
        <f t="shared" si="263"/>
        <v>530000</v>
      </c>
      <c r="B320">
        <f t="shared" si="243"/>
        <v>530</v>
      </c>
      <c r="C320">
        <f t="shared" si="212"/>
        <v>1.0081429038871905</v>
      </c>
      <c r="D320">
        <f t="shared" si="213"/>
        <v>0.1271851359174016</v>
      </c>
      <c r="F320">
        <f t="shared" si="214"/>
        <v>3.1295584804859312E-4</v>
      </c>
      <c r="G320">
        <f t="shared" si="215"/>
        <v>6.6658427926076288E-3</v>
      </c>
      <c r="H320">
        <f t="shared" si="216"/>
        <v>-3.1349268072073926</v>
      </c>
      <c r="J320">
        <f t="shared" si="217"/>
        <v>15</v>
      </c>
      <c r="M320">
        <f t="shared" si="218"/>
        <v>4.2580163603814355E-4</v>
      </c>
      <c r="N320">
        <f t="shared" si="219"/>
        <v>-1.5707963250000001</v>
      </c>
      <c r="O320">
        <f t="shared" si="220"/>
        <v>497.41628097362485</v>
      </c>
      <c r="P320">
        <f t="shared" si="221"/>
        <v>1.5687859368823385</v>
      </c>
      <c r="Q320">
        <f t="shared" si="222"/>
        <v>74.026623309257772</v>
      </c>
      <c r="R320">
        <f t="shared" si="223"/>
        <v>1.5572872624644463</v>
      </c>
      <c r="S320">
        <f t="shared" si="224"/>
        <v>0.43161437113510159</v>
      </c>
      <c r="T320">
        <f t="shared" si="225"/>
        <v>-1.1245146615715391</v>
      </c>
      <c r="U320">
        <f t="shared" si="226"/>
        <v>0.40089223655858736</v>
      </c>
      <c r="V320">
        <f t="shared" si="227"/>
        <v>-1.1583057637787548</v>
      </c>
      <c r="X320">
        <f t="shared" si="244"/>
        <v>-37.829295355071608</v>
      </c>
      <c r="Y320">
        <f t="shared" si="228"/>
        <v>-214.01607875955207</v>
      </c>
      <c r="Z320">
        <f t="shared" si="245"/>
        <v>-34.016078759552073</v>
      </c>
      <c r="AC320">
        <v>1</v>
      </c>
      <c r="AD320">
        <f t="shared" si="229"/>
        <v>497.41527577833006</v>
      </c>
      <c r="AE320">
        <f t="shared" si="230"/>
        <v>-0.29815861407226202</v>
      </c>
      <c r="AF320">
        <f t="shared" si="231"/>
        <v>0.13047285602862002</v>
      </c>
      <c r="AG320">
        <f t="shared" si="246"/>
        <v>609.89407850477028</v>
      </c>
      <c r="AH320">
        <f t="shared" si="247"/>
        <v>-1401.4039298546011</v>
      </c>
      <c r="AJ320">
        <f t="shared" si="232"/>
        <v>18000</v>
      </c>
      <c r="AK320">
        <f t="shared" si="233"/>
        <v>37619.340479431201</v>
      </c>
      <c r="AL320">
        <v>1</v>
      </c>
      <c r="AM320">
        <f t="shared" si="234"/>
        <v>74.019868674368411</v>
      </c>
      <c r="AN320">
        <f t="shared" si="248"/>
        <v>511.42497028559319</v>
      </c>
      <c r="AO320">
        <f t="shared" si="249"/>
        <v>-236.26865790117714</v>
      </c>
      <c r="AQ320">
        <f t="shared" si="235"/>
        <v>8.8999564792128158E-3</v>
      </c>
      <c r="AR320">
        <f t="shared" si="236"/>
        <v>-9.4339538679655863</v>
      </c>
      <c r="AT320">
        <f t="shared" si="261"/>
        <v>-13215.351993878365</v>
      </c>
      <c r="AU320">
        <f t="shared" si="262"/>
        <v>-5766.1850349448887</v>
      </c>
      <c r="AV320">
        <f t="shared" si="250"/>
        <v>-2.7301690845396673</v>
      </c>
      <c r="AW320">
        <f t="shared" si="251"/>
        <v>-1108.808083112167</v>
      </c>
      <c r="AX320">
        <f t="shared" si="252"/>
        <v>-6721.5829187304753</v>
      </c>
      <c r="AY320">
        <f t="shared" si="260"/>
        <v>-1.7342862887762418</v>
      </c>
      <c r="BA320">
        <f t="shared" si="237"/>
        <v>2.1165069075437177</v>
      </c>
      <c r="BB320">
        <f t="shared" si="253"/>
        <v>6.5123938039749705</v>
      </c>
      <c r="BC320">
        <f t="shared" si="254"/>
        <v>-0.99588279576342553</v>
      </c>
      <c r="BD320">
        <f t="shared" si="238"/>
        <v>-237.05988115213364</v>
      </c>
      <c r="BF320">
        <f t="shared" si="239"/>
        <v>-39.985677635621556</v>
      </c>
      <c r="BG320">
        <f t="shared" si="240"/>
        <v>-229.39078497959144</v>
      </c>
      <c r="BH320">
        <f t="shared" si="255"/>
        <v>-49.390784979591444</v>
      </c>
      <c r="BI320">
        <f t="shared" si="256"/>
        <v>-49.390784979591444</v>
      </c>
      <c r="BJ320">
        <f t="shared" si="241"/>
        <v>0</v>
      </c>
      <c r="BK320">
        <f t="shared" si="257"/>
        <v>0</v>
      </c>
      <c r="BM320">
        <f t="shared" si="258"/>
        <v>-46.498071439596522</v>
      </c>
      <c r="BN320">
        <f t="shared" si="242"/>
        <v>-172.3309038274578</v>
      </c>
      <c r="BQ320" s="56">
        <f t="shared" si="259"/>
        <v>23.414354604260108</v>
      </c>
      <c r="BR320" s="59"/>
      <c r="BS320" s="59"/>
      <c r="BT320" s="59">
        <v>125892.541</v>
      </c>
      <c r="BU320" s="59">
        <v>8.4445800000000002</v>
      </c>
      <c r="BV320" s="59">
        <v>-130.77099999999999</v>
      </c>
      <c r="BY320" s="59"/>
      <c r="BZ320" s="59"/>
      <c r="CA320" s="59"/>
      <c r="CC320" s="59"/>
    </row>
    <row r="321" spans="1:81" x14ac:dyDescent="0.2">
      <c r="A321">
        <f t="shared" si="263"/>
        <v>535000</v>
      </c>
      <c r="B321">
        <f t="shared" si="243"/>
        <v>535</v>
      </c>
      <c r="C321">
        <f t="shared" si="212"/>
        <v>1.0082966331669105</v>
      </c>
      <c r="D321">
        <f t="shared" si="213"/>
        <v>0.12837191746161394</v>
      </c>
      <c r="F321">
        <f t="shared" si="214"/>
        <v>3.0713186224843805E-4</v>
      </c>
      <c r="G321">
        <f t="shared" si="215"/>
        <v>6.6035081961622636E-3</v>
      </c>
      <c r="H321">
        <f t="shared" si="216"/>
        <v>-3.134989141803838</v>
      </c>
      <c r="J321">
        <f t="shared" si="217"/>
        <v>15</v>
      </c>
      <c r="M321">
        <f t="shared" si="218"/>
        <v>4.2182218149573102E-4</v>
      </c>
      <c r="N321">
        <f t="shared" si="219"/>
        <v>-1.5707963250000001</v>
      </c>
      <c r="O321">
        <f t="shared" si="220"/>
        <v>502.10886852060003</v>
      </c>
      <c r="P321">
        <f t="shared" si="221"/>
        <v>1.5688047255231925</v>
      </c>
      <c r="Q321">
        <f t="shared" si="222"/>
        <v>74.724860835379928</v>
      </c>
      <c r="R321">
        <f t="shared" si="223"/>
        <v>1.5574135002569589</v>
      </c>
      <c r="S321">
        <f t="shared" si="224"/>
        <v>0.42832347854265285</v>
      </c>
      <c r="T321">
        <f t="shared" si="225"/>
        <v>-1.1281596952580999</v>
      </c>
      <c r="U321">
        <f t="shared" si="226"/>
        <v>0.3977406422715643</v>
      </c>
      <c r="V321">
        <f t="shared" si="227"/>
        <v>-1.1617433199123341</v>
      </c>
      <c r="X321">
        <f t="shared" si="244"/>
        <v>-38.044625576873599</v>
      </c>
      <c r="Y321">
        <f t="shared" si="228"/>
        <v>-214.34914579770589</v>
      </c>
      <c r="Z321">
        <f t="shared" si="245"/>
        <v>-34.349145797705887</v>
      </c>
      <c r="AC321">
        <v>1</v>
      </c>
      <c r="AD321">
        <f t="shared" si="229"/>
        <v>502.107872719635</v>
      </c>
      <c r="AE321">
        <f t="shared" si="230"/>
        <v>-0.30381078431054898</v>
      </c>
      <c r="AF321">
        <f t="shared" si="231"/>
        <v>0.13170373202888999</v>
      </c>
      <c r="AG321">
        <f t="shared" si="246"/>
        <v>600.34246777121746</v>
      </c>
      <c r="AH321">
        <f t="shared" si="247"/>
        <v>-1392.4473753581733</v>
      </c>
      <c r="AJ321">
        <f t="shared" si="232"/>
        <v>18000</v>
      </c>
      <c r="AK321">
        <f t="shared" si="233"/>
        <v>37974.239917916399</v>
      </c>
      <c r="AL321">
        <v>1</v>
      </c>
      <c r="AM321">
        <f t="shared" si="234"/>
        <v>74.718169322239802</v>
      </c>
      <c r="AN321">
        <f t="shared" si="248"/>
        <v>511.36559686531814</v>
      </c>
      <c r="AO321">
        <f t="shared" si="249"/>
        <v>-234.06133423465991</v>
      </c>
      <c r="AQ321">
        <f t="shared" si="235"/>
        <v>8.7343796537866589E-3</v>
      </c>
      <c r="AR321">
        <f t="shared" si="236"/>
        <v>-9.3457862295517256</v>
      </c>
      <c r="AT321">
        <f t="shared" si="261"/>
        <v>-13008.271886962053</v>
      </c>
      <c r="AU321">
        <f t="shared" si="262"/>
        <v>-5622.8345323356425</v>
      </c>
      <c r="AV321">
        <f t="shared" si="250"/>
        <v>-2.7335966688117814</v>
      </c>
      <c r="AW321">
        <f t="shared" si="251"/>
        <v>-1076.9634675247328</v>
      </c>
      <c r="AX321">
        <f t="shared" si="252"/>
        <v>-6662.2525159246507</v>
      </c>
      <c r="AY321">
        <f t="shared" si="260"/>
        <v>-1.731061501650367</v>
      </c>
      <c r="BA321">
        <f t="shared" si="237"/>
        <v>2.0998741770400176</v>
      </c>
      <c r="BB321">
        <f t="shared" si="253"/>
        <v>6.4438654579707126</v>
      </c>
      <c r="BC321">
        <f t="shared" si="254"/>
        <v>-1.0025351671614144</v>
      </c>
      <c r="BD321">
        <f t="shared" si="238"/>
        <v>-237.44103395742749</v>
      </c>
      <c r="BF321">
        <f t="shared" si="239"/>
        <v>-40.216045559597191</v>
      </c>
      <c r="BG321">
        <f t="shared" si="240"/>
        <v>-229.70751172041827</v>
      </c>
      <c r="BH321">
        <f t="shared" si="255"/>
        <v>-49.707511720418267</v>
      </c>
      <c r="BI321">
        <f t="shared" si="256"/>
        <v>-49.707511720418267</v>
      </c>
      <c r="BJ321">
        <f t="shared" si="241"/>
        <v>0</v>
      </c>
      <c r="BK321">
        <f t="shared" si="257"/>
        <v>0</v>
      </c>
      <c r="BM321">
        <f t="shared" si="258"/>
        <v>-46.659911017567907</v>
      </c>
      <c r="BN321">
        <f t="shared" si="242"/>
        <v>-172.26647776299077</v>
      </c>
      <c r="BQ321" s="56">
        <f t="shared" si="259"/>
        <v>23.345826258255848</v>
      </c>
      <c r="BR321" s="59"/>
      <c r="BS321" s="59"/>
      <c r="BT321" s="59">
        <v>128824.955</v>
      </c>
      <c r="BU321" s="59">
        <v>8.6780500000000007</v>
      </c>
      <c r="BV321" s="59">
        <v>-131.42599999999999</v>
      </c>
      <c r="BY321" s="59"/>
      <c r="BZ321" s="59"/>
      <c r="CA321" s="59"/>
      <c r="CC321" s="59"/>
    </row>
    <row r="322" spans="1:81" x14ac:dyDescent="0.2">
      <c r="A322">
        <f t="shared" si="263"/>
        <v>540000</v>
      </c>
      <c r="B322">
        <f t="shared" si="243"/>
        <v>540</v>
      </c>
      <c r="C322">
        <f t="shared" si="212"/>
        <v>1.0084517821483208</v>
      </c>
      <c r="D322">
        <f t="shared" si="213"/>
        <v>0.12955833550684873</v>
      </c>
      <c r="F322">
        <f t="shared" si="214"/>
        <v>3.0146896473153359E-4</v>
      </c>
      <c r="G322">
        <f t="shared" si="215"/>
        <v>6.5423289580165507E-3</v>
      </c>
      <c r="H322">
        <f t="shared" si="216"/>
        <v>-3.1350503210419838</v>
      </c>
      <c r="J322">
        <f t="shared" si="217"/>
        <v>15</v>
      </c>
      <c r="M322">
        <f t="shared" si="218"/>
        <v>4.1791642055595573E-4</v>
      </c>
      <c r="N322">
        <f t="shared" si="219"/>
        <v>-1.5707963250000001</v>
      </c>
      <c r="O322">
        <f t="shared" si="220"/>
        <v>506.80145624154375</v>
      </c>
      <c r="P322">
        <f t="shared" si="221"/>
        <v>1.5688231662276202</v>
      </c>
      <c r="Q322">
        <f t="shared" si="222"/>
        <v>75.42309953026782</v>
      </c>
      <c r="R322">
        <f t="shared" si="223"/>
        <v>1.5575374007273854</v>
      </c>
      <c r="S322">
        <f t="shared" si="224"/>
        <v>0.42507686969650565</v>
      </c>
      <c r="T322">
        <f t="shared" si="225"/>
        <v>-1.1317495187438127</v>
      </c>
      <c r="U322">
        <f t="shared" si="226"/>
        <v>0.39463365895548741</v>
      </c>
      <c r="V322">
        <f t="shared" si="227"/>
        <v>-1.1651272100164063</v>
      </c>
      <c r="X322">
        <f t="shared" si="244"/>
        <v>-38.258354602696549</v>
      </c>
      <c r="Y322">
        <f t="shared" si="228"/>
        <v>-214.67608317114653</v>
      </c>
      <c r="Z322">
        <f t="shared" si="245"/>
        <v>-34.67608317114653</v>
      </c>
      <c r="AC322">
        <v>1</v>
      </c>
      <c r="AD322">
        <f t="shared" si="229"/>
        <v>506.80046966094</v>
      </c>
      <c r="AE322">
        <f t="shared" si="230"/>
        <v>-0.30951602656985261</v>
      </c>
      <c r="AF322">
        <f t="shared" si="231"/>
        <v>0.13293460802915999</v>
      </c>
      <c r="AG322">
        <f t="shared" si="246"/>
        <v>590.99985330244169</v>
      </c>
      <c r="AH322">
        <f t="shared" si="247"/>
        <v>-1383.5669207915578</v>
      </c>
      <c r="AJ322">
        <f t="shared" si="232"/>
        <v>18000</v>
      </c>
      <c r="AK322">
        <f t="shared" si="233"/>
        <v>38329.139356401603</v>
      </c>
      <c r="AL322">
        <v>1</v>
      </c>
      <c r="AM322">
        <f t="shared" si="234"/>
        <v>75.416469970111208</v>
      </c>
      <c r="AN322">
        <f t="shared" si="248"/>
        <v>511.30786467271838</v>
      </c>
      <c r="AO322">
        <f t="shared" si="249"/>
        <v>-231.89486517014569</v>
      </c>
      <c r="AQ322">
        <f t="shared" si="235"/>
        <v>8.5733808527256056E-3</v>
      </c>
      <c r="AR322">
        <f t="shared" si="236"/>
        <v>-9.2592513209436547</v>
      </c>
      <c r="AT322">
        <f t="shared" si="261"/>
        <v>-12805.726972126909</v>
      </c>
      <c r="AU322">
        <f t="shared" si="262"/>
        <v>-5484.078018515318</v>
      </c>
      <c r="AV322">
        <f t="shared" si="250"/>
        <v>-2.7369707717172638</v>
      </c>
      <c r="AW322">
        <f t="shared" si="251"/>
        <v>-1046.0533235319892</v>
      </c>
      <c r="AX322">
        <f t="shared" si="252"/>
        <v>-6603.9485873213462</v>
      </c>
      <c r="AY322">
        <f t="shared" si="260"/>
        <v>-1.7278893461196136</v>
      </c>
      <c r="BA322">
        <f t="shared" si="237"/>
        <v>2.0834606382151062</v>
      </c>
      <c r="BB322">
        <f t="shared" si="253"/>
        <v>6.3757059992260876</v>
      </c>
      <c r="BC322">
        <f t="shared" si="254"/>
        <v>-1.0090814255976501</v>
      </c>
      <c r="BD322">
        <f t="shared" si="238"/>
        <v>-237.81610693785427</v>
      </c>
      <c r="BF322">
        <f t="shared" si="239"/>
        <v>-40.444513872718247</v>
      </c>
      <c r="BG322">
        <f t="shared" si="240"/>
        <v>-230.01811326618085</v>
      </c>
      <c r="BH322">
        <f t="shared" si="255"/>
        <v>-50.018113266180848</v>
      </c>
      <c r="BI322">
        <f t="shared" si="256"/>
        <v>-50.018113266180848</v>
      </c>
      <c r="BJ322">
        <f t="shared" si="241"/>
        <v>0</v>
      </c>
      <c r="BK322">
        <f t="shared" si="257"/>
        <v>0</v>
      </c>
      <c r="BM322">
        <f t="shared" si="258"/>
        <v>-46.820219871944332</v>
      </c>
      <c r="BN322">
        <f t="shared" si="242"/>
        <v>-172.20200632832658</v>
      </c>
      <c r="BQ322" s="56">
        <f t="shared" si="259"/>
        <v>23.277666799511223</v>
      </c>
      <c r="BR322" s="59"/>
      <c r="BS322" s="59"/>
      <c r="BT322" s="59">
        <v>131825.674</v>
      </c>
      <c r="BU322" s="59">
        <v>8.8889499999999995</v>
      </c>
      <c r="BV322" s="59">
        <v>-132.06399999999999</v>
      </c>
      <c r="BY322" s="59"/>
      <c r="BZ322" s="59"/>
      <c r="CA322" s="59"/>
      <c r="CC322" s="59"/>
    </row>
    <row r="323" spans="1:81" x14ac:dyDescent="0.2">
      <c r="A323">
        <f t="shared" si="263"/>
        <v>545000</v>
      </c>
      <c r="B323">
        <f t="shared" si="243"/>
        <v>545</v>
      </c>
      <c r="C323">
        <f t="shared" si="212"/>
        <v>1.0086083501762653</v>
      </c>
      <c r="D323">
        <f t="shared" si="213"/>
        <v>0.13074438688165266</v>
      </c>
      <c r="F323">
        <f t="shared" si="214"/>
        <v>2.9596126845283496E-4</v>
      </c>
      <c r="G323">
        <f t="shared" si="215"/>
        <v>6.482273242604383E-3</v>
      </c>
      <c r="H323">
        <f t="shared" si="216"/>
        <v>-3.135110376757396</v>
      </c>
      <c r="J323">
        <f t="shared" si="217"/>
        <v>15</v>
      </c>
      <c r="M323">
        <f t="shared" si="218"/>
        <v>4.1408232495452496E-4</v>
      </c>
      <c r="N323">
        <f t="shared" si="219"/>
        <v>-1.5707963250000001</v>
      </c>
      <c r="O323">
        <f t="shared" si="220"/>
        <v>511.49404413166792</v>
      </c>
      <c r="P323">
        <f t="shared" si="221"/>
        <v>1.5688412685718043</v>
      </c>
      <c r="Q323">
        <f t="shared" si="222"/>
        <v>76.121339361759198</v>
      </c>
      <c r="R323">
        <f t="shared" si="223"/>
        <v>1.5576590281906806</v>
      </c>
      <c r="S323">
        <f t="shared" si="224"/>
        <v>0.42187379343136244</v>
      </c>
      <c r="T323">
        <f t="shared" si="225"/>
        <v>-1.1352852865228684</v>
      </c>
      <c r="U323">
        <f t="shared" si="226"/>
        <v>0.39157046029263637</v>
      </c>
      <c r="V323">
        <f t="shared" si="227"/>
        <v>-1.1684586053704602</v>
      </c>
      <c r="X323">
        <f t="shared" si="244"/>
        <v>-38.470502731898449</v>
      </c>
      <c r="Y323">
        <f t="shared" si="228"/>
        <v>-214.99702190899436</v>
      </c>
      <c r="Z323">
        <f t="shared" si="245"/>
        <v>-34.997021908994355</v>
      </c>
      <c r="AC323">
        <v>1</v>
      </c>
      <c r="AD323">
        <f t="shared" si="229"/>
        <v>511.49306660224505</v>
      </c>
      <c r="AE323">
        <f t="shared" si="230"/>
        <v>-0.31527434085017314</v>
      </c>
      <c r="AF323">
        <f t="shared" si="231"/>
        <v>0.13416548402943002</v>
      </c>
      <c r="AG323">
        <f t="shared" si="246"/>
        <v>581.86062337855924</v>
      </c>
      <c r="AH323">
        <f t="shared" si="247"/>
        <v>-1374.7628597373584</v>
      </c>
      <c r="AJ323">
        <f t="shared" si="232"/>
        <v>18000</v>
      </c>
      <c r="AK323">
        <f t="shared" si="233"/>
        <v>38684.038794886801</v>
      </c>
      <c r="AL323">
        <v>1</v>
      </c>
      <c r="AM323">
        <f t="shared" si="234"/>
        <v>76.1147706179826</v>
      </c>
      <c r="AN323">
        <f t="shared" si="248"/>
        <v>511.25171377379979</v>
      </c>
      <c r="AO323">
        <f t="shared" si="249"/>
        <v>-229.76812705646353</v>
      </c>
      <c r="AQ323">
        <f t="shared" si="235"/>
        <v>8.4167928484194521E-3</v>
      </c>
      <c r="AR323">
        <f t="shared" si="236"/>
        <v>-9.1743042047772025</v>
      </c>
      <c r="AT323">
        <f t="shared" si="261"/>
        <v>-12607.595284326349</v>
      </c>
      <c r="AU323">
        <f t="shared" si="262"/>
        <v>-5349.7374578623112</v>
      </c>
      <c r="AV323">
        <f t="shared" si="250"/>
        <v>-2.7402925594531826</v>
      </c>
      <c r="AW323">
        <f t="shared" si="251"/>
        <v>-1016.0415364350879</v>
      </c>
      <c r="AX323">
        <f t="shared" si="252"/>
        <v>-6546.6446478812559</v>
      </c>
      <c r="AY323">
        <f t="shared" si="260"/>
        <v>-1.7247682698664781</v>
      </c>
      <c r="BA323">
        <f t="shared" si="237"/>
        <v>2.0672632973083163</v>
      </c>
      <c r="BB323">
        <f t="shared" si="253"/>
        <v>6.3079158826742709</v>
      </c>
      <c r="BC323">
        <f t="shared" si="254"/>
        <v>-1.0155242895867045</v>
      </c>
      <c r="BD323">
        <f t="shared" si="238"/>
        <v>-238.18525585282572</v>
      </c>
      <c r="BF323">
        <f t="shared" si="239"/>
        <v>-40.671110150061345</v>
      </c>
      <c r="BG323">
        <f t="shared" si="240"/>
        <v>-230.32274738204541</v>
      </c>
      <c r="BH323">
        <f t="shared" si="255"/>
        <v>-50.322747382045407</v>
      </c>
      <c r="BI323">
        <f t="shared" si="256"/>
        <v>-50.322747382045407</v>
      </c>
      <c r="BJ323">
        <f t="shared" si="241"/>
        <v>0</v>
      </c>
      <c r="BK323">
        <f t="shared" si="257"/>
        <v>0</v>
      </c>
      <c r="BM323">
        <f t="shared" si="258"/>
        <v>-46.979026032735618</v>
      </c>
      <c r="BN323">
        <f t="shared" si="242"/>
        <v>-172.13749152921969</v>
      </c>
      <c r="BQ323" s="56">
        <f t="shared" si="259"/>
        <v>23.209876682959411</v>
      </c>
      <c r="BR323" s="59"/>
      <c r="BS323" s="59"/>
      <c r="BT323" s="59">
        <v>134896.288</v>
      </c>
      <c r="BU323" s="59">
        <v>9.0986999999999991</v>
      </c>
      <c r="BV323" s="59">
        <v>-132.62899999999999</v>
      </c>
      <c r="BY323" s="59"/>
      <c r="BZ323" s="59"/>
      <c r="CA323" s="59"/>
      <c r="CC323" s="59"/>
    </row>
    <row r="324" spans="1:81" x14ac:dyDescent="0.2">
      <c r="A324">
        <f t="shared" si="263"/>
        <v>550000</v>
      </c>
      <c r="B324">
        <f t="shared" si="243"/>
        <v>550</v>
      </c>
      <c r="C324">
        <f t="shared" si="212"/>
        <v>1.0087663365900041</v>
      </c>
      <c r="D324">
        <f t="shared" si="213"/>
        <v>0.1319300684206588</v>
      </c>
      <c r="F324">
        <f t="shared" si="214"/>
        <v>2.9060315288559585E-4</v>
      </c>
      <c r="G324">
        <f t="shared" si="215"/>
        <v>6.423310373663579E-3</v>
      </c>
      <c r="H324">
        <f t="shared" si="216"/>
        <v>-3.1351693396263367</v>
      </c>
      <c r="J324">
        <f t="shared" si="217"/>
        <v>15</v>
      </c>
      <c r="M324">
        <f t="shared" si="218"/>
        <v>4.1031794018221111E-4</v>
      </c>
      <c r="N324">
        <f t="shared" si="219"/>
        <v>-1.5707963250000001</v>
      </c>
      <c r="O324">
        <f t="shared" si="220"/>
        <v>516.18663218635845</v>
      </c>
      <c r="P324">
        <f t="shared" si="221"/>
        <v>1.5688590417837043</v>
      </c>
      <c r="Q324">
        <f t="shared" si="222"/>
        <v>76.819580298861084</v>
      </c>
      <c r="R324">
        <f t="shared" si="223"/>
        <v>1.5577784446237464</v>
      </c>
      <c r="S324">
        <f t="shared" si="224"/>
        <v>0.41871351062803996</v>
      </c>
      <c r="T324">
        <f t="shared" si="225"/>
        <v>-1.1387681239892438</v>
      </c>
      <c r="U324">
        <f t="shared" si="226"/>
        <v>0.38855023621070511</v>
      </c>
      <c r="V324">
        <f t="shared" si="227"/>
        <v>-1.1717386458563785</v>
      </c>
      <c r="X324">
        <f t="shared" si="244"/>
        <v>-38.681089939558447</v>
      </c>
      <c r="Y324">
        <f t="shared" si="228"/>
        <v>-215.31208966124009</v>
      </c>
      <c r="Z324">
        <f t="shared" si="245"/>
        <v>-35.312089661240094</v>
      </c>
      <c r="AC324">
        <v>1</v>
      </c>
      <c r="AD324">
        <f t="shared" si="229"/>
        <v>516.18566354355005</v>
      </c>
      <c r="AE324">
        <f t="shared" si="230"/>
        <v>-0.32108572715151035</v>
      </c>
      <c r="AF324">
        <f t="shared" si="231"/>
        <v>0.13539636002970001</v>
      </c>
      <c r="AG324">
        <f t="shared" si="246"/>
        <v>572.91933523720468</v>
      </c>
      <c r="AH324">
        <f t="shared" si="247"/>
        <v>-1366.0354038559569</v>
      </c>
      <c r="AJ324">
        <f t="shared" si="232"/>
        <v>18000</v>
      </c>
      <c r="AK324">
        <f t="shared" si="233"/>
        <v>39038.938233371999</v>
      </c>
      <c r="AL324">
        <v>1</v>
      </c>
      <c r="AM324">
        <f t="shared" si="234"/>
        <v>76.813071265854006</v>
      </c>
      <c r="AN324">
        <f t="shared" si="248"/>
        <v>511.19708694546796</v>
      </c>
      <c r="AO324">
        <f t="shared" si="249"/>
        <v>-227.68003706719242</v>
      </c>
      <c r="AQ324">
        <f t="shared" si="235"/>
        <v>8.264455979788447E-3</v>
      </c>
      <c r="AR324">
        <f t="shared" si="236"/>
        <v>-9.0909015777672906</v>
      </c>
      <c r="AT324">
        <f t="shared" si="261"/>
        <v>-12413.75854157406</v>
      </c>
      <c r="AU324">
        <f t="shared" si="262"/>
        <v>-5219.6428281032913</v>
      </c>
      <c r="AV324">
        <f t="shared" si="250"/>
        <v>-2.7435631670038148</v>
      </c>
      <c r="AW324">
        <f t="shared" si="251"/>
        <v>-986.89370863130466</v>
      </c>
      <c r="AX324">
        <f t="shared" si="252"/>
        <v>-6490.3151317445017</v>
      </c>
      <c r="AY324">
        <f t="shared" si="260"/>
        <v>-1.7216967773937553</v>
      </c>
      <c r="BA324">
        <f t="shared" si="237"/>
        <v>2.0512791434966839</v>
      </c>
      <c r="BB324">
        <f t="shared" si="253"/>
        <v>6.2404952866575494</v>
      </c>
      <c r="BC324">
        <f t="shared" si="254"/>
        <v>-1.0218663896100595</v>
      </c>
      <c r="BD324">
        <f t="shared" si="238"/>
        <v>-238.54863141782903</v>
      </c>
      <c r="BF324">
        <f t="shared" si="239"/>
        <v>-40.895861474870543</v>
      </c>
      <c r="BG324">
        <f t="shared" si="240"/>
        <v>-230.62156672248159</v>
      </c>
      <c r="BH324">
        <f t="shared" si="255"/>
        <v>-50.621566722481589</v>
      </c>
      <c r="BI324">
        <f t="shared" si="256"/>
        <v>-50.621566722481589</v>
      </c>
      <c r="BJ324">
        <f t="shared" si="241"/>
        <v>0</v>
      </c>
      <c r="BK324">
        <f t="shared" si="257"/>
        <v>0</v>
      </c>
      <c r="BM324">
        <f t="shared" si="258"/>
        <v>-47.136356761528091</v>
      </c>
      <c r="BN324">
        <f t="shared" si="242"/>
        <v>-172.07293530465259</v>
      </c>
      <c r="BQ324" s="56">
        <f t="shared" si="259"/>
        <v>23.142456086942683</v>
      </c>
      <c r="BR324" s="59"/>
      <c r="BS324" s="59"/>
      <c r="BT324" s="59">
        <v>138038.42600000001</v>
      </c>
      <c r="BU324" s="59">
        <v>9.3196600000000007</v>
      </c>
      <c r="BV324" s="59">
        <v>-133.267</v>
      </c>
      <c r="BY324" s="59"/>
      <c r="BZ324" s="59"/>
      <c r="CA324" s="59"/>
      <c r="CC324" s="59"/>
    </row>
    <row r="325" spans="1:81" x14ac:dyDescent="0.2">
      <c r="A325">
        <f t="shared" si="263"/>
        <v>555000</v>
      </c>
      <c r="B325">
        <f t="shared" si="243"/>
        <v>555</v>
      </c>
      <c r="C325">
        <f t="shared" si="212"/>
        <v>1.0089257407232277</v>
      </c>
      <c r="D325">
        <f t="shared" si="213"/>
        <v>0.13311537696463341</v>
      </c>
      <c r="F325">
        <f t="shared" si="214"/>
        <v>2.8538924967114009E-4</v>
      </c>
      <c r="G325">
        <f t="shared" si="215"/>
        <v>6.3654107819271083E-3</v>
      </c>
      <c r="H325">
        <f t="shared" si="216"/>
        <v>-3.1352272392180729</v>
      </c>
      <c r="J325">
        <f t="shared" si="217"/>
        <v>15</v>
      </c>
      <c r="M325">
        <f t="shared" si="218"/>
        <v>4.0662138216255152E-4</v>
      </c>
      <c r="N325">
        <f t="shared" si="219"/>
        <v>-1.5707963250000001</v>
      </c>
      <c r="O325">
        <f t="shared" si="220"/>
        <v>520.87922040116791</v>
      </c>
      <c r="P325">
        <f t="shared" si="221"/>
        <v>1.5688764947587432</v>
      </c>
      <c r="Q325">
        <f t="shared" si="222"/>
        <v>77.517822311697202</v>
      </c>
      <c r="R325">
        <f t="shared" si="223"/>
        <v>1.557895709770714</v>
      </c>
      <c r="S325">
        <f t="shared" si="224"/>
        <v>0.41559529421772012</v>
      </c>
      <c r="T325">
        <f t="shared" si="225"/>
        <v>-1.1421991282318269</v>
      </c>
      <c r="U325">
        <f t="shared" si="226"/>
        <v>0.38557219268149256</v>
      </c>
      <c r="V325">
        <f t="shared" si="227"/>
        <v>-1.1749684409036094</v>
      </c>
      <c r="X325">
        <f t="shared" si="244"/>
        <v>-38.890135881652718</v>
      </c>
      <c r="Y325">
        <f t="shared" si="228"/>
        <v>-215.62141079452016</v>
      </c>
      <c r="Z325">
        <f t="shared" si="245"/>
        <v>-35.621410794520159</v>
      </c>
      <c r="AC325">
        <v>1</v>
      </c>
      <c r="AD325">
        <f t="shared" si="229"/>
        <v>520.87826048485499</v>
      </c>
      <c r="AE325">
        <f t="shared" si="230"/>
        <v>-0.32695018547386434</v>
      </c>
      <c r="AF325">
        <f t="shared" si="231"/>
        <v>0.13662723602996998</v>
      </c>
      <c r="AG325">
        <f t="shared" si="246"/>
        <v>564.17070992837409</v>
      </c>
      <c r="AH325">
        <f t="shared" si="247"/>
        <v>-1357.3846887257737</v>
      </c>
      <c r="AJ325">
        <f t="shared" si="232"/>
        <v>18000</v>
      </c>
      <c r="AK325">
        <f t="shared" si="233"/>
        <v>39393.837671857196</v>
      </c>
      <c r="AL325">
        <v>1</v>
      </c>
      <c r="AM325">
        <f t="shared" si="234"/>
        <v>77.511371913725412</v>
      </c>
      <c r="AN325">
        <f t="shared" si="248"/>
        <v>511.14392952971491</v>
      </c>
      <c r="AO325">
        <f t="shared" si="249"/>
        <v>-225.62955136359062</v>
      </c>
      <c r="AQ325">
        <f t="shared" si="235"/>
        <v>8.1162177451361544E-3</v>
      </c>
      <c r="AR325">
        <f t="shared" si="236"/>
        <v>-9.0090016971011302</v>
      </c>
      <c r="AT325">
        <f t="shared" si="261"/>
        <v>-12224.102032022378</v>
      </c>
      <c r="AU325">
        <f t="shared" si="262"/>
        <v>-5093.6317128970841</v>
      </c>
      <c r="AV325">
        <f t="shared" si="250"/>
        <v>-2.7467836990774885</v>
      </c>
      <c r="AW325">
        <f t="shared" si="251"/>
        <v>-958.57706337334332</v>
      </c>
      <c r="AX325">
        <f t="shared" si="252"/>
        <v>-6434.9353515433622</v>
      </c>
      <c r="AY325">
        <f t="shared" si="260"/>
        <v>-1.7186734276585152</v>
      </c>
      <c r="BA325">
        <f t="shared" si="237"/>
        <v>2.0355051555838077</v>
      </c>
      <c r="BB325">
        <f t="shared" si="253"/>
        <v>6.1734441341979576</v>
      </c>
      <c r="BC325">
        <f t="shared" si="254"/>
        <v>-1.0281102714189734</v>
      </c>
      <c r="BD325">
        <f t="shared" si="238"/>
        <v>-238.90637949366706</v>
      </c>
      <c r="BF325">
        <f t="shared" si="239"/>
        <v>-41.118794445145149</v>
      </c>
      <c r="BG325">
        <f t="shared" si="240"/>
        <v>-230.91471902349727</v>
      </c>
      <c r="BH325">
        <f t="shared" si="255"/>
        <v>-50.91471902349727</v>
      </c>
      <c r="BI325">
        <f t="shared" si="256"/>
        <v>-50.91471902349727</v>
      </c>
      <c r="BJ325">
        <f t="shared" si="241"/>
        <v>0</v>
      </c>
      <c r="BK325">
        <f t="shared" si="257"/>
        <v>0</v>
      </c>
      <c r="BM325">
        <f t="shared" si="258"/>
        <v>-47.292238579343106</v>
      </c>
      <c r="BN325">
        <f t="shared" si="242"/>
        <v>-172.00833952983024</v>
      </c>
      <c r="BQ325" s="56">
        <f t="shared" si="259"/>
        <v>23.075404934483092</v>
      </c>
      <c r="BR325" s="59"/>
      <c r="BS325" s="59"/>
      <c r="BT325" s="59">
        <v>141253.75399999999</v>
      </c>
      <c r="BU325" s="59">
        <v>9.5290400000000002</v>
      </c>
      <c r="BV325" s="59">
        <v>-133.959</v>
      </c>
      <c r="BY325" s="59"/>
      <c r="BZ325" s="59"/>
      <c r="CA325" s="59"/>
      <c r="CC325" s="59"/>
    </row>
    <row r="326" spans="1:81" x14ac:dyDescent="0.2">
      <c r="A326">
        <f t="shared" si="263"/>
        <v>560000</v>
      </c>
      <c r="B326">
        <f t="shared" si="243"/>
        <v>560</v>
      </c>
      <c r="C326">
        <f t="shared" si="212"/>
        <v>1.0090865619040701</v>
      </c>
      <c r="D326">
        <f t="shared" si="213"/>
        <v>0.13430030936052245</v>
      </c>
      <c r="F326">
        <f t="shared" si="214"/>
        <v>2.8031442916212829E-4</v>
      </c>
      <c r="G326">
        <f t="shared" si="215"/>
        <v>6.3085459556219874E-3</v>
      </c>
      <c r="H326">
        <f t="shared" si="216"/>
        <v>-3.1352841040443784</v>
      </c>
      <c r="J326">
        <f t="shared" si="217"/>
        <v>15</v>
      </c>
      <c r="M326">
        <f t="shared" si="218"/>
        <v>4.0299083410752875E-4</v>
      </c>
      <c r="N326">
        <f t="shared" si="219"/>
        <v>-1.5707963250000001</v>
      </c>
      <c r="O326">
        <f t="shared" si="220"/>
        <v>525.57180877180713</v>
      </c>
      <c r="P326">
        <f t="shared" si="221"/>
        <v>1.5688936360746522</v>
      </c>
      <c r="Q326">
        <f t="shared" si="222"/>
        <v>78.216065371457972</v>
      </c>
      <c r="R326">
        <f t="shared" si="223"/>
        <v>1.5580108812425879</v>
      </c>
      <c r="S326">
        <f t="shared" si="224"/>
        <v>0.41251842916585768</v>
      </c>
      <c r="T326">
        <f t="shared" si="225"/>
        <v>-1.1455793688095095</v>
      </c>
      <c r="U326">
        <f t="shared" si="226"/>
        <v>0.38263555150868273</v>
      </c>
      <c r="V326">
        <f t="shared" si="227"/>
        <v>-1.1781490704054536</v>
      </c>
      <c r="X326">
        <f t="shared" si="244"/>
        <v>-39.097659900179082</v>
      </c>
      <c r="Y326">
        <f t="shared" si="228"/>
        <v>-215.92510648529947</v>
      </c>
      <c r="Z326">
        <f t="shared" si="245"/>
        <v>-35.925106485299466</v>
      </c>
      <c r="AC326">
        <v>1</v>
      </c>
      <c r="AD326">
        <f t="shared" si="229"/>
        <v>525.57085742616005</v>
      </c>
      <c r="AE326">
        <f t="shared" si="230"/>
        <v>-0.33286771581723518</v>
      </c>
      <c r="AF326">
        <f t="shared" si="231"/>
        <v>0.13785811203024001</v>
      </c>
      <c r="AG326">
        <f t="shared" si="246"/>
        <v>555.60962729281096</v>
      </c>
      <c r="AH326">
        <f t="shared" si="247"/>
        <v>-1348.8107793195029</v>
      </c>
      <c r="AJ326">
        <f t="shared" si="232"/>
        <v>18000</v>
      </c>
      <c r="AK326">
        <f t="shared" si="233"/>
        <v>39748.737110342401</v>
      </c>
      <c r="AL326">
        <v>1</v>
      </c>
      <c r="AM326">
        <f t="shared" si="234"/>
        <v>78.209672561596804</v>
      </c>
      <c r="AN326">
        <f t="shared" si="248"/>
        <v>511.09218929687472</v>
      </c>
      <c r="AO326">
        <f t="shared" si="249"/>
        <v>-223.61566335582236</v>
      </c>
      <c r="AQ326">
        <f t="shared" si="235"/>
        <v>7.971932420334487E-3</v>
      </c>
      <c r="AR326">
        <f t="shared" si="236"/>
        <v>-8.9285643107746253</v>
      </c>
      <c r="AT326">
        <f t="shared" si="261"/>
        <v>-12038.514503819357</v>
      </c>
      <c r="AU326">
        <f t="shared" si="262"/>
        <v>-4971.5489173499363</v>
      </c>
      <c r="AV326">
        <f t="shared" si="250"/>
        <v>-2.7499552310149973</v>
      </c>
      <c r="AW326">
        <f t="shared" si="251"/>
        <v>-931.06035470729944</v>
      </c>
      <c r="AX326">
        <f t="shared" si="252"/>
        <v>-6380.4814599306537</v>
      </c>
      <c r="AY326">
        <f t="shared" si="260"/>
        <v>-1.7156968318101509</v>
      </c>
      <c r="BA326">
        <f t="shared" si="237"/>
        <v>2.0199383080294613</v>
      </c>
      <c r="BB326">
        <f t="shared" si="253"/>
        <v>6.1067621127788119</v>
      </c>
      <c r="BC326">
        <f t="shared" si="254"/>
        <v>-1.0342583992048464</v>
      </c>
      <c r="BD326">
        <f t="shared" si="238"/>
        <v>-239.25864126810723</v>
      </c>
      <c r="BF326">
        <f t="shared" si="239"/>
        <v>-41.339935180465382</v>
      </c>
      <c r="BG326">
        <f t="shared" si="240"/>
        <v>-231.20234728712089</v>
      </c>
      <c r="BH326">
        <f t="shared" si="255"/>
        <v>-51.202347287120887</v>
      </c>
      <c r="BI326">
        <f t="shared" si="256"/>
        <v>-51.202347287120887</v>
      </c>
      <c r="BJ326">
        <f t="shared" si="241"/>
        <v>0</v>
      </c>
      <c r="BK326">
        <f t="shared" si="257"/>
        <v>0</v>
      </c>
      <c r="BM326">
        <f t="shared" si="258"/>
        <v>-47.446697293244199</v>
      </c>
      <c r="BN326">
        <f t="shared" si="242"/>
        <v>-171.94370601901363</v>
      </c>
      <c r="BQ326" s="56">
        <f t="shared" si="259"/>
        <v>23.008722913063949</v>
      </c>
      <c r="BR326" s="59"/>
      <c r="BS326" s="59"/>
      <c r="BT326" s="59">
        <v>144543.97700000001</v>
      </c>
      <c r="BU326" s="59">
        <v>9.7312899999999996</v>
      </c>
      <c r="BV326" s="59">
        <v>-134.75200000000001</v>
      </c>
      <c r="BY326" s="59"/>
      <c r="BZ326" s="59"/>
      <c r="CA326" s="59"/>
      <c r="CC326" s="59"/>
    </row>
    <row r="327" spans="1:81" x14ac:dyDescent="0.2">
      <c r="A327">
        <f t="shared" si="263"/>
        <v>565000</v>
      </c>
      <c r="B327">
        <f t="shared" si="243"/>
        <v>565</v>
      </c>
      <c r="C327">
        <f t="shared" si="212"/>
        <v>1.0092487994551225</v>
      </c>
      <c r="D327">
        <f t="shared" si="213"/>
        <v>0.13548486246149782</v>
      </c>
      <c r="F327">
        <f t="shared" si="214"/>
        <v>2.7537378779629644E-4</v>
      </c>
      <c r="G327">
        <f t="shared" si="215"/>
        <v>6.2526883936015612E-3</v>
      </c>
      <c r="H327">
        <f t="shared" si="216"/>
        <v>-3.1353399616063986</v>
      </c>
      <c r="J327">
        <f t="shared" si="217"/>
        <v>15</v>
      </c>
      <c r="M327">
        <f t="shared" si="218"/>
        <v>3.9942454354020552E-4</v>
      </c>
      <c r="N327">
        <f t="shared" si="219"/>
        <v>-1.5707963250000001</v>
      </c>
      <c r="O327">
        <f t="shared" si="220"/>
        <v>530.26439729413914</v>
      </c>
      <c r="P327">
        <f t="shared" si="221"/>
        <v>1.5689104740055273</v>
      </c>
      <c r="Q327">
        <f t="shared" si="222"/>
        <v>78.914309450353514</v>
      </c>
      <c r="R327">
        <f t="shared" si="223"/>
        <v>1.5581240146116004</v>
      </c>
      <c r="S327">
        <f t="shared" si="224"/>
        <v>0.40948221243767924</v>
      </c>
      <c r="T327">
        <f t="shared" si="225"/>
        <v>-1.1489098885064488</v>
      </c>
      <c r="U327">
        <f t="shared" si="226"/>
        <v>0.37973955010627153</v>
      </c>
      <c r="V327">
        <f t="shared" si="227"/>
        <v>-1.1812815856071834</v>
      </c>
      <c r="X327">
        <f t="shared" si="244"/>
        <v>-39.303681028229846</v>
      </c>
      <c r="Y327">
        <f t="shared" si="228"/>
        <v>-216.22329481050096</v>
      </c>
      <c r="Z327">
        <f t="shared" si="245"/>
        <v>-36.22329481050096</v>
      </c>
      <c r="AC327">
        <v>1</v>
      </c>
      <c r="AD327">
        <f t="shared" si="229"/>
        <v>530.26345436746499</v>
      </c>
      <c r="AE327">
        <f t="shared" si="230"/>
        <v>-0.3388383181816228</v>
      </c>
      <c r="AF327">
        <f t="shared" si="231"/>
        <v>0.13908898803051001</v>
      </c>
      <c r="AG327">
        <f t="shared" si="246"/>
        <v>547.23112106537405</v>
      </c>
      <c r="AH327">
        <f t="shared" si="247"/>
        <v>-1340.3136751382676</v>
      </c>
      <c r="AJ327">
        <f t="shared" si="232"/>
        <v>18000</v>
      </c>
      <c r="AK327">
        <f t="shared" si="233"/>
        <v>40103.636548827599</v>
      </c>
      <c r="AL327">
        <v>1</v>
      </c>
      <c r="AM327">
        <f t="shared" si="234"/>
        <v>78.907973209468196</v>
      </c>
      <c r="AN327">
        <f t="shared" si="248"/>
        <v>511.04181631730665</v>
      </c>
      <c r="AO327">
        <f t="shared" si="249"/>
        <v>-221.63740205640192</v>
      </c>
      <c r="AQ327">
        <f t="shared" si="235"/>
        <v>7.8314607005554853E-3</v>
      </c>
      <c r="AR327">
        <f t="shared" si="236"/>
        <v>-8.8495505916276986</v>
      </c>
      <c r="AT327">
        <f t="shared" si="261"/>
        <v>-11856.888057767806</v>
      </c>
      <c r="AU327">
        <f t="shared" si="262"/>
        <v>-4853.2461050544325</v>
      </c>
      <c r="AV327">
        <f t="shared" si="250"/>
        <v>-2.7530788096702534</v>
      </c>
      <c r="AW327">
        <f t="shared" si="251"/>
        <v>-904.31378314404401</v>
      </c>
      <c r="AX327">
        <f t="shared" si="252"/>
        <v>-6326.9304131798635</v>
      </c>
      <c r="AY327">
        <f t="shared" si="260"/>
        <v>-1.7127656510281815</v>
      </c>
      <c r="BA327">
        <f t="shared" si="237"/>
        <v>2.0045755763763955</v>
      </c>
      <c r="BB327">
        <f t="shared" si="253"/>
        <v>6.0404486927434196</v>
      </c>
      <c r="BC327">
        <f t="shared" si="254"/>
        <v>-1.040313158642072</v>
      </c>
      <c r="BD327">
        <f t="shared" si="238"/>
        <v>-239.60555343022367</v>
      </c>
      <c r="BF327">
        <f t="shared" si="239"/>
        <v>-41.559309329016294</v>
      </c>
      <c r="BG327">
        <f t="shared" si="240"/>
        <v>-231.48458995842603</v>
      </c>
      <c r="BH327">
        <f t="shared" si="255"/>
        <v>-51.484589958426028</v>
      </c>
      <c r="BI327">
        <f t="shared" si="256"/>
        <v>-51.484589958426028</v>
      </c>
      <c r="BJ327">
        <f t="shared" si="241"/>
        <v>0</v>
      </c>
      <c r="BK327">
        <f t="shared" si="257"/>
        <v>0</v>
      </c>
      <c r="BM327">
        <f t="shared" si="258"/>
        <v>-47.599758021759719</v>
      </c>
      <c r="BN327">
        <f t="shared" si="242"/>
        <v>-171.87903652820239</v>
      </c>
      <c r="BQ327" s="56">
        <f t="shared" si="259"/>
        <v>22.942409493028556</v>
      </c>
      <c r="BR327" s="59"/>
      <c r="BS327" s="59"/>
      <c r="BT327" s="59">
        <v>147910.83900000001</v>
      </c>
      <c r="BU327" s="59">
        <v>9.9010099999999994</v>
      </c>
      <c r="BV327" s="59">
        <v>-135.72399999999999</v>
      </c>
      <c r="BY327" s="59"/>
      <c r="BZ327" s="59"/>
      <c r="CA327" s="59"/>
      <c r="CC327" s="59"/>
    </row>
    <row r="328" spans="1:81" x14ac:dyDescent="0.2">
      <c r="A328">
        <f t="shared" si="263"/>
        <v>570000</v>
      </c>
      <c r="B328">
        <f t="shared" si="243"/>
        <v>570</v>
      </c>
      <c r="C328">
        <f t="shared" si="212"/>
        <v>1.0094124526934476</v>
      </c>
      <c r="D328">
        <f t="shared" si="213"/>
        <v>0.13666903312700335</v>
      </c>
      <c r="F328">
        <f t="shared" si="214"/>
        <v>2.7056263624259882E-4</v>
      </c>
      <c r="G328">
        <f t="shared" si="215"/>
        <v>6.1978115609491024E-3</v>
      </c>
      <c r="H328">
        <f t="shared" si="216"/>
        <v>-3.1353948384390513</v>
      </c>
      <c r="J328">
        <f t="shared" si="217"/>
        <v>15</v>
      </c>
      <c r="M328">
        <f t="shared" si="218"/>
        <v>3.9592081947406333E-4</v>
      </c>
      <c r="N328">
        <f t="shared" si="219"/>
        <v>-1.5707963250000001</v>
      </c>
      <c r="O328">
        <f t="shared" si="220"/>
        <v>534.95698596417208</v>
      </c>
      <c r="P328">
        <f t="shared" si="221"/>
        <v>1.5689270165351479</v>
      </c>
      <c r="Q328">
        <f t="shared" si="222"/>
        <v>79.612554521568725</v>
      </c>
      <c r="R328">
        <f t="shared" si="223"/>
        <v>1.5582351635006026</v>
      </c>
      <c r="S328">
        <f t="shared" si="224"/>
        <v>0.40648595294705619</v>
      </c>
      <c r="T328">
        <f t="shared" si="225"/>
        <v>-1.1521917040677352</v>
      </c>
      <c r="U328">
        <f t="shared" si="226"/>
        <v>0.37688344126906004</v>
      </c>
      <c r="V328">
        <f t="shared" si="227"/>
        <v>-1.1843670099666979</v>
      </c>
      <c r="X328">
        <f t="shared" si="244"/>
        <v>-39.508217995012444</v>
      </c>
      <c r="Y328">
        <f t="shared" si="228"/>
        <v>-216.51609083562488</v>
      </c>
      <c r="Z328">
        <f t="shared" si="245"/>
        <v>-36.51609083562488</v>
      </c>
      <c r="AC328">
        <v>1</v>
      </c>
      <c r="AD328">
        <f t="shared" si="229"/>
        <v>534.95605130876993</v>
      </c>
      <c r="AE328">
        <f t="shared" si="230"/>
        <v>-0.34486199256702715</v>
      </c>
      <c r="AF328">
        <f t="shared" si="231"/>
        <v>0.14031986403078001</v>
      </c>
      <c r="AG328">
        <f t="shared" si="246"/>
        <v>539.03037410420052</v>
      </c>
      <c r="AH328">
        <f t="shared" si="247"/>
        <v>-1331.8933150243718</v>
      </c>
      <c r="AJ328">
        <f t="shared" si="232"/>
        <v>18000</v>
      </c>
      <c r="AK328">
        <f t="shared" si="233"/>
        <v>40458.535987312796</v>
      </c>
      <c r="AL328">
        <v>1</v>
      </c>
      <c r="AM328">
        <f t="shared" si="234"/>
        <v>79.606273857339602</v>
      </c>
      <c r="AN328">
        <f t="shared" si="248"/>
        <v>510.99276284092167</v>
      </c>
      <c r="AO328">
        <f t="shared" si="249"/>
        <v>-219.69383052020106</v>
      </c>
      <c r="AQ328">
        <f t="shared" si="235"/>
        <v>7.6946693639047678E-3</v>
      </c>
      <c r="AR328">
        <f t="shared" si="236"/>
        <v>-8.7719230748514345</v>
      </c>
      <c r="AT328">
        <f t="shared" si="261"/>
        <v>-11679.118042796823</v>
      </c>
      <c r="AU328">
        <f t="shared" si="262"/>
        <v>-4738.5814553375449</v>
      </c>
      <c r="AV328">
        <f t="shared" si="250"/>
        <v>-2.7561554542638773</v>
      </c>
      <c r="AW328">
        <f t="shared" si="251"/>
        <v>-878.30891665429226</v>
      </c>
      <c r="AX328">
        <f t="shared" si="252"/>
        <v>-6274.2599367240273</v>
      </c>
      <c r="AY328">
        <f t="shared" si="260"/>
        <v>-1.7098785944556025</v>
      </c>
      <c r="BA328">
        <f t="shared" si="237"/>
        <v>1.9894139421260513</v>
      </c>
      <c r="BB328">
        <f t="shared" si="253"/>
        <v>5.9745031444092476</v>
      </c>
      <c r="BC328">
        <f t="shared" si="254"/>
        <v>-1.0462768598082748</v>
      </c>
      <c r="BD328">
        <f t="shared" si="238"/>
        <v>-239.94724833771477</v>
      </c>
      <c r="BF328">
        <f t="shared" si="239"/>
        <v>-41.776942074774482</v>
      </c>
      <c r="BG328">
        <f t="shared" si="240"/>
        <v>-231.76158109539057</v>
      </c>
      <c r="BH328">
        <f t="shared" si="255"/>
        <v>-51.761581095390568</v>
      </c>
      <c r="BI328">
        <f t="shared" si="256"/>
        <v>-51.761581095390568</v>
      </c>
      <c r="BJ328">
        <f t="shared" si="241"/>
        <v>0</v>
      </c>
      <c r="BK328">
        <f t="shared" si="257"/>
        <v>0</v>
      </c>
      <c r="BM328">
        <f t="shared" si="258"/>
        <v>-47.751445219183722</v>
      </c>
      <c r="BN328">
        <f t="shared" si="242"/>
        <v>-171.81433275767583</v>
      </c>
      <c r="BQ328" s="56">
        <f t="shared" si="259"/>
        <v>22.876463944694386</v>
      </c>
      <c r="BR328" s="59"/>
      <c r="BS328" s="59"/>
      <c r="BT328" s="59">
        <v>151356.125</v>
      </c>
      <c r="BU328" s="59">
        <v>10.0764</v>
      </c>
      <c r="BV328" s="59">
        <v>-136.34200000000001</v>
      </c>
      <c r="BY328" s="59"/>
      <c r="BZ328" s="59"/>
      <c r="CA328" s="59"/>
      <c r="CC328" s="59"/>
    </row>
    <row r="329" spans="1:81" x14ac:dyDescent="0.2">
      <c r="A329">
        <f t="shared" si="263"/>
        <v>575000</v>
      </c>
      <c r="B329">
        <f t="shared" si="243"/>
        <v>575</v>
      </c>
      <c r="C329">
        <f t="shared" ref="C329:C392" si="264">SQRT((A329/Fesr)^2+1)</f>
        <v>1.0095775209305939</v>
      </c>
      <c r="D329">
        <f t="shared" ref="D329:D392" si="265">ATAN(A329/Fesr)</f>
        <v>0.1378528182228006</v>
      </c>
      <c r="F329">
        <f t="shared" ref="F329:F392" si="266">(Ro/(Ro+Rdcr))/SQRT((A329/(Q*Fo))^2+(1-(A329^2/Fo^2))^2)</f>
        <v>2.6587648826621832E-4</v>
      </c>
      <c r="G329">
        <f t="shared" ref="G329:G392" si="267">-ATAN(A329*Fo/(Q*(Fo^2-A329^2)))</f>
        <v>6.1438898469019987E-3</v>
      </c>
      <c r="H329">
        <f t="shared" ref="H329:H392" si="268">IF(G329&gt;0,G329-Pi,G329)</f>
        <v>-3.135448760153098</v>
      </c>
      <c r="J329">
        <f t="shared" ref="J329:J392" si="269">Vin/Vramp</f>
        <v>15</v>
      </c>
      <c r="M329">
        <f t="shared" ref="M329:M392" si="270">1/(2*Pi*_Rfb1*(Cc1ea_u+Cc2ea_u)*A329)</f>
        <v>3.9247802973950619E-4</v>
      </c>
      <c r="N329">
        <f t="shared" ref="N329:N392" si="271">-Pi/2</f>
        <v>-1.5707963250000001</v>
      </c>
      <c r="O329">
        <f t="shared" ref="O329:O392" si="272">SQRT(1+(A329/Fz1_u)^2)</f>
        <v>539.64957477805274</v>
      </c>
      <c r="P329">
        <f t="shared" ref="P329:P392" si="273">ATAN2(Fz1_u,A329)</f>
        <v>1.5689432713695979</v>
      </c>
      <c r="Q329">
        <f t="shared" ref="Q329:Q392" si="274">SQRT(1+(A329/Fz2_u)^2)</f>
        <v>80.310800559221079</v>
      </c>
      <c r="R329">
        <f t="shared" ref="R329:R392" si="275">ATAN2(Fz2_u,A329)</f>
        <v>1.5583443796677943</v>
      </c>
      <c r="S329">
        <f t="shared" ref="S329:S392" si="276">1/SQRT(1+(A329/Fp1_u)^2)</f>
        <v>0.40352897149040157</v>
      </c>
      <c r="T329">
        <f t="shared" ref="T329:T392" si="277">-ATAN2(Fp1_u,A329)</f>
        <v>-1.1554258069157293</v>
      </c>
      <c r="U329">
        <f t="shared" ref="U329:U392" si="278">1/SQRT(1+(A329/Fp2_u)^2)</f>
        <v>0.37406649293650446</v>
      </c>
      <c r="V329">
        <f t="shared" ref="V329:V392" si="279">-ATAN2(Fp2_u,A329)</f>
        <v>-1.1874063399884331</v>
      </c>
      <c r="X329">
        <f t="shared" si="244"/>
        <v>-39.71128923081713</v>
      </c>
      <c r="Y329">
        <f t="shared" ref="Y329:Y392" si="280">(180/Pi)*(D329+H329+N329+P329+R329+T329+V329)</f>
        <v>-216.8036067004015</v>
      </c>
      <c r="Z329">
        <f t="shared" si="245"/>
        <v>-36.803606700401502</v>
      </c>
      <c r="AC329">
        <v>1</v>
      </c>
      <c r="AD329">
        <f t="shared" ref="AD329:AD392" si="281">Rcea1_u*Cc1ea_u*A329*2*Pi</f>
        <v>539.64864825007498</v>
      </c>
      <c r="AE329">
        <f t="shared" ref="AE329:AE392" si="282">-Rcea1_u*Cc1ea_u*Cc2ea_u*(A329*2*Pi)^2</f>
        <v>-0.35093873897344835</v>
      </c>
      <c r="AF329">
        <f t="shared" ref="AF329:AF392" si="283">(Cc2ea_u+Cc1ea_u)*A329*2*Pi</f>
        <v>0.14155074003105</v>
      </c>
      <c r="AG329">
        <f t="shared" si="246"/>
        <v>531.00271374592296</v>
      </c>
      <c r="AH329">
        <f t="shared" si="247"/>
        <v>-1323.5495816721052</v>
      </c>
      <c r="AJ329">
        <f t="shared" ref="AJ329:AJ392" si="284">_Rfb1</f>
        <v>18000</v>
      </c>
      <c r="AK329">
        <f t="shared" ref="AK329:AK392" si="285">_Rfb1*Rcea2_u*Cc3ea_u*A329*2*Pi</f>
        <v>40813.435425798001</v>
      </c>
      <c r="AL329">
        <v>1</v>
      </c>
      <c r="AM329">
        <f t="shared" ref="AM329:AM392" si="286">(_Rfb1+Rcea2_u)*Cc3ea_u*A329*2*Pi</f>
        <v>80.304574505211008</v>
      </c>
      <c r="AN329">
        <f t="shared" si="248"/>
        <v>510.94498318400554</v>
      </c>
      <c r="AO329">
        <f t="shared" si="249"/>
        <v>-217.78404436575556</v>
      </c>
      <c r="AQ329">
        <f t="shared" ref="AQ329:AQ392" si="287">Eadcg/(1+(Eadcg*A329/GBP)^2)</f>
        <v>7.5614309554397309E-3</v>
      </c>
      <c r="AR329">
        <f t="shared" ref="AR329:AR392" si="288">-(A329*Eadcg*Eadcg/GBP)/(1+(Eadcg*A329/GBP)^2)</f>
        <v>-8.6956455987556911</v>
      </c>
      <c r="AT329">
        <f t="shared" si="261"/>
        <v>-11505.102954244836</v>
      </c>
      <c r="AU329">
        <f t="shared" si="262"/>
        <v>-4627.4193394899776</v>
      </c>
      <c r="AV329">
        <f t="shared" si="250"/>
        <v>-2.7591861572104088</v>
      </c>
      <c r="AW329">
        <f t="shared" si="251"/>
        <v>-853.01861660996656</v>
      </c>
      <c r="AX329">
        <f t="shared" si="252"/>
        <v>-6222.4484925101569</v>
      </c>
      <c r="AY329">
        <f t="shared" si="260"/>
        <v>-1.7070344172236991</v>
      </c>
      <c r="BA329">
        <f t="shared" ref="BA329:BA392" si="289">SQRT(AT329^2+AU329^2)/SQRT(AW329^2+AX329^2)</f>
        <v>1.9744503971106326</v>
      </c>
      <c r="BB329">
        <f t="shared" si="253"/>
        <v>5.9089245539887845</v>
      </c>
      <c r="BC329">
        <f t="shared" si="254"/>
        <v>-1.0521517399867097</v>
      </c>
      <c r="BD329">
        <f t="shared" ref="BD329:BD392" si="290">BC329*180/Pi-180</f>
        <v>-240.28385417746878</v>
      </c>
      <c r="BF329">
        <f t="shared" ref="BF329:BF392" si="291">20*LOG(BA329*J329*F329*C329)</f>
        <v>-41.992858144825249</v>
      </c>
      <c r="BG329">
        <f t="shared" ref="BG329:BG392" si="292">(180/Pi)*(D329+H329+BC329)</f>
        <v>-232.03345053186996</v>
      </c>
      <c r="BH329">
        <f t="shared" si="255"/>
        <v>-52.03345053186996</v>
      </c>
      <c r="BI329">
        <f t="shared" si="256"/>
        <v>-52.03345053186996</v>
      </c>
      <c r="BJ329">
        <f t="shared" ref="BJ329:BJ392" si="293">SUM((BF330&lt;0)*(BF329&gt;0))*A329</f>
        <v>0</v>
      </c>
      <c r="BK329">
        <f t="shared" si="257"/>
        <v>0</v>
      </c>
      <c r="BM329">
        <f t="shared" si="258"/>
        <v>-47.901782698814024</v>
      </c>
      <c r="BN329">
        <f t="shared" ref="BN329:BN392" si="294">(H329+D329)*180/Pi</f>
        <v>-171.74959635440115</v>
      </c>
      <c r="BQ329" s="56">
        <f t="shared" si="259"/>
        <v>22.810885354273921</v>
      </c>
      <c r="BR329" s="59"/>
      <c r="BS329" s="59"/>
      <c r="BT329" s="59">
        <v>154881.66200000001</v>
      </c>
      <c r="BU329" s="59">
        <v>10.266</v>
      </c>
      <c r="BV329" s="59">
        <v>-136.816</v>
      </c>
      <c r="BY329" s="59"/>
      <c r="BZ329" s="59"/>
      <c r="CA329" s="59"/>
      <c r="CC329" s="59"/>
    </row>
    <row r="330" spans="1:81" x14ac:dyDescent="0.2">
      <c r="A330">
        <f t="shared" si="263"/>
        <v>580000</v>
      </c>
      <c r="B330">
        <f t="shared" ref="B330:B393" si="295">A330/1000</f>
        <v>580</v>
      </c>
      <c r="C330">
        <f t="shared" si="264"/>
        <v>1.0097440034726091</v>
      </c>
      <c r="D330">
        <f t="shared" si="265"/>
        <v>0.13903621462101434</v>
      </c>
      <c r="F330">
        <f t="shared" si="266"/>
        <v>2.6131105026304554E-4</v>
      </c>
      <c r="G330">
        <f t="shared" si="267"/>
        <v>6.0908985249562E-3</v>
      </c>
      <c r="H330">
        <f t="shared" si="268"/>
        <v>-3.1355017514750441</v>
      </c>
      <c r="J330">
        <f t="shared" si="269"/>
        <v>15</v>
      </c>
      <c r="M330">
        <f t="shared" si="270"/>
        <v>3.8909459844864842E-4</v>
      </c>
      <c r="N330">
        <f t="shared" si="271"/>
        <v>-1.5707963250000001</v>
      </c>
      <c r="O330">
        <f t="shared" si="272"/>
        <v>544.34216373206118</v>
      </c>
      <c r="P330">
        <f t="shared" si="273"/>
        <v>1.5689592459492354</v>
      </c>
      <c r="Q330">
        <f t="shared" si="274"/>
        <v>81.009047538320416</v>
      </c>
      <c r="R330">
        <f t="shared" si="275"/>
        <v>1.5584517130870705</v>
      </c>
      <c r="S330">
        <f t="shared" si="276"/>
        <v>0.40061060066711029</v>
      </c>
      <c r="T330">
        <f t="shared" si="277"/>
        <v>-1.1586131638473569</v>
      </c>
      <c r="U330">
        <f t="shared" si="278"/>
        <v>0.3712879879510928</v>
      </c>
      <c r="V330">
        <f t="shared" si="279"/>
        <v>-1.1904005460312457</v>
      </c>
      <c r="X330">
        <f t="shared" ref="X330:X393" si="296">20*LOG(C330*J330*O330*Q330*F330*M330*S330*U330)</f>
        <v>-39.91291287193097</v>
      </c>
      <c r="Y330">
        <f t="shared" si="280"/>
        <v>-217.08595170202565</v>
      </c>
      <c r="Z330">
        <f t="shared" ref="Z330:Z393" si="297">Y330+180</f>
        <v>-37.085951702025653</v>
      </c>
      <c r="AC330">
        <v>1</v>
      </c>
      <c r="AD330">
        <f t="shared" si="281"/>
        <v>544.34124519138004</v>
      </c>
      <c r="AE330">
        <f t="shared" si="282"/>
        <v>-0.35706855740088622</v>
      </c>
      <c r="AF330">
        <f t="shared" si="283"/>
        <v>0.14278161603132</v>
      </c>
      <c r="AG330">
        <f t="shared" ref="AG330:AG359" si="298">AC330*AE330/(AE330^2+AF330^2)+AD330*AF330/(AE330^2+AF330^2)</f>
        <v>523.14360728672409</v>
      </c>
      <c r="AH330">
        <f t="shared" ref="AH330:AH359" si="299">AD330*AE330/(AE330^2+AF330^2)-AC330*AF330/(AE330^2+AF330^2)</f>
        <v>-1315.2823058549195</v>
      </c>
      <c r="AJ330">
        <f t="shared" si="284"/>
        <v>18000</v>
      </c>
      <c r="AK330">
        <f t="shared" si="285"/>
        <v>41168.334864283199</v>
      </c>
      <c r="AL330">
        <v>1</v>
      </c>
      <c r="AM330">
        <f t="shared" si="286"/>
        <v>81.002875153082414</v>
      </c>
      <c r="AN330">
        <f t="shared" ref="AN330:AN359" si="300">AJ330*AL330/(AL330^2+AM330^2)+AK330*AM330/(AL330^2+AM330^2)</f>
        <v>510.89843362283875</v>
      </c>
      <c r="AO330">
        <f t="shared" ref="AO330:AO359" si="301">AK330*AL330/(AL330^2+AM330^2)-AJ330*AM330/(AL330^2+AM330^2)</f>
        <v>-215.90717037297219</v>
      </c>
      <c r="AQ330">
        <f t="shared" si="287"/>
        <v>7.431623490172793E-3</v>
      </c>
      <c r="AR330">
        <f t="shared" si="288"/>
        <v>-8.6206832486004394</v>
      </c>
      <c r="AT330">
        <f t="shared" si="261"/>
        <v>-11334.744334943418</v>
      </c>
      <c r="AU330">
        <f t="shared" si="262"/>
        <v>-4519.6300148294695</v>
      </c>
      <c r="AV330">
        <f t="shared" ref="AV330:AV393" si="302">ATAN2(AT330,AU330)</f>
        <v>-2.7621718849198387</v>
      </c>
      <c r="AW330">
        <f t="shared" ref="AW330:AW393" si="303">AG330-AH330*AO330/_Rfb2+AG330*AN330/_Rfb2+AN330-AO330*AR330+AQ330*AN330</f>
        <v>-828.41696832409082</v>
      </c>
      <c r="AX330">
        <f t="shared" ref="AX330:AX393" si="304">AH330+AH330*AN330/_Rfb2+AG330*AO330/_Rfb2+AO330+AO330*AQ330+AN330*AR330</f>
        <v>-6171.4752480551761</v>
      </c>
      <c r="AY330">
        <f t="shared" si="260"/>
        <v>-1.7042319185643615</v>
      </c>
      <c r="BA330">
        <f t="shared" si="289"/>
        <v>1.959681947405004</v>
      </c>
      <c r="BB330">
        <f t="shared" ref="BB330:BB393" si="305">20*LOG(BA330)</f>
        <v>5.8437118384014735</v>
      </c>
      <c r="BC330">
        <f t="shared" ref="BC330:BC393" si="306">AV330-AY330</f>
        <v>-1.0579399663554772</v>
      </c>
      <c r="BD330">
        <f t="shared" si="290"/>
        <v>-240.61549511964444</v>
      </c>
      <c r="BF330">
        <f t="shared" si="291"/>
        <v>-42.207081816781155</v>
      </c>
      <c r="BG330">
        <f t="shared" si="292"/>
        <v>-232.30032403396129</v>
      </c>
      <c r="BH330">
        <f t="shared" ref="BH330:BH393" si="307">IF(BG330&gt;180,BG330-180,BG330+180)</f>
        <v>-52.300324033961289</v>
      </c>
      <c r="BI330">
        <f t="shared" ref="BI330:BI393" si="308">IF(BH330&gt;180,BH330-360,BH330)</f>
        <v>-52.300324033961289</v>
      </c>
      <c r="BJ330">
        <f t="shared" si="293"/>
        <v>0</v>
      </c>
      <c r="BK330">
        <f t="shared" ref="BK330:BK393" si="309">IF(BJ330&gt;0,BI330,0)</f>
        <v>0</v>
      </c>
      <c r="BM330">
        <f t="shared" ref="BM330:BM393" si="310">20*LOG(J330*F330*C330)</f>
        <v>-48.05079365518263</v>
      </c>
      <c r="BN330">
        <f t="shared" si="294"/>
        <v>-171.68482891431685</v>
      </c>
      <c r="BQ330" s="56">
        <f t="shared" ref="BQ330:BQ393" si="311">20*LOG(BA330*7)</f>
        <v>22.74567263868661</v>
      </c>
      <c r="BR330" s="59"/>
      <c r="BS330" s="59"/>
      <c r="BT330" s="59">
        <v>158489.31899999999</v>
      </c>
      <c r="BU330" s="59">
        <v>10.4788</v>
      </c>
      <c r="BV330" s="59">
        <v>-137.47</v>
      </c>
      <c r="BY330" s="59"/>
      <c r="BZ330" s="59"/>
      <c r="CA330" s="59"/>
      <c r="CC330" s="59"/>
    </row>
    <row r="331" spans="1:81" x14ac:dyDescent="0.2">
      <c r="A331">
        <f t="shared" si="263"/>
        <v>585000</v>
      </c>
      <c r="B331">
        <f t="shared" si="295"/>
        <v>585</v>
      </c>
      <c r="C331">
        <f t="shared" si="264"/>
        <v>1.0099118996200549</v>
      </c>
      <c r="D331">
        <f t="shared" si="265"/>
        <v>0.1402192192001778</v>
      </c>
      <c r="F331">
        <f t="shared" si="266"/>
        <v>2.5686221141801407E-4</v>
      </c>
      <c r="G331">
        <f t="shared" si="267"/>
        <v>6.0388137150202076E-3</v>
      </c>
      <c r="H331">
        <f t="shared" si="268"/>
        <v>-3.1355538362849802</v>
      </c>
      <c r="J331">
        <f t="shared" si="269"/>
        <v>15</v>
      </c>
      <c r="M331">
        <f t="shared" si="270"/>
        <v>3.8576900359011296E-4</v>
      </c>
      <c r="N331">
        <f t="shared" si="271"/>
        <v>-1.5707963250000001</v>
      </c>
      <c r="O331">
        <f t="shared" si="272"/>
        <v>549.03475282260422</v>
      </c>
      <c r="P331">
        <f t="shared" si="273"/>
        <v>1.5689749474600494</v>
      </c>
      <c r="Q331">
        <f t="shared" si="274"/>
        <v>81.707295434730668</v>
      </c>
      <c r="R331">
        <f t="shared" si="275"/>
        <v>1.558557212024251</v>
      </c>
      <c r="S331">
        <f t="shared" si="276"/>
        <v>0.39773018478794536</v>
      </c>
      <c r="T331">
        <f t="shared" si="277"/>
        <v>-1.1617547177126748</v>
      </c>
      <c r="U331">
        <f t="shared" si="278"/>
        <v>0.36854722381231381</v>
      </c>
      <c r="V331">
        <f t="shared" si="279"/>
        <v>-1.1933505730909784</v>
      </c>
      <c r="X331">
        <f t="shared" si="296"/>
        <v>-40.11310676549752</v>
      </c>
      <c r="Y331">
        <f t="shared" si="280"/>
        <v>-217.36323237602045</v>
      </c>
      <c r="Z331">
        <f t="shared" si="297"/>
        <v>-37.363232376020449</v>
      </c>
      <c r="AC331">
        <v>1</v>
      </c>
      <c r="AD331">
        <f t="shared" si="281"/>
        <v>549.03384213268498</v>
      </c>
      <c r="AE331">
        <f t="shared" si="282"/>
        <v>-0.36325144784934094</v>
      </c>
      <c r="AF331">
        <f t="shared" si="283"/>
        <v>0.14401249203159</v>
      </c>
      <c r="AG331">
        <f t="shared" si="298"/>
        <v>515.448657588581</v>
      </c>
      <c r="AH331">
        <f t="shared" si="299"/>
        <v>-1307.0912703861841</v>
      </c>
      <c r="AJ331">
        <f t="shared" si="284"/>
        <v>18000</v>
      </c>
      <c r="AK331">
        <f t="shared" si="285"/>
        <v>41523.234302768404</v>
      </c>
      <c r="AL331">
        <v>1</v>
      </c>
      <c r="AM331">
        <f t="shared" si="286"/>
        <v>81.701175800953806</v>
      </c>
      <c r="AN331">
        <f t="shared" si="300"/>
        <v>510.85307229365264</v>
      </c>
      <c r="AO331">
        <f t="shared" si="301"/>
        <v>-214.06236515267108</v>
      </c>
      <c r="AQ331">
        <f t="shared" si="287"/>
        <v>7.3051301737671317E-3</v>
      </c>
      <c r="AR331">
        <f t="shared" si="288"/>
        <v>-8.5470023033075435</v>
      </c>
      <c r="AT331">
        <f t="shared" si="261"/>
        <v>-11167.946679082321</v>
      </c>
      <c r="AU331">
        <f t="shared" si="262"/>
        <v>-4415.0893355255494</v>
      </c>
      <c r="AV331">
        <f t="shared" si="302"/>
        <v>-2.7651135785741445</v>
      </c>
      <c r="AW331">
        <f t="shared" si="303"/>
        <v>-804.47921586849884</v>
      </c>
      <c r="AX331">
        <f t="shared" si="304"/>
        <v>-6121.3200470975771</v>
      </c>
      <c r="AY331">
        <f t="shared" ref="AY331:AY394" si="312">ATAN2(AW331,AX331)</f>
        <v>-1.7014699400060804</v>
      </c>
      <c r="BA331">
        <f t="shared" si="289"/>
        <v>1.945105616818257</v>
      </c>
      <c r="BB331">
        <f t="shared" si="305"/>
        <v>5.7788637590549232</v>
      </c>
      <c r="BC331">
        <f t="shared" si="306"/>
        <v>-1.0636436385680641</v>
      </c>
      <c r="BD331">
        <f t="shared" si="290"/>
        <v>-240.94229146552516</v>
      </c>
      <c r="BF331">
        <f t="shared" si="291"/>
        <v>-42.4196369262757</v>
      </c>
      <c r="BG331">
        <f t="shared" si="292"/>
        <v>-232.56232345002331</v>
      </c>
      <c r="BH331">
        <f t="shared" si="307"/>
        <v>-52.562323450023314</v>
      </c>
      <c r="BI331">
        <f t="shared" si="308"/>
        <v>-52.562323450023314</v>
      </c>
      <c r="BJ331">
        <f t="shared" si="293"/>
        <v>0</v>
      </c>
      <c r="BK331">
        <f t="shared" si="309"/>
        <v>0</v>
      </c>
      <c r="BM331">
        <f t="shared" si="310"/>
        <v>-48.198500685330615</v>
      </c>
      <c r="BN331">
        <f t="shared" si="294"/>
        <v>-171.62003198449821</v>
      </c>
      <c r="BQ331" s="56">
        <f t="shared" si="311"/>
        <v>22.68082455934006</v>
      </c>
      <c r="BR331" s="59"/>
      <c r="BS331" s="59"/>
      <c r="BT331" s="59">
        <v>162181.01</v>
      </c>
      <c r="BU331" s="59">
        <v>10.741899999999999</v>
      </c>
      <c r="BV331" s="59">
        <v>-137.46899999999999</v>
      </c>
      <c r="BY331" s="59"/>
      <c r="BZ331" s="59"/>
      <c r="CA331" s="59"/>
      <c r="CC331" s="59"/>
    </row>
    <row r="332" spans="1:81" x14ac:dyDescent="0.2">
      <c r="A332">
        <f t="shared" si="263"/>
        <v>590000</v>
      </c>
      <c r="B332">
        <f t="shared" si="295"/>
        <v>590</v>
      </c>
      <c r="C332">
        <f t="shared" si="264"/>
        <v>1.0100812086680206</v>
      </c>
      <c r="D332">
        <f t="shared" si="265"/>
        <v>0.14140182884527766</v>
      </c>
      <c r="F332">
        <f t="shared" si="266"/>
        <v>2.5252603444514648E-4</v>
      </c>
      <c r="G332">
        <f t="shared" si="267"/>
        <v>5.9876123474967933E-3</v>
      </c>
      <c r="H332">
        <f t="shared" si="268"/>
        <v>-3.1356050376525033</v>
      </c>
      <c r="J332">
        <f t="shared" si="269"/>
        <v>15</v>
      </c>
      <c r="M332">
        <f t="shared" si="270"/>
        <v>3.8249977474612897E-4</v>
      </c>
      <c r="N332">
        <f t="shared" si="271"/>
        <v>-1.5707963250000001</v>
      </c>
      <c r="O332">
        <f t="shared" si="272"/>
        <v>553.72734204621065</v>
      </c>
      <c r="P332">
        <f t="shared" si="273"/>
        <v>1.5689903828444369</v>
      </c>
      <c r="Q332">
        <f t="shared" si="274"/>
        <v>82.405544225133909</v>
      </c>
      <c r="R332">
        <f t="shared" si="275"/>
        <v>1.558660923109435</v>
      </c>
      <c r="S332">
        <f t="shared" si="276"/>
        <v>0.39488707977266196</v>
      </c>
      <c r="T332">
        <f t="shared" si="277"/>
        <v>-1.1648513880750331</v>
      </c>
      <c r="U332">
        <f t="shared" si="278"/>
        <v>0.36584351242717794</v>
      </c>
      <c r="V332">
        <f t="shared" si="279"/>
        <v>-1.1962573415584181</v>
      </c>
      <c r="X332">
        <f t="shared" si="296"/>
        <v>-40.311888474321222</v>
      </c>
      <c r="Y332">
        <f t="shared" si="280"/>
        <v>-217.63555257478231</v>
      </c>
      <c r="Z332">
        <f t="shared" si="297"/>
        <v>-37.635552574782309</v>
      </c>
      <c r="AC332">
        <v>1</v>
      </c>
      <c r="AD332">
        <f t="shared" si="281"/>
        <v>553.72643907399004</v>
      </c>
      <c r="AE332">
        <f t="shared" si="282"/>
        <v>-0.36948741031881238</v>
      </c>
      <c r="AF332">
        <f t="shared" si="283"/>
        <v>0.14524336803186</v>
      </c>
      <c r="AG332">
        <f t="shared" si="298"/>
        <v>507.91359880970151</v>
      </c>
      <c r="AH332">
        <f t="shared" si="299"/>
        <v>-1298.976213829739</v>
      </c>
      <c r="AJ332">
        <f t="shared" si="284"/>
        <v>18000</v>
      </c>
      <c r="AK332">
        <f t="shared" si="285"/>
        <v>41878.133741253594</v>
      </c>
      <c r="AL332">
        <v>1</v>
      </c>
      <c r="AM332">
        <f t="shared" si="286"/>
        <v>82.399476448825197</v>
      </c>
      <c r="AN332">
        <f t="shared" si="300"/>
        <v>510.80885909849007</v>
      </c>
      <c r="AO332">
        <f t="shared" si="301"/>
        <v>-212.24881388370594</v>
      </c>
      <c r="AQ332">
        <f t="shared" si="287"/>
        <v>7.1818391397305802E-3</v>
      </c>
      <c r="AR332">
        <f t="shared" si="288"/>
        <v>-8.4745701848820847</v>
      </c>
      <c r="AT332">
        <f t="shared" si="261"/>
        <v>-11004.617338828988</v>
      </c>
      <c r="AU332">
        <f t="shared" si="262"/>
        <v>-4313.6784791829186</v>
      </c>
      <c r="AV332">
        <f t="shared" si="302"/>
        <v>-2.7680121548795324</v>
      </c>
      <c r="AW332">
        <f t="shared" si="303"/>
        <v>-781.1817008733633</v>
      </c>
      <c r="AX332">
        <f t="shared" si="304"/>
        <v>-6071.9633817466647</v>
      </c>
      <c r="AY332">
        <f t="shared" si="312"/>
        <v>-1.6987473636499231</v>
      </c>
      <c r="BA332">
        <f t="shared" si="289"/>
        <v>1.9307184500014822</v>
      </c>
      <c r="BB332">
        <f t="shared" si="305"/>
        <v>5.7143789346679803</v>
      </c>
      <c r="BC332">
        <f t="shared" si="306"/>
        <v>-1.0692647912296094</v>
      </c>
      <c r="BD332">
        <f t="shared" si="290"/>
        <v>-241.26435978939844</v>
      </c>
      <c r="BF332">
        <f t="shared" si="291"/>
        <v>-42.630546874508454</v>
      </c>
      <c r="BG332">
        <f t="shared" si="292"/>
        <v>-232.8195668546112</v>
      </c>
      <c r="BH332">
        <f t="shared" si="307"/>
        <v>-52.819566854611196</v>
      </c>
      <c r="BI332">
        <f t="shared" si="308"/>
        <v>-52.819566854611196</v>
      </c>
      <c r="BJ332">
        <f t="shared" si="293"/>
        <v>0</v>
      </c>
      <c r="BK332">
        <f t="shared" si="309"/>
        <v>0</v>
      </c>
      <c r="BM332">
        <f t="shared" si="310"/>
        <v>-48.344925809176431</v>
      </c>
      <c r="BN332">
        <f t="shared" si="294"/>
        <v>-171.55520706521278</v>
      </c>
      <c r="BQ332" s="56">
        <f t="shared" si="311"/>
        <v>22.616339734953115</v>
      </c>
      <c r="BR332" s="59"/>
      <c r="BS332" s="59"/>
      <c r="BT332" s="59">
        <v>165958.69099999999</v>
      </c>
      <c r="BU332" s="59">
        <v>11.0235</v>
      </c>
      <c r="BV332" s="59">
        <v>-138.31200000000001</v>
      </c>
      <c r="BY332" s="59"/>
      <c r="BZ332" s="59"/>
      <c r="CA332" s="59"/>
      <c r="CC332" s="59"/>
    </row>
    <row r="333" spans="1:81" x14ac:dyDescent="0.2">
      <c r="A333">
        <f t="shared" si="263"/>
        <v>595000</v>
      </c>
      <c r="B333">
        <f t="shared" si="295"/>
        <v>595</v>
      </c>
      <c r="C333">
        <f t="shared" si="264"/>
        <v>1.0102519299061385</v>
      </c>
      <c r="D333">
        <f t="shared" si="265"/>
        <v>0.14258404044779885</v>
      </c>
      <c r="F333">
        <f t="shared" si="266"/>
        <v>2.4829874687034355E-4</v>
      </c>
      <c r="G333">
        <f t="shared" si="267"/>
        <v>5.9372721291788286E-3</v>
      </c>
      <c r="H333">
        <f t="shared" si="268"/>
        <v>-3.1356553778708212</v>
      </c>
      <c r="J333">
        <f t="shared" si="269"/>
        <v>15</v>
      </c>
      <c r="M333">
        <f t="shared" si="270"/>
        <v>3.7928549092473292E-4</v>
      </c>
      <c r="N333">
        <f t="shared" si="271"/>
        <v>-1.5707963250000001</v>
      </c>
      <c r="O333">
        <f t="shared" si="272"/>
        <v>558.41993139952604</v>
      </c>
      <c r="P333">
        <f t="shared" si="273"/>
        <v>1.5690055588114384</v>
      </c>
      <c r="Q333">
        <f t="shared" si="274"/>
        <v>83.103793886995774</v>
      </c>
      <c r="R333">
        <f t="shared" si="275"/>
        <v>1.5587628914057081</v>
      </c>
      <c r="S333">
        <f t="shared" si="276"/>
        <v>0.39208065303805945</v>
      </c>
      <c r="T333">
        <f t="shared" si="277"/>
        <v>-1.1679040718531801</v>
      </c>
      <c r="U333">
        <f t="shared" si="278"/>
        <v>0.36317617985816397</v>
      </c>
      <c r="V333">
        <f t="shared" si="279"/>
        <v>-1.1991217479533491</v>
      </c>
      <c r="X333">
        <f t="shared" si="296"/>
        <v>-40.509275281615935</v>
      </c>
      <c r="Y333">
        <f t="shared" si="280"/>
        <v>-217.90301354385738</v>
      </c>
      <c r="Z333">
        <f t="shared" si="297"/>
        <v>-37.903013543857384</v>
      </c>
      <c r="AC333">
        <v>1</v>
      </c>
      <c r="AD333">
        <f t="shared" si="281"/>
        <v>558.41903601529498</v>
      </c>
      <c r="AE333">
        <f t="shared" si="282"/>
        <v>-0.37577644480930061</v>
      </c>
      <c r="AF333">
        <f t="shared" si="283"/>
        <v>0.14647424403213</v>
      </c>
      <c r="AG333">
        <f t="shared" si="298"/>
        <v>500.53429225782952</v>
      </c>
      <c r="AH333">
        <f t="shared" si="299"/>
        <v>-1290.9368339754583</v>
      </c>
      <c r="AJ333">
        <f t="shared" si="284"/>
        <v>18000</v>
      </c>
      <c r="AK333">
        <f t="shared" si="285"/>
        <v>42233.033179738799</v>
      </c>
      <c r="AL333">
        <v>1</v>
      </c>
      <c r="AM333">
        <f t="shared" si="286"/>
        <v>83.097777096696603</v>
      </c>
      <c r="AN333">
        <f t="shared" si="300"/>
        <v>510.76575561658143</v>
      </c>
      <c r="AO333">
        <f t="shared" si="301"/>
        <v>-210.46572911369333</v>
      </c>
      <c r="AQ333">
        <f t="shared" si="287"/>
        <v>7.0616432020032469E-3</v>
      </c>
      <c r="AR333">
        <f t="shared" si="288"/>
        <v>-8.4033554103838632</v>
      </c>
      <c r="AT333">
        <f t="shared" si="261"/>
        <v>-10844.66643366919</v>
      </c>
      <c r="AU333">
        <f t="shared" si="262"/>
        <v>-4215.2836882453485</v>
      </c>
      <c r="AV333">
        <f t="shared" si="302"/>
        <v>-2.7708685067950549</v>
      </c>
      <c r="AW333">
        <f t="shared" si="303"/>
        <v>-758.50180503525235</v>
      </c>
      <c r="AX333">
        <f t="shared" si="304"/>
        <v>-6023.386366038274</v>
      </c>
      <c r="AY333">
        <f t="shared" si="312"/>
        <v>-1.6960631105219333</v>
      </c>
      <c r="BA333">
        <f t="shared" si="289"/>
        <v>1.9165175152051923</v>
      </c>
      <c r="BB333">
        <f t="shared" si="305"/>
        <v>5.6502558532027223</v>
      </c>
      <c r="BC333">
        <f t="shared" si="306"/>
        <v>-1.0748053962731217</v>
      </c>
      <c r="BD333">
        <f t="shared" si="290"/>
        <v>-241.58181307470335</v>
      </c>
      <c r="BF333">
        <f t="shared" si="291"/>
        <v>-42.83983463582058</v>
      </c>
      <c r="BG333">
        <f t="shared" si="292"/>
        <v>-233.07216868657551</v>
      </c>
      <c r="BH333">
        <f t="shared" si="307"/>
        <v>-53.072168686575509</v>
      </c>
      <c r="BI333">
        <f t="shared" si="308"/>
        <v>-53.072168686575509</v>
      </c>
      <c r="BJ333">
        <f t="shared" si="293"/>
        <v>0</v>
      </c>
      <c r="BK333">
        <f t="shared" si="309"/>
        <v>0</v>
      </c>
      <c r="BM333">
        <f t="shared" si="310"/>
        <v>-48.490090489023309</v>
      </c>
      <c r="BN333">
        <f t="shared" si="294"/>
        <v>-171.49035561187225</v>
      </c>
      <c r="BQ333" s="56">
        <f t="shared" si="311"/>
        <v>22.552216653487861</v>
      </c>
      <c r="BR333" s="59"/>
      <c r="BS333" s="59"/>
      <c r="BT333" s="59">
        <v>169824.36499999999</v>
      </c>
      <c r="BU333" s="59">
        <v>11.234299999999999</v>
      </c>
      <c r="BV333" s="59">
        <v>-140.114</v>
      </c>
      <c r="BY333" s="59"/>
      <c r="BZ333" s="59"/>
      <c r="CA333" s="59"/>
      <c r="CC333" s="59"/>
    </row>
    <row r="334" spans="1:81" x14ac:dyDescent="0.2">
      <c r="A334">
        <f t="shared" si="263"/>
        <v>600000</v>
      </c>
      <c r="B334">
        <f t="shared" si="295"/>
        <v>600</v>
      </c>
      <c r="C334">
        <f t="shared" si="264"/>
        <v>1.0104240626185976</v>
      </c>
      <c r="D334">
        <f t="shared" si="265"/>
        <v>0.14376585090576885</v>
      </c>
      <c r="F334">
        <f t="shared" si="266"/>
        <v>2.4417673282085833E-4</v>
      </c>
      <c r="G334">
        <f t="shared" si="267"/>
        <v>5.88777151085318E-3</v>
      </c>
      <c r="H334">
        <f t="shared" si="268"/>
        <v>-3.1357048784891468</v>
      </c>
      <c r="J334">
        <f t="shared" si="269"/>
        <v>15</v>
      </c>
      <c r="M334">
        <f t="shared" si="270"/>
        <v>3.7612477850036013E-4</v>
      </c>
      <c r="N334">
        <f t="shared" si="271"/>
        <v>-1.5707963250000001</v>
      </c>
      <c r="O334">
        <f t="shared" si="272"/>
        <v>563.11252087930757</v>
      </c>
      <c r="P334">
        <f t="shared" si="273"/>
        <v>1.569020481846461</v>
      </c>
      <c r="Q334">
        <f t="shared" si="274"/>
        <v>83.802044398532942</v>
      </c>
      <c r="R334">
        <f t="shared" si="275"/>
        <v>1.5588631604744154</v>
      </c>
      <c r="S334">
        <f t="shared" si="276"/>
        <v>0.38931028337755802</v>
      </c>
      <c r="T334">
        <f t="shared" si="277"/>
        <v>-1.1709136439456613</v>
      </c>
      <c r="U334">
        <f t="shared" si="278"/>
        <v>0.36054456606937618</v>
      </c>
      <c r="V334">
        <f t="shared" si="279"/>
        <v>-1.2019446656353945</v>
      </c>
      <c r="X334">
        <f t="shared" si="296"/>
        <v>-40.705284195696727</v>
      </c>
      <c r="Y334">
        <f t="shared" si="280"/>
        <v>-218.16571399600144</v>
      </c>
      <c r="Z334">
        <f t="shared" si="297"/>
        <v>-38.165713996001443</v>
      </c>
      <c r="AC334">
        <v>1</v>
      </c>
      <c r="AD334">
        <f t="shared" si="281"/>
        <v>563.11163295659992</v>
      </c>
      <c r="AE334">
        <f t="shared" si="282"/>
        <v>-0.38211855132080569</v>
      </c>
      <c r="AF334">
        <f t="shared" si="283"/>
        <v>0.14770512003239999</v>
      </c>
      <c r="AG334">
        <f t="shared" si="298"/>
        <v>493.30672236483701</v>
      </c>
      <c r="AH334">
        <f t="shared" si="299"/>
        <v>-1282.9727910941619</v>
      </c>
      <c r="AJ334">
        <f t="shared" si="284"/>
        <v>18000</v>
      </c>
      <c r="AK334">
        <f t="shared" si="285"/>
        <v>42587.932618224004</v>
      </c>
      <c r="AL334">
        <v>1</v>
      </c>
      <c r="AM334">
        <f t="shared" si="286"/>
        <v>83.796077744568009</v>
      </c>
      <c r="AN334">
        <f t="shared" si="300"/>
        <v>510.72372502086341</v>
      </c>
      <c r="AO334">
        <f t="shared" si="301"/>
        <v>-208.71234961964387</v>
      </c>
      <c r="AQ334">
        <f t="shared" si="287"/>
        <v>6.9444396219169296E-3</v>
      </c>
      <c r="AR334">
        <f t="shared" si="288"/>
        <v>-8.3333275463003158</v>
      </c>
      <c r="AT334">
        <f t="shared" si="261"/>
        <v>-10688.006762430232</v>
      </c>
      <c r="AU334">
        <f t="shared" si="262"/>
        <v>-4119.7960253423335</v>
      </c>
      <c r="AV334">
        <f t="shared" si="302"/>
        <v>-2.7736835042382944</v>
      </c>
      <c r="AW334">
        <f t="shared" si="303"/>
        <v>-736.41789608115289</v>
      </c>
      <c r="AX334">
        <f t="shared" si="304"/>
        <v>-5975.5707108122378</v>
      </c>
      <c r="AY334">
        <f t="shared" si="312"/>
        <v>-1.6934161389985287</v>
      </c>
      <c r="BA334">
        <f t="shared" si="289"/>
        <v>1.9024999067171062</v>
      </c>
      <c r="BB334">
        <f t="shared" si="305"/>
        <v>5.5864928829678773</v>
      </c>
      <c r="BC334">
        <f t="shared" si="306"/>
        <v>-1.0802673652397656</v>
      </c>
      <c r="BD334">
        <f t="shared" si="290"/>
        <v>-241.89476084468106</v>
      </c>
      <c r="BF334">
        <f t="shared" si="291"/>
        <v>-43.047522765281549</v>
      </c>
      <c r="BG334">
        <f t="shared" si="292"/>
        <v>-233.32023988156641</v>
      </c>
      <c r="BH334">
        <f t="shared" si="307"/>
        <v>-53.320239881566408</v>
      </c>
      <c r="BI334">
        <f t="shared" si="308"/>
        <v>-53.320239881566408</v>
      </c>
      <c r="BJ334">
        <f t="shared" si="293"/>
        <v>0</v>
      </c>
      <c r="BK334">
        <f t="shared" si="309"/>
        <v>0</v>
      </c>
      <c r="BM334">
        <f t="shared" si="310"/>
        <v>-48.634015648249417</v>
      </c>
      <c r="BN334">
        <f t="shared" si="294"/>
        <v>-171.42547903688532</v>
      </c>
      <c r="BQ334" s="56">
        <f t="shared" si="311"/>
        <v>22.488453683253017</v>
      </c>
      <c r="BR334" s="59"/>
      <c r="BS334" s="59"/>
      <c r="BT334" s="59">
        <v>173780.08300000001</v>
      </c>
      <c r="BU334" s="59">
        <v>11.3918</v>
      </c>
      <c r="BV334" s="59">
        <v>-141.173</v>
      </c>
      <c r="BY334" s="59"/>
      <c r="BZ334" s="59"/>
      <c r="CA334" s="59"/>
      <c r="CC334" s="59"/>
    </row>
    <row r="335" spans="1:81" x14ac:dyDescent="0.2">
      <c r="A335">
        <f t="shared" si="263"/>
        <v>605000</v>
      </c>
      <c r="B335">
        <f t="shared" si="295"/>
        <v>605</v>
      </c>
      <c r="C335">
        <f t="shared" si="264"/>
        <v>1.0105976060841591</v>
      </c>
      <c r="D335">
        <f t="shared" si="265"/>
        <v>0.14494725712380213</v>
      </c>
      <c r="F335">
        <f t="shared" si="266"/>
        <v>2.401565252880741E-4</v>
      </c>
      <c r="G335">
        <f t="shared" si="267"/>
        <v>5.8390896565137015E-3</v>
      </c>
      <c r="H335">
        <f t="shared" si="268"/>
        <v>-3.1357535603434865</v>
      </c>
      <c r="J335">
        <f t="shared" si="269"/>
        <v>15</v>
      </c>
      <c r="M335">
        <f t="shared" si="270"/>
        <v>3.7301630925655553E-4</v>
      </c>
      <c r="N335">
        <f t="shared" si="271"/>
        <v>-1.5707963250000001</v>
      </c>
      <c r="O335">
        <f t="shared" si="272"/>
        <v>567.80511048241976</v>
      </c>
      <c r="P335">
        <f t="shared" si="273"/>
        <v>1.5690351582205191</v>
      </c>
      <c r="Q335">
        <f t="shared" si="274"/>
        <v>84.500295738682084</v>
      </c>
      <c r="R335">
        <f t="shared" si="275"/>
        <v>1.5589617724371996</v>
      </c>
      <c r="S335">
        <f t="shared" si="276"/>
        <v>0.38657536083330568</v>
      </c>
      <c r="T335">
        <f t="shared" si="277"/>
        <v>-1.1738809578378795</v>
      </c>
      <c r="U335">
        <f t="shared" si="278"/>
        <v>0.35794802467162207</v>
      </c>
      <c r="V335">
        <f t="shared" si="279"/>
        <v>-1.2047269454923293</v>
      </c>
      <c r="X335">
        <f t="shared" si="296"/>
        <v>-40.899931954614289</v>
      </c>
      <c r="Y335">
        <f t="shared" si="280"/>
        <v>-218.4237501830772</v>
      </c>
      <c r="Z335">
        <f t="shared" si="297"/>
        <v>-38.423750183077203</v>
      </c>
      <c r="AC335">
        <v>1</v>
      </c>
      <c r="AD335">
        <f t="shared" si="281"/>
        <v>567.80422989790497</v>
      </c>
      <c r="AE335">
        <f t="shared" si="282"/>
        <v>-0.38851372985332749</v>
      </c>
      <c r="AF335">
        <f t="shared" si="283"/>
        <v>0.14893599603267002</v>
      </c>
      <c r="AG335">
        <f t="shared" si="298"/>
        <v>486.2269927807896</v>
      </c>
      <c r="AH335">
        <f t="shared" si="299"/>
        <v>-1275.0837109853182</v>
      </c>
      <c r="AJ335">
        <f t="shared" si="284"/>
        <v>18000</v>
      </c>
      <c r="AK335">
        <f t="shared" si="285"/>
        <v>42942.832056709201</v>
      </c>
      <c r="AL335">
        <v>1</v>
      </c>
      <c r="AM335">
        <f t="shared" si="286"/>
        <v>84.494378392439415</v>
      </c>
      <c r="AN335">
        <f t="shared" si="300"/>
        <v>510.68273199930775</v>
      </c>
      <c r="AO335">
        <f t="shared" si="301"/>
        <v>-206.98793932503375</v>
      </c>
      <c r="AQ335">
        <f t="shared" si="287"/>
        <v>6.8301298885800913E-3</v>
      </c>
      <c r="AR335">
        <f t="shared" si="288"/>
        <v>-8.264457165181911</v>
      </c>
      <c r="AT335">
        <f t="shared" si="261"/>
        <v>-10534.553717943329</v>
      </c>
      <c r="AU335">
        <f t="shared" si="262"/>
        <v>-4027.1111417568923</v>
      </c>
      <c r="AV335">
        <f t="shared" si="302"/>
        <v>-2.7764579947687693</v>
      </c>
      <c r="AW335">
        <f t="shared" si="303"/>
        <v>-714.90927695494133</v>
      </c>
      <c r="AX335">
        <f t="shared" si="304"/>
        <v>-5928.4986998328668</v>
      </c>
      <c r="AY335">
        <f t="shared" si="312"/>
        <v>-1.6908054433016044</v>
      </c>
      <c r="BA335">
        <f t="shared" si="289"/>
        <v>1.8886627470083679</v>
      </c>
      <c r="BB335">
        <f t="shared" si="305"/>
        <v>5.5230882829512806</v>
      </c>
      <c r="BC335">
        <f t="shared" si="306"/>
        <v>-1.0856525514671649</v>
      </c>
      <c r="BD335">
        <f t="shared" si="290"/>
        <v>-242.20330928775559</v>
      </c>
      <c r="BF335">
        <f t="shared" si="291"/>
        <v>-43.253633406270033</v>
      </c>
      <c r="BG335">
        <f t="shared" si="292"/>
        <v>-233.56388799917548</v>
      </c>
      <c r="BH335">
        <f t="shared" si="307"/>
        <v>-53.563887999175478</v>
      </c>
      <c r="BI335">
        <f t="shared" si="308"/>
        <v>-53.563887999175478</v>
      </c>
      <c r="BJ335">
        <f t="shared" si="293"/>
        <v>0</v>
      </c>
      <c r="BK335">
        <f t="shared" si="309"/>
        <v>0</v>
      </c>
      <c r="BM335">
        <f t="shared" si="310"/>
        <v>-48.776721689221311</v>
      </c>
      <c r="BN335">
        <f t="shared" si="294"/>
        <v>-171.36057871141989</v>
      </c>
      <c r="BQ335" s="56">
        <f t="shared" si="311"/>
        <v>22.425049083236416</v>
      </c>
      <c r="BR335" s="59"/>
      <c r="BS335" s="59"/>
      <c r="BT335" s="59">
        <v>177827.94099999999</v>
      </c>
      <c r="BU335" s="59">
        <v>11.612500000000001</v>
      </c>
      <c r="BV335" s="59">
        <v>-141.86199999999999</v>
      </c>
      <c r="BY335" s="59"/>
      <c r="BZ335" s="59"/>
      <c r="CA335" s="59"/>
      <c r="CC335" s="59"/>
    </row>
    <row r="336" spans="1:81" x14ac:dyDescent="0.2">
      <c r="A336">
        <f t="shared" si="263"/>
        <v>610000</v>
      </c>
      <c r="B336">
        <f t="shared" si="295"/>
        <v>610</v>
      </c>
      <c r="C336">
        <f t="shared" si="264"/>
        <v>1.0107725595761694</v>
      </c>
      <c r="D336">
        <f t="shared" si="265"/>
        <v>0.14612825601314389</v>
      </c>
      <c r="F336">
        <f t="shared" si="266"/>
        <v>2.3623479883265501E-4</v>
      </c>
      <c r="G336">
        <f t="shared" si="267"/>
        <v>5.7912064140907826E-3</v>
      </c>
      <c r="H336">
        <f t="shared" si="268"/>
        <v>-3.1358014435859096</v>
      </c>
      <c r="J336">
        <f t="shared" si="269"/>
        <v>15</v>
      </c>
      <c r="M336">
        <f t="shared" si="270"/>
        <v>3.6995879852494439E-4</v>
      </c>
      <c r="N336">
        <f t="shared" si="271"/>
        <v>-1.5707963250000001</v>
      </c>
      <c r="O336">
        <f t="shared" si="272"/>
        <v>572.49770020583003</v>
      </c>
      <c r="P336">
        <f t="shared" si="273"/>
        <v>1.5690495939990212</v>
      </c>
      <c r="Q336">
        <f t="shared" si="274"/>
        <v>85.198547887070305</v>
      </c>
      <c r="R336">
        <f t="shared" si="275"/>
        <v>1.5590587680349883</v>
      </c>
      <c r="S336">
        <f t="shared" si="276"/>
        <v>0.38387528656174291</v>
      </c>
      <c r="T336">
        <f t="shared" si="277"/>
        <v>-1.1768068461921877</v>
      </c>
      <c r="U336">
        <f t="shared" si="278"/>
        <v>0.35538592266705016</v>
      </c>
      <c r="V336">
        <f t="shared" si="279"/>
        <v>-1.2074694166065383</v>
      </c>
      <c r="X336">
        <f t="shared" si="296"/>
        <v>-41.093235030731272</v>
      </c>
      <c r="Y336">
        <f t="shared" si="280"/>
        <v>-218.67721596584036</v>
      </c>
      <c r="Z336">
        <f t="shared" si="297"/>
        <v>-38.677215965840361</v>
      </c>
      <c r="AC336">
        <v>1</v>
      </c>
      <c r="AD336">
        <f t="shared" si="281"/>
        <v>572.49682683921003</v>
      </c>
      <c r="AE336">
        <f t="shared" si="282"/>
        <v>-0.39496198040686614</v>
      </c>
      <c r="AF336">
        <f t="shared" si="283"/>
        <v>0.15016687203293999</v>
      </c>
      <c r="AG336">
        <f t="shared" si="298"/>
        <v>479.29132258547673</v>
      </c>
      <c r="AH336">
        <f t="shared" si="299"/>
        <v>-1267.2691878302041</v>
      </c>
      <c r="AJ336">
        <f t="shared" si="284"/>
        <v>18000</v>
      </c>
      <c r="AK336">
        <f t="shared" si="285"/>
        <v>43297.731495194399</v>
      </c>
      <c r="AL336">
        <v>1</v>
      </c>
      <c r="AM336">
        <f t="shared" si="286"/>
        <v>85.192679040310807</v>
      </c>
      <c r="AN336">
        <f t="shared" si="300"/>
        <v>510.64274268074206</v>
      </c>
      <c r="AO336">
        <f t="shared" si="301"/>
        <v>-205.29178627008289</v>
      </c>
      <c r="AQ336">
        <f t="shared" si="287"/>
        <v>6.7186195118116689E-3</v>
      </c>
      <c r="AR336">
        <f t="shared" si="288"/>
        <v>-8.1967158044102355</v>
      </c>
      <c r="AT336">
        <f t="shared" si="261"/>
        <v>-10384.225204298195</v>
      </c>
      <c r="AU336">
        <f t="shared" si="262"/>
        <v>-3937.1290582451356</v>
      </c>
      <c r="AV336">
        <f t="shared" si="302"/>
        <v>-2.7791928042497314</v>
      </c>
      <c r="AW336">
        <f t="shared" si="303"/>
        <v>-693.95613801027253</v>
      </c>
      <c r="AX336">
        <f t="shared" si="304"/>
        <v>-5882.1531670791155</v>
      </c>
      <c r="AY336">
        <f t="shared" si="312"/>
        <v>-1.688230052060181</v>
      </c>
      <c r="BA336">
        <f t="shared" si="289"/>
        <v>1.8750031886139868</v>
      </c>
      <c r="BB336">
        <f t="shared" si="305"/>
        <v>5.4600402124350929</v>
      </c>
      <c r="BC336">
        <f t="shared" si="306"/>
        <v>-1.0909627521895504</v>
      </c>
      <c r="BD336">
        <f t="shared" si="290"/>
        <v>-242.50756137786325</v>
      </c>
      <c r="BF336">
        <f t="shared" si="291"/>
        <v>-43.458188298034031</v>
      </c>
      <c r="BG336">
        <f t="shared" si="292"/>
        <v>-233.80321734494024</v>
      </c>
      <c r="BH336">
        <f t="shared" si="307"/>
        <v>-53.803217344940236</v>
      </c>
      <c r="BI336">
        <f t="shared" si="308"/>
        <v>-53.803217344940236</v>
      </c>
      <c r="BJ336">
        <f t="shared" si="293"/>
        <v>0</v>
      </c>
      <c r="BK336">
        <f t="shared" si="309"/>
        <v>0</v>
      </c>
      <c r="BM336">
        <f t="shared" si="310"/>
        <v>-48.91822851046912</v>
      </c>
      <c r="BN336">
        <f t="shared" si="294"/>
        <v>-171.29565596707698</v>
      </c>
      <c r="BQ336" s="56">
        <f t="shared" si="311"/>
        <v>22.362001012720228</v>
      </c>
      <c r="BR336" s="59"/>
      <c r="BS336" s="59"/>
      <c r="BT336" s="59">
        <v>181970.08600000001</v>
      </c>
      <c r="BU336" s="59">
        <v>11.8933</v>
      </c>
      <c r="BV336" s="59">
        <v>-143.41399999999999</v>
      </c>
      <c r="BY336" s="59"/>
      <c r="BZ336" s="59"/>
      <c r="CA336" s="59"/>
      <c r="CC336" s="59"/>
    </row>
    <row r="337" spans="1:81" x14ac:dyDescent="0.2">
      <c r="A337">
        <f t="shared" si="263"/>
        <v>615000</v>
      </c>
      <c r="B337">
        <f t="shared" si="295"/>
        <v>615</v>
      </c>
      <c r="C337">
        <f t="shared" si="264"/>
        <v>1.0109489223625765</v>
      </c>
      <c r="D337">
        <f t="shared" si="265"/>
        <v>0.14730884449171394</v>
      </c>
      <c r="F337">
        <f t="shared" si="266"/>
        <v>2.3240836270339762E-4</v>
      </c>
      <c r="G337">
        <f t="shared" si="267"/>
        <v>5.7441022876110279E-3</v>
      </c>
      <c r="H337">
        <f t="shared" si="268"/>
        <v>-3.135848547712389</v>
      </c>
      <c r="J337">
        <f t="shared" si="269"/>
        <v>15</v>
      </c>
      <c r="M337">
        <f t="shared" si="270"/>
        <v>3.6695100341498554E-4</v>
      </c>
      <c r="N337">
        <f t="shared" si="271"/>
        <v>-1.5707963250000001</v>
      </c>
      <c r="O337">
        <f t="shared" si="272"/>
        <v>577.19029004660399</v>
      </c>
      <c r="P337">
        <f t="shared" si="273"/>
        <v>1.5690637950501281</v>
      </c>
      <c r="Q337">
        <f t="shared" si="274"/>
        <v>85.896800823987206</v>
      </c>
      <c r="R337">
        <f t="shared" si="275"/>
        <v>1.5591541866841052</v>
      </c>
      <c r="S337">
        <f t="shared" si="276"/>
        <v>0.38120947269347527</v>
      </c>
      <c r="T337">
        <f t="shared" si="277"/>
        <v>-1.1796921214213907</v>
      </c>
      <c r="U337">
        <f t="shared" si="278"/>
        <v>0.35285764019392024</v>
      </c>
      <c r="V337">
        <f t="shared" si="279"/>
        <v>-1.2101728869002812</v>
      </c>
      <c r="X337">
        <f t="shared" si="296"/>
        <v>-41.285209635239937</v>
      </c>
      <c r="Y337">
        <f t="shared" si="280"/>
        <v>-218.92620288166907</v>
      </c>
      <c r="Z337">
        <f t="shared" si="297"/>
        <v>-38.92620288166907</v>
      </c>
      <c r="AC337">
        <v>1</v>
      </c>
      <c r="AD337">
        <f t="shared" si="281"/>
        <v>577.18942378051509</v>
      </c>
      <c r="AE337">
        <f t="shared" si="282"/>
        <v>-0.40146330298142152</v>
      </c>
      <c r="AF337">
        <f t="shared" si="283"/>
        <v>0.15139774803320999</v>
      </c>
      <c r="AG337">
        <f t="shared" si="298"/>
        <v>472.49604261524939</v>
      </c>
      <c r="AH337">
        <f t="shared" si="299"/>
        <v>-1259.5287868624016</v>
      </c>
      <c r="AJ337">
        <f t="shared" si="284"/>
        <v>18000</v>
      </c>
      <c r="AK337">
        <f t="shared" si="285"/>
        <v>43652.630933679597</v>
      </c>
      <c r="AL337">
        <v>1</v>
      </c>
      <c r="AM337">
        <f t="shared" si="286"/>
        <v>85.890979688182199</v>
      </c>
      <c r="AN337">
        <f t="shared" si="300"/>
        <v>510.60372456487448</v>
      </c>
      <c r="AO337">
        <f t="shared" si="301"/>
        <v>-203.62320163221406</v>
      </c>
      <c r="AQ337">
        <f t="shared" si="287"/>
        <v>6.6098178268108754E-3</v>
      </c>
      <c r="AR337">
        <f t="shared" si="288"/>
        <v>-8.1300759269773764</v>
      </c>
      <c r="AT337">
        <f t="shared" si="261"/>
        <v>-10236.941556639455</v>
      </c>
      <c r="AU337">
        <f t="shared" si="262"/>
        <v>-3849.7539574871003</v>
      </c>
      <c r="AV337">
        <f t="shared" si="302"/>
        <v>-2.7818887374889929</v>
      </c>
      <c r="AW337">
        <f t="shared" si="303"/>
        <v>-673.53951200985239</v>
      </c>
      <c r="AX337">
        <f t="shared" si="304"/>
        <v>-5836.5174751361519</v>
      </c>
      <c r="AY337">
        <f t="shared" si="312"/>
        <v>-1.6856890269355671</v>
      </c>
      <c r="BA337">
        <f t="shared" si="289"/>
        <v>1.8615184157710951</v>
      </c>
      <c r="BB337">
        <f t="shared" si="305"/>
        <v>5.3973467399435044</v>
      </c>
      <c r="BC337">
        <f t="shared" si="306"/>
        <v>-1.0961997105534258</v>
      </c>
      <c r="BD337">
        <f t="shared" si="290"/>
        <v>-242.80761698994192</v>
      </c>
      <c r="BF337">
        <f t="shared" si="291"/>
        <v>-43.661208783216324</v>
      </c>
      <c r="BG337">
        <f t="shared" si="292"/>
        <v>-234.03832908742575</v>
      </c>
      <c r="BH337">
        <f t="shared" si="307"/>
        <v>-54.038329087425751</v>
      </c>
      <c r="BI337">
        <f t="shared" si="308"/>
        <v>-54.038329087425751</v>
      </c>
      <c r="BJ337">
        <f t="shared" si="293"/>
        <v>0</v>
      </c>
      <c r="BK337">
        <f t="shared" si="309"/>
        <v>0</v>
      </c>
      <c r="BM337">
        <f t="shared" si="310"/>
        <v>-49.058555523159839</v>
      </c>
      <c r="BN337">
        <f t="shared" si="294"/>
        <v>-171.23071209748386</v>
      </c>
      <c r="BQ337" s="56">
        <f t="shared" si="311"/>
        <v>22.299307540228639</v>
      </c>
      <c r="BR337" s="59"/>
      <c r="BS337" s="59"/>
      <c r="BT337" s="59">
        <v>186208.71400000001</v>
      </c>
      <c r="BU337" s="59">
        <v>12.027799999999999</v>
      </c>
      <c r="BV337" s="59">
        <v>-144.279</v>
      </c>
      <c r="BY337" s="59"/>
      <c r="BZ337" s="59"/>
      <c r="CA337" s="59"/>
      <c r="CC337" s="59"/>
    </row>
    <row r="338" spans="1:81" x14ac:dyDescent="0.2">
      <c r="A338">
        <f t="shared" si="263"/>
        <v>620000</v>
      </c>
      <c r="B338">
        <f t="shared" si="295"/>
        <v>620</v>
      </c>
      <c r="C338">
        <f t="shared" si="264"/>
        <v>1.0111266937059447</v>
      </c>
      <c r="D338">
        <f t="shared" si="265"/>
        <v>0.14848901948414994</v>
      </c>
      <c r="F338">
        <f t="shared" si="266"/>
        <v>2.2867415434318282E-4</v>
      </c>
      <c r="G338">
        <f t="shared" si="267"/>
        <v>5.6977584107061633E-3</v>
      </c>
      <c r="H338">
        <f t="shared" si="268"/>
        <v>-3.1358948915892939</v>
      </c>
      <c r="J338">
        <f t="shared" si="269"/>
        <v>15</v>
      </c>
      <c r="M338">
        <f t="shared" si="270"/>
        <v>3.639917211293808E-4</v>
      </c>
      <c r="N338">
        <f t="shared" si="271"/>
        <v>-1.5707963250000001</v>
      </c>
      <c r="O338">
        <f t="shared" si="272"/>
        <v>581.88288000190266</v>
      </c>
      <c r="P338">
        <f t="shared" si="273"/>
        <v>1.5690777670527056</v>
      </c>
      <c r="Q338">
        <f t="shared" si="274"/>
        <v>86.595054530358027</v>
      </c>
      <c r="R338">
        <f t="shared" si="275"/>
        <v>1.5592480665296666</v>
      </c>
      <c r="S338">
        <f t="shared" si="276"/>
        <v>0.37857734218823447</v>
      </c>
      <c r="T338">
        <f t="shared" si="277"/>
        <v>-1.1825375762460364</v>
      </c>
      <c r="U338">
        <f t="shared" si="278"/>
        <v>0.3503625702720205</v>
      </c>
      <c r="V338">
        <f t="shared" si="279"/>
        <v>-1.2128381437604128</v>
      </c>
      <c r="X338">
        <f t="shared" si="296"/>
        <v>-41.475871722620603</v>
      </c>
      <c r="Y338">
        <f t="shared" si="280"/>
        <v>-219.17080021028812</v>
      </c>
      <c r="Z338">
        <f t="shared" si="297"/>
        <v>-39.170800210288121</v>
      </c>
      <c r="AC338">
        <v>1</v>
      </c>
      <c r="AD338">
        <f t="shared" si="281"/>
        <v>581.88202072182003</v>
      </c>
      <c r="AE338">
        <f t="shared" si="282"/>
        <v>-0.40801769757699369</v>
      </c>
      <c r="AF338">
        <f t="shared" si="283"/>
        <v>0.15262862403348001</v>
      </c>
      <c r="AG338">
        <f t="shared" si="298"/>
        <v>465.83759190286071</v>
      </c>
      <c r="AH338">
        <f t="shared" si="299"/>
        <v>-1251.8620468668057</v>
      </c>
      <c r="AJ338">
        <f t="shared" si="284"/>
        <v>18000</v>
      </c>
      <c r="AK338">
        <f t="shared" si="285"/>
        <v>44007.530372164802</v>
      </c>
      <c r="AL338">
        <v>1</v>
      </c>
      <c r="AM338">
        <f t="shared" si="286"/>
        <v>86.589280336053605</v>
      </c>
      <c r="AN338">
        <f t="shared" si="300"/>
        <v>510.56564645625002</v>
      </c>
      <c r="AO338">
        <f t="shared" si="301"/>
        <v>-201.98151879386378</v>
      </c>
      <c r="AQ338">
        <f t="shared" si="287"/>
        <v>6.5036378098089166E-3</v>
      </c>
      <c r="AR338">
        <f t="shared" si="288"/>
        <v>-8.0645108841630559</v>
      </c>
      <c r="AT338">
        <f t="shared" si="261"/>
        <v>-10092.625463452066</v>
      </c>
      <c r="AU338">
        <f t="shared" si="262"/>
        <v>-3764.8939874935959</v>
      </c>
      <c r="AV338">
        <f t="shared" si="302"/>
        <v>-2.7845465788594259</v>
      </c>
      <c r="AW338">
        <f t="shared" si="303"/>
        <v>-653.64123174583517</v>
      </c>
      <c r="AX338">
        <f t="shared" si="304"/>
        <v>-5791.5754946246725</v>
      </c>
      <c r="AY338">
        <f t="shared" si="312"/>
        <v>-1.6831814613071341</v>
      </c>
      <c r="BA338">
        <f t="shared" si="289"/>
        <v>1.8482056458366447</v>
      </c>
      <c r="BB338">
        <f t="shared" si="305"/>
        <v>5.3350058515690346</v>
      </c>
      <c r="BC338">
        <f t="shared" si="306"/>
        <v>-1.1013651175522918</v>
      </c>
      <c r="BD338">
        <f t="shared" si="290"/>
        <v>-243.10357301078244</v>
      </c>
      <c r="BF338">
        <f t="shared" si="291"/>
        <v>-43.86271581533353</v>
      </c>
      <c r="BG338">
        <f t="shared" si="292"/>
        <v>-234.26932137059154</v>
      </c>
      <c r="BH338">
        <f t="shared" si="307"/>
        <v>-54.269321370591541</v>
      </c>
      <c r="BI338">
        <f t="shared" si="308"/>
        <v>-54.269321370591541</v>
      </c>
      <c r="BJ338">
        <f t="shared" si="293"/>
        <v>0</v>
      </c>
      <c r="BK338">
        <f t="shared" si="309"/>
        <v>0</v>
      </c>
      <c r="BM338">
        <f t="shared" si="310"/>
        <v>-49.197721666902567</v>
      </c>
      <c r="BN338">
        <f t="shared" si="294"/>
        <v>-171.1657483598091</v>
      </c>
      <c r="BQ338" s="56">
        <f t="shared" si="311"/>
        <v>22.236966651854175</v>
      </c>
      <c r="BR338" s="59"/>
      <c r="BS338" s="59"/>
      <c r="BT338" s="59">
        <v>190546.07199999999</v>
      </c>
      <c r="BU338" s="59">
        <v>12.182600000000001</v>
      </c>
      <c r="BV338" s="59">
        <v>-145.40799999999999</v>
      </c>
      <c r="BY338" s="59"/>
      <c r="BZ338" s="59"/>
      <c r="CA338" s="59"/>
      <c r="CC338" s="59"/>
    </row>
    <row r="339" spans="1:81" x14ac:dyDescent="0.2">
      <c r="A339">
        <f t="shared" si="263"/>
        <v>625000</v>
      </c>
      <c r="B339">
        <f t="shared" si="295"/>
        <v>625</v>
      </c>
      <c r="C339">
        <f t="shared" si="264"/>
        <v>1.0113058728634687</v>
      </c>
      <c r="D339">
        <f t="shared" si="265"/>
        <v>0.14966877792185065</v>
      </c>
      <c r="F339">
        <f t="shared" si="266"/>
        <v>2.2502923325733764E-4</v>
      </c>
      <c r="G339">
        <f t="shared" si="267"/>
        <v>5.6521565213954929E-3</v>
      </c>
      <c r="H339">
        <f t="shared" si="268"/>
        <v>-3.1359404934786048</v>
      </c>
      <c r="J339">
        <f t="shared" si="269"/>
        <v>15</v>
      </c>
      <c r="M339">
        <f t="shared" si="270"/>
        <v>3.6107978736034575E-4</v>
      </c>
      <c r="N339">
        <f t="shared" si="271"/>
        <v>-1.5707963250000001</v>
      </c>
      <c r="O339">
        <f t="shared" si="272"/>
        <v>586.57547006897687</v>
      </c>
      <c r="P339">
        <f t="shared" si="273"/>
        <v>1.5690915155038969</v>
      </c>
      <c r="Q339">
        <f t="shared" si="274"/>
        <v>87.293308987718333</v>
      </c>
      <c r="R339">
        <f t="shared" si="275"/>
        <v>1.5593404444964172</v>
      </c>
      <c r="S339">
        <f t="shared" si="276"/>
        <v>0.37597832868564351</v>
      </c>
      <c r="T339">
        <f t="shared" si="277"/>
        <v>-1.1853439842358804</v>
      </c>
      <c r="U339">
        <f t="shared" si="278"/>
        <v>0.34790011854919239</v>
      </c>
      <c r="V339">
        <f t="shared" si="279"/>
        <v>-1.2154659546431914</v>
      </c>
      <c r="X339">
        <f t="shared" si="296"/>
        <v>-41.66523699504036</v>
      </c>
      <c r="Y339">
        <f t="shared" si="280"/>
        <v>-219.4110950375416</v>
      </c>
      <c r="Z339">
        <f t="shared" si="297"/>
        <v>-39.4110950375416</v>
      </c>
      <c r="AC339">
        <v>1</v>
      </c>
      <c r="AD339">
        <f t="shared" si="281"/>
        <v>586.57461766312497</v>
      </c>
      <c r="AE339">
        <f t="shared" si="282"/>
        <v>-0.41462516419358264</v>
      </c>
      <c r="AF339">
        <f t="shared" si="283"/>
        <v>0.15385950003375001</v>
      </c>
      <c r="AG339">
        <f t="shared" si="298"/>
        <v>459.31251422791343</v>
      </c>
      <c r="AH339">
        <f t="shared" si="299"/>
        <v>-1244.2684825176329</v>
      </c>
      <c r="AJ339">
        <f t="shared" si="284"/>
        <v>18000</v>
      </c>
      <c r="AK339">
        <f t="shared" si="285"/>
        <v>44362.429810649999</v>
      </c>
      <c r="AL339">
        <v>1</v>
      </c>
      <c r="AM339">
        <f t="shared" si="286"/>
        <v>87.287580983925011</v>
      </c>
      <c r="AN339">
        <f t="shared" si="300"/>
        <v>510.52847840189008</v>
      </c>
      <c r="AO339">
        <f t="shared" si="301"/>
        <v>-200.36609245499648</v>
      </c>
      <c r="AQ339">
        <f t="shared" si="287"/>
        <v>6.3999959040026214E-3</v>
      </c>
      <c r="AR339">
        <f t="shared" si="288"/>
        <v>-7.9999948800032765</v>
      </c>
      <c r="AT339">
        <f t="shared" si="261"/>
        <v>-9951.2018912807944</v>
      </c>
      <c r="AU339">
        <f t="shared" si="262"/>
        <v>-3682.4610753363322</v>
      </c>
      <c r="AV339">
        <f t="shared" si="302"/>
        <v>-2.7871670928997543</v>
      </c>
      <c r="AW339">
        <f t="shared" si="303"/>
        <v>-634.24389010961215</v>
      </c>
      <c r="AX339">
        <f t="shared" si="304"/>
        <v>-5747.3115846085948</v>
      </c>
      <c r="AY339">
        <f t="shared" si="312"/>
        <v>-1.6807064790159201</v>
      </c>
      <c r="BA339">
        <f t="shared" si="289"/>
        <v>1.8350621305043668</v>
      </c>
      <c r="BB339">
        <f t="shared" si="305"/>
        <v>5.2730154587203391</v>
      </c>
      <c r="BC339">
        <f t="shared" si="306"/>
        <v>-1.1064606138838342</v>
      </c>
      <c r="BD339">
        <f t="shared" si="290"/>
        <v>-243.39552344543782</v>
      </c>
      <c r="BF339">
        <f t="shared" si="291"/>
        <v>-44.06272996619802</v>
      </c>
      <c r="BG339">
        <f t="shared" si="292"/>
        <v>-234.49628942164281</v>
      </c>
      <c r="BH339">
        <f t="shared" si="307"/>
        <v>-54.496289421642814</v>
      </c>
      <c r="BI339">
        <f t="shared" si="308"/>
        <v>-54.496289421642814</v>
      </c>
      <c r="BJ339">
        <f t="shared" si="293"/>
        <v>0</v>
      </c>
      <c r="BK339">
        <f t="shared" si="309"/>
        <v>0</v>
      </c>
      <c r="BM339">
        <f t="shared" si="310"/>
        <v>-49.335745424918365</v>
      </c>
      <c r="BN339">
        <f t="shared" si="294"/>
        <v>-171.100765976205</v>
      </c>
      <c r="BQ339" s="56">
        <f t="shared" si="311"/>
        <v>22.174976259005476</v>
      </c>
      <c r="BR339" s="59"/>
      <c r="BS339" s="59"/>
      <c r="BT339" s="59">
        <v>194984.46</v>
      </c>
      <c r="BU339" s="59">
        <v>12.458399999999999</v>
      </c>
      <c r="BV339" s="59">
        <v>-146.886</v>
      </c>
      <c r="BY339" s="59"/>
      <c r="BZ339" s="59"/>
      <c r="CA339" s="59"/>
      <c r="CC339" s="59"/>
    </row>
    <row r="340" spans="1:81" x14ac:dyDescent="0.2">
      <c r="A340">
        <f t="shared" si="263"/>
        <v>630000</v>
      </c>
      <c r="B340">
        <f t="shared" si="295"/>
        <v>630</v>
      </c>
      <c r="C340">
        <f t="shared" si="264"/>
        <v>1.0114864590869894</v>
      </c>
      <c r="D340">
        <f t="shared" si="265"/>
        <v>0.15084811674301876</v>
      </c>
      <c r="F340">
        <f t="shared" si="266"/>
        <v>2.2147077522147529E-4</v>
      </c>
      <c r="G340">
        <f t="shared" si="267"/>
        <v>5.6072789380710048E-3</v>
      </c>
      <c r="H340">
        <f t="shared" si="268"/>
        <v>-3.135985371061929</v>
      </c>
      <c r="J340">
        <f t="shared" si="269"/>
        <v>15</v>
      </c>
      <c r="M340">
        <f t="shared" si="270"/>
        <v>3.5821407476224781E-4</v>
      </c>
      <c r="N340">
        <f t="shared" si="271"/>
        <v>-1.5707963250000001</v>
      </c>
      <c r="O340">
        <f t="shared" si="272"/>
        <v>591.26806024516588</v>
      </c>
      <c r="P340">
        <f t="shared" si="273"/>
        <v>1.5691050457263334</v>
      </c>
      <c r="Q340">
        <f t="shared" si="274"/>
        <v>87.991564178189776</v>
      </c>
      <c r="R340">
        <f t="shared" si="275"/>
        <v>1.5594313563371431</v>
      </c>
      <c r="S340">
        <f t="shared" si="276"/>
        <v>0.37341187635244238</v>
      </c>
      <c r="T340">
        <f t="shared" si="277"/>
        <v>-1.188112100335905</v>
      </c>
      <c r="U340">
        <f t="shared" si="278"/>
        <v>0.34546970304937097</v>
      </c>
      <c r="V340">
        <f t="shared" si="279"/>
        <v>-1.2180570676598022</v>
      </c>
      <c r="X340">
        <f t="shared" si="296"/>
        <v>-41.853320906691593</v>
      </c>
      <c r="Y340">
        <f t="shared" si="280"/>
        <v>-219.64717231726567</v>
      </c>
      <c r="Z340">
        <f t="shared" si="297"/>
        <v>-39.647172317265671</v>
      </c>
      <c r="AC340">
        <v>1</v>
      </c>
      <c r="AD340">
        <f t="shared" si="281"/>
        <v>591.26721460443002</v>
      </c>
      <c r="AE340">
        <f t="shared" si="282"/>
        <v>-0.42128570283118827</v>
      </c>
      <c r="AF340">
        <f t="shared" si="283"/>
        <v>0.15509037603401998</v>
      </c>
      <c r="AG340">
        <f t="shared" si="298"/>
        <v>452.91745477542742</v>
      </c>
      <c r="AH340">
        <f t="shared" si="299"/>
        <v>-1236.7475865652989</v>
      </c>
      <c r="AJ340">
        <f t="shared" si="284"/>
        <v>18000</v>
      </c>
      <c r="AK340">
        <f t="shared" si="285"/>
        <v>44717.329249135197</v>
      </c>
      <c r="AL340">
        <v>1</v>
      </c>
      <c r="AM340">
        <f t="shared" si="286"/>
        <v>87.985881631796417</v>
      </c>
      <c r="AN340">
        <f t="shared" si="300"/>
        <v>510.49219163238138</v>
      </c>
      <c r="AO340">
        <f t="shared" si="301"/>
        <v>-198.77629778784015</v>
      </c>
      <c r="AQ340">
        <f t="shared" si="287"/>
        <v>6.2988118551197689E-3</v>
      </c>
      <c r="AR340">
        <f t="shared" si="288"/>
        <v>-7.9365029374509088</v>
      </c>
      <c r="AT340">
        <f t="shared" si="261"/>
        <v>-9812.5980118272873</v>
      </c>
      <c r="AU340">
        <f t="shared" si="262"/>
        <v>-3602.3707506080173</v>
      </c>
      <c r="AV340">
        <f t="shared" si="302"/>
        <v>-2.7897510248962467</v>
      </c>
      <c r="AW340">
        <f t="shared" si="303"/>
        <v>-615.33080245171379</v>
      </c>
      <c r="AX340">
        <f t="shared" si="304"/>
        <v>-5703.7105739257104</v>
      </c>
      <c r="AY340">
        <f t="shared" si="312"/>
        <v>-1.6782632331634075</v>
      </c>
      <c r="BA340">
        <f t="shared" si="289"/>
        <v>1.8220851568391472</v>
      </c>
      <c r="BB340">
        <f t="shared" si="305"/>
        <v>5.2113734053312868</v>
      </c>
      <c r="BC340">
        <f t="shared" si="306"/>
        <v>-1.1114877917328392</v>
      </c>
      <c r="BD340">
        <f t="shared" si="290"/>
        <v>-243.68355951937659</v>
      </c>
      <c r="BF340">
        <f t="shared" si="291"/>
        <v>-44.261271433273492</v>
      </c>
      <c r="BG340">
        <f t="shared" si="292"/>
        <v>-234.71932565455768</v>
      </c>
      <c r="BH340">
        <f t="shared" si="307"/>
        <v>-54.719325654557679</v>
      </c>
      <c r="BI340">
        <f t="shared" si="308"/>
        <v>-54.719325654557679</v>
      </c>
      <c r="BJ340">
        <f t="shared" si="293"/>
        <v>0</v>
      </c>
      <c r="BK340">
        <f t="shared" si="309"/>
        <v>0</v>
      </c>
      <c r="BM340">
        <f t="shared" si="310"/>
        <v>-49.472644838604779</v>
      </c>
      <c r="BN340">
        <f t="shared" si="294"/>
        <v>-171.03576613518109</v>
      </c>
      <c r="BQ340" s="56">
        <f t="shared" si="311"/>
        <v>22.113334205616422</v>
      </c>
      <c r="BR340" s="59"/>
      <c r="BS340" s="59"/>
      <c r="BT340" s="59">
        <v>199526.231</v>
      </c>
      <c r="BU340" s="59">
        <v>12.6511</v>
      </c>
      <c r="BV340" s="59">
        <v>-147.23699999999999</v>
      </c>
      <c r="BY340" s="59"/>
      <c r="BZ340" s="59"/>
      <c r="CA340" s="59"/>
      <c r="CC340" s="59"/>
    </row>
    <row r="341" spans="1:81" x14ac:dyDescent="0.2">
      <c r="A341">
        <f t="shared" si="263"/>
        <v>635000</v>
      </c>
      <c r="B341">
        <f t="shared" si="295"/>
        <v>635</v>
      </c>
      <c r="C341">
        <f t="shared" si="264"/>
        <v>1.0116684516230088</v>
      </c>
      <c r="D341">
        <f t="shared" si="265"/>
        <v>0.1520270328927037</v>
      </c>
      <c r="F341">
        <f t="shared" si="266"/>
        <v>2.1799606680749886E-4</v>
      </c>
      <c r="G341">
        <f t="shared" si="267"/>
        <v>5.5631085366187666E-3</v>
      </c>
      <c r="H341">
        <f t="shared" si="268"/>
        <v>-3.1360295414633814</v>
      </c>
      <c r="J341">
        <f t="shared" si="269"/>
        <v>15</v>
      </c>
      <c r="M341">
        <f t="shared" si="270"/>
        <v>3.5539349149640333E-4</v>
      </c>
      <c r="N341">
        <f t="shared" si="271"/>
        <v>-1.5707963250000001</v>
      </c>
      <c r="O341">
        <f t="shared" si="272"/>
        <v>595.96065052789174</v>
      </c>
      <c r="P341">
        <f t="shared" si="273"/>
        <v>1.5691183628750056</v>
      </c>
      <c r="Q341">
        <f t="shared" si="274"/>
        <v>88.689820084456969</v>
      </c>
      <c r="R341">
        <f t="shared" si="275"/>
        <v>1.5595208366788018</v>
      </c>
      <c r="S341">
        <f t="shared" si="276"/>
        <v>0.37087743972677212</v>
      </c>
      <c r="T341">
        <f t="shared" si="277"/>
        <v>-1.1908426613772789</v>
      </c>
      <c r="U341">
        <f t="shared" si="278"/>
        <v>0.3430707539225073</v>
      </c>
      <c r="V341">
        <f t="shared" si="279"/>
        <v>-1.2206122121431957</v>
      </c>
      <c r="X341">
        <f t="shared" si="296"/>
        <v>-42.040138668070107</v>
      </c>
      <c r="Y341">
        <f t="shared" si="280"/>
        <v>-219.87911493131421</v>
      </c>
      <c r="Z341">
        <f t="shared" si="297"/>
        <v>-39.879114931314206</v>
      </c>
      <c r="AC341">
        <v>1</v>
      </c>
      <c r="AD341">
        <f t="shared" si="281"/>
        <v>595.95981154573496</v>
      </c>
      <c r="AE341">
        <f t="shared" si="282"/>
        <v>-0.42799931348981074</v>
      </c>
      <c r="AF341">
        <f t="shared" si="283"/>
        <v>0.15632125203429001</v>
      </c>
      <c r="AG341">
        <f t="shared" si="298"/>
        <v>446.64915689997605</v>
      </c>
      <c r="AH341">
        <f t="shared" si="299"/>
        <v>-1229.2988318814121</v>
      </c>
      <c r="AJ341">
        <f t="shared" si="284"/>
        <v>18000</v>
      </c>
      <c r="AK341">
        <f t="shared" si="285"/>
        <v>45072.228687620402</v>
      </c>
      <c r="AL341">
        <v>1</v>
      </c>
      <c r="AM341">
        <f t="shared" si="286"/>
        <v>88.684182279667809</v>
      </c>
      <c r="AN341">
        <f t="shared" si="300"/>
        <v>510.45675850619665</v>
      </c>
      <c r="AO341">
        <f t="shared" si="301"/>
        <v>-197.21152963151971</v>
      </c>
      <c r="AQ341">
        <f t="shared" si="287"/>
        <v>6.2000085560118077E-3</v>
      </c>
      <c r="AR341">
        <f t="shared" si="288"/>
        <v>-7.874010866134995</v>
      </c>
      <c r="AT341">
        <f t="shared" si="261"/>
        <v>-9676.7431313669786</v>
      </c>
      <c r="AU341">
        <f t="shared" si="262"/>
        <v>-3524.5419780560055</v>
      </c>
      <c r="AV341">
        <f t="shared" si="302"/>
        <v>-2.7922991014459102</v>
      </c>
      <c r="AW341">
        <f t="shared" si="303"/>
        <v>-596.88597108404133</v>
      </c>
      <c r="AX341">
        <f t="shared" si="304"/>
        <v>-5660.7577433894976</v>
      </c>
      <c r="AY341">
        <f t="shared" si="312"/>
        <v>-1.6758509049629289</v>
      </c>
      <c r="BA341">
        <f t="shared" si="289"/>
        <v>1.8092720481454463</v>
      </c>
      <c r="BB341">
        <f t="shared" si="305"/>
        <v>5.1500774745682563</v>
      </c>
      <c r="BC341">
        <f t="shared" si="306"/>
        <v>-1.1164481964829813</v>
      </c>
      <c r="BD341">
        <f t="shared" si="290"/>
        <v>-243.96776977656114</v>
      </c>
      <c r="BF341">
        <f t="shared" si="291"/>
        <v>-44.458360046955683</v>
      </c>
      <c r="BG341">
        <f t="shared" si="292"/>
        <v>-234.9385197694738</v>
      </c>
      <c r="BH341">
        <f t="shared" si="307"/>
        <v>-54.9385197694738</v>
      </c>
      <c r="BI341">
        <f t="shared" si="308"/>
        <v>-54.9385197694738</v>
      </c>
      <c r="BJ341">
        <f t="shared" si="293"/>
        <v>0</v>
      </c>
      <c r="BK341">
        <f t="shared" si="309"/>
        <v>0</v>
      </c>
      <c r="BM341">
        <f t="shared" si="310"/>
        <v>-49.608437521523939</v>
      </c>
      <c r="BN341">
        <f t="shared" si="294"/>
        <v>-170.97074999291266</v>
      </c>
      <c r="BQ341" s="56">
        <f t="shared" si="311"/>
        <v>22.052038274853395</v>
      </c>
      <c r="BR341" s="59"/>
      <c r="BS341" s="59"/>
      <c r="BT341" s="59">
        <v>204173.79399999999</v>
      </c>
      <c r="BU341" s="59">
        <v>12.903600000000001</v>
      </c>
      <c r="BV341" s="59">
        <v>-148.923</v>
      </c>
      <c r="BY341" s="59"/>
      <c r="BZ341" s="59"/>
      <c r="CA341" s="59"/>
      <c r="CC341" s="59"/>
    </row>
    <row r="342" spans="1:81" x14ac:dyDescent="0.2">
      <c r="A342">
        <f t="shared" si="263"/>
        <v>640000</v>
      </c>
      <c r="B342">
        <f t="shared" si="295"/>
        <v>640</v>
      </c>
      <c r="C342">
        <f t="shared" si="264"/>
        <v>1.0118518497127049</v>
      </c>
      <c r="D342">
        <f t="shared" si="265"/>
        <v>0.1532055233228436</v>
      </c>
      <c r="F342">
        <f t="shared" si="266"/>
        <v>2.1460250020795119E-4</v>
      </c>
      <c r="G342">
        <f t="shared" si="267"/>
        <v>5.5196287286143177E-3</v>
      </c>
      <c r="H342">
        <f t="shared" si="268"/>
        <v>-3.1360730212713861</v>
      </c>
      <c r="J342">
        <f t="shared" si="269"/>
        <v>15</v>
      </c>
      <c r="M342">
        <f t="shared" si="270"/>
        <v>3.5261697984408764E-4</v>
      </c>
      <c r="N342">
        <f t="shared" si="271"/>
        <v>-1.5707963250000001</v>
      </c>
      <c r="O342">
        <f t="shared" si="272"/>
        <v>600.65324091465789</v>
      </c>
      <c r="P342">
        <f t="shared" si="273"/>
        <v>1.569131471943811</v>
      </c>
      <c r="Q342">
        <f t="shared" si="274"/>
        <v>89.388076689745589</v>
      </c>
      <c r="R342">
        <f t="shared" si="275"/>
        <v>1.559608919066487</v>
      </c>
      <c r="S342">
        <f t="shared" si="276"/>
        <v>0.36837448356006924</v>
      </c>
      <c r="T342">
        <f t="shared" si="277"/>
        <v>-1.193536386573633</v>
      </c>
      <c r="U342">
        <f t="shared" si="278"/>
        <v>0.34070271319669371</v>
      </c>
      <c r="V342">
        <f t="shared" si="279"/>
        <v>-1.2231320991968395</v>
      </c>
      <c r="X342">
        <f t="shared" si="296"/>
        <v>-42.225705250192334</v>
      </c>
      <c r="Y342">
        <f t="shared" si="280"/>
        <v>-220.10700374778665</v>
      </c>
      <c r="Z342">
        <f t="shared" si="297"/>
        <v>-40.107003747786649</v>
      </c>
      <c r="AC342">
        <v>1</v>
      </c>
      <c r="AD342">
        <f t="shared" si="281"/>
        <v>600.65240848703991</v>
      </c>
      <c r="AE342">
        <f t="shared" si="282"/>
        <v>-0.43476599616945005</v>
      </c>
      <c r="AF342">
        <f t="shared" si="283"/>
        <v>0.15755212803456001</v>
      </c>
      <c r="AG342">
        <f t="shared" si="298"/>
        <v>440.50445899279953</v>
      </c>
      <c r="AH342">
        <f t="shared" si="299"/>
        <v>-1221.9216733706032</v>
      </c>
      <c r="AJ342">
        <f t="shared" si="284"/>
        <v>18000</v>
      </c>
      <c r="AK342">
        <f t="shared" si="285"/>
        <v>45427.128126105599</v>
      </c>
      <c r="AL342">
        <v>1</v>
      </c>
      <c r="AM342">
        <f t="shared" si="286"/>
        <v>89.382482927539201</v>
      </c>
      <c r="AN342">
        <f t="shared" si="300"/>
        <v>510.42215245704915</v>
      </c>
      <c r="AO342">
        <f t="shared" si="301"/>
        <v>-195.67120172440772</v>
      </c>
      <c r="AQ342">
        <f t="shared" si="287"/>
        <v>6.1035118997119749E-3</v>
      </c>
      <c r="AR342">
        <f t="shared" si="288"/>
        <v>-7.8124952316313285</v>
      </c>
      <c r="AT342">
        <f t="shared" ref="AT342:AT405" si="313">-AR342*AH342+AG342*AQ342</f>
        <v>-9543.5686224274741</v>
      </c>
      <c r="AU342">
        <f t="shared" ref="AU342:AU405" si="314">AQ342*AH342+AG342*AR342</f>
        <v>-3448.8969988675181</v>
      </c>
      <c r="AV342">
        <f t="shared" si="302"/>
        <v>-2.7948120310017672</v>
      </c>
      <c r="AW342">
        <f t="shared" si="303"/>
        <v>-578.89405178719198</v>
      </c>
      <c r="AX342">
        <f t="shared" si="304"/>
        <v>-5618.4388088137539</v>
      </c>
      <c r="AY342">
        <f t="shared" si="312"/>
        <v>-1.673468702641272</v>
      </c>
      <c r="BA342">
        <f t="shared" si="289"/>
        <v>1.7966201646850088</v>
      </c>
      <c r="BB342">
        <f t="shared" si="305"/>
        <v>5.0891253950700177</v>
      </c>
      <c r="BC342">
        <f t="shared" si="306"/>
        <v>-1.1213433283604952</v>
      </c>
      <c r="BD342">
        <f t="shared" si="290"/>
        <v>-244.24824017362312</v>
      </c>
      <c r="BF342">
        <f t="shared" si="291"/>
        <v>-44.654015277771471</v>
      </c>
      <c r="BG342">
        <f t="shared" si="292"/>
        <v>-235.15395884811056</v>
      </c>
      <c r="BH342">
        <f t="shared" si="307"/>
        <v>-55.153958848110562</v>
      </c>
      <c r="BI342">
        <f t="shared" si="308"/>
        <v>-55.153958848110562</v>
      </c>
      <c r="BJ342">
        <f t="shared" si="293"/>
        <v>0</v>
      </c>
      <c r="BK342">
        <f t="shared" si="309"/>
        <v>0</v>
      </c>
      <c r="BM342">
        <f t="shared" si="310"/>
        <v>-49.743140672841491</v>
      </c>
      <c r="BN342">
        <f t="shared" si="294"/>
        <v>-170.90571867448747</v>
      </c>
      <c r="BQ342" s="56">
        <f t="shared" si="311"/>
        <v>21.991086195355155</v>
      </c>
      <c r="BR342" s="59"/>
      <c r="BS342" s="59"/>
      <c r="BT342" s="59">
        <v>208929.61300000001</v>
      </c>
      <c r="BU342" s="59">
        <v>13.1541</v>
      </c>
      <c r="BV342" s="59">
        <v>-149.92099999999999</v>
      </c>
      <c r="BY342" s="59"/>
      <c r="BZ342" s="59"/>
      <c r="CA342" s="59"/>
      <c r="CC342" s="59"/>
    </row>
    <row r="343" spans="1:81" x14ac:dyDescent="0.2">
      <c r="A343">
        <f t="shared" si="263"/>
        <v>645000</v>
      </c>
      <c r="B343">
        <f t="shared" si="295"/>
        <v>645</v>
      </c>
      <c r="C343">
        <f t="shared" si="264"/>
        <v>1.0120366525919482</v>
      </c>
      <c r="D343">
        <f t="shared" si="265"/>
        <v>0.15438358499230778</v>
      </c>
      <c r="F343">
        <f t="shared" si="266"/>
        <v>2.1128756834026837E-4</v>
      </c>
      <c r="G343">
        <f t="shared" si="267"/>
        <v>5.4768234405337193E-3</v>
      </c>
      <c r="H343">
        <f t="shared" si="268"/>
        <v>-3.1361158265594664</v>
      </c>
      <c r="J343">
        <f t="shared" si="269"/>
        <v>15</v>
      </c>
      <c r="M343">
        <f t="shared" si="270"/>
        <v>3.4988351488405591E-4</v>
      </c>
      <c r="N343">
        <f t="shared" si="271"/>
        <v>-1.5707963250000001</v>
      </c>
      <c r="O343">
        <f t="shared" si="272"/>
        <v>605.34583140304437</v>
      </c>
      <c r="P343">
        <f t="shared" si="273"/>
        <v>1.5691443777717986</v>
      </c>
      <c r="Q343">
        <f t="shared" si="274"/>
        <v>90.086333977801345</v>
      </c>
      <c r="R343">
        <f t="shared" si="275"/>
        <v>1.5596956360053515</v>
      </c>
      <c r="S343">
        <f t="shared" si="276"/>
        <v>0.36590248265706804</v>
      </c>
      <c r="T343">
        <f t="shared" si="277"/>
        <v>-1.1961939780030377</v>
      </c>
      <c r="U343">
        <f t="shared" si="278"/>
        <v>0.338365034532777</v>
      </c>
      <c r="V343">
        <f t="shared" si="279"/>
        <v>-1.225617422225957</v>
      </c>
      <c r="X343">
        <f t="shared" si="296"/>
        <v>-42.410035388751616</v>
      </c>
      <c r="Y343">
        <f t="shared" si="280"/>
        <v>-220.33091767751003</v>
      </c>
      <c r="Z343">
        <f t="shared" si="297"/>
        <v>-40.33091767751003</v>
      </c>
      <c r="AC343">
        <v>1</v>
      </c>
      <c r="AD343">
        <f t="shared" si="281"/>
        <v>605.34500542834508</v>
      </c>
      <c r="AE343">
        <f t="shared" si="282"/>
        <v>-0.4415857508701061</v>
      </c>
      <c r="AF343">
        <f t="shared" si="283"/>
        <v>0.15878300403483001</v>
      </c>
      <c r="AG343">
        <f t="shared" si="298"/>
        <v>434.48029144926693</v>
      </c>
      <c r="AH343">
        <f t="shared" si="299"/>
        <v>-1214.6155497573404</v>
      </c>
      <c r="AJ343">
        <f t="shared" si="284"/>
        <v>18000</v>
      </c>
      <c r="AK343">
        <f t="shared" si="285"/>
        <v>45782.027564590804</v>
      </c>
      <c r="AL343">
        <v>1</v>
      </c>
      <c r="AM343">
        <f t="shared" si="286"/>
        <v>90.080783575410607</v>
      </c>
      <c r="AN343">
        <f t="shared" si="300"/>
        <v>510.38834794409019</v>
      </c>
      <c r="AO343">
        <f t="shared" si="301"/>
        <v>-194.15474597214825</v>
      </c>
      <c r="AQ343">
        <f t="shared" si="287"/>
        <v>6.0092506404358873E-3</v>
      </c>
      <c r="AR343">
        <f t="shared" si="288"/>
        <v>-7.7519333261622938</v>
      </c>
      <c r="AT343">
        <f t="shared" si="313"/>
        <v>-9413.007857669214</v>
      </c>
      <c r="AU343">
        <f t="shared" si="314"/>
        <v>-3375.3611801165412</v>
      </c>
      <c r="AV343">
        <f t="shared" si="302"/>
        <v>-2.7972905044007796</v>
      </c>
      <c r="AW343">
        <f t="shared" si="303"/>
        <v>-561.34032219538744</v>
      </c>
      <c r="AX343">
        <f t="shared" si="304"/>
        <v>-5576.7399048147181</v>
      </c>
      <c r="AY343">
        <f t="shared" si="312"/>
        <v>-1.6711158603881666</v>
      </c>
      <c r="BA343">
        <f t="shared" si="289"/>
        <v>1.7841269042578072</v>
      </c>
      <c r="BB343">
        <f t="shared" si="305"/>
        <v>5.0285148467520502</v>
      </c>
      <c r="BC343">
        <f t="shared" si="306"/>
        <v>-1.126174644012613</v>
      </c>
      <c r="BD343">
        <f t="shared" si="290"/>
        <v>-244.52505417030127</v>
      </c>
      <c r="BF343">
        <f t="shared" si="291"/>
        <v>-44.848256243489729</v>
      </c>
      <c r="BG343">
        <f t="shared" si="292"/>
        <v>-235.36572744539583</v>
      </c>
      <c r="BH343">
        <f t="shared" si="307"/>
        <v>-55.365727445395834</v>
      </c>
      <c r="BI343">
        <f t="shared" si="308"/>
        <v>-55.365727445395834</v>
      </c>
      <c r="BJ343">
        <f t="shared" si="293"/>
        <v>0</v>
      </c>
      <c r="BK343">
        <f t="shared" si="309"/>
        <v>0</v>
      </c>
      <c r="BM343">
        <f t="shared" si="310"/>
        <v>-49.876771090241789</v>
      </c>
      <c r="BN343">
        <f t="shared" si="294"/>
        <v>-170.84067327509459</v>
      </c>
      <c r="BQ343" s="56">
        <f t="shared" si="311"/>
        <v>21.930475647037188</v>
      </c>
      <c r="BR343" s="59"/>
      <c r="BS343" s="59"/>
      <c r="BT343" s="59">
        <v>213796.209</v>
      </c>
      <c r="BU343" s="59">
        <v>13.368399999999999</v>
      </c>
      <c r="BV343" s="59">
        <v>-151.101</v>
      </c>
      <c r="BY343" s="59"/>
      <c r="BZ343" s="59"/>
      <c r="CA343" s="59"/>
      <c r="CC343" s="59"/>
    </row>
    <row r="344" spans="1:81" x14ac:dyDescent="0.2">
      <c r="A344">
        <f t="shared" si="263"/>
        <v>650000</v>
      </c>
      <c r="B344">
        <f t="shared" si="295"/>
        <v>650</v>
      </c>
      <c r="C344">
        <f t="shared" si="264"/>
        <v>1.0122228594913152</v>
      </c>
      <c r="D344">
        <f t="shared" si="265"/>
        <v>0.15556121486693827</v>
      </c>
      <c r="F344">
        <f t="shared" si="266"/>
        <v>2.0804886021376956E-4</v>
      </c>
      <c r="G344">
        <f t="shared" si="267"/>
        <v>5.4346770939254609E-3</v>
      </c>
      <c r="H344">
        <f t="shared" si="268"/>
        <v>-3.1361579729060747</v>
      </c>
      <c r="J344">
        <f t="shared" si="269"/>
        <v>15</v>
      </c>
      <c r="M344">
        <f t="shared" si="270"/>
        <v>3.4719210323110164E-4</v>
      </c>
      <c r="N344">
        <f t="shared" si="271"/>
        <v>-1.5707963250000001</v>
      </c>
      <c r="O344">
        <f t="shared" si="272"/>
        <v>610.03842199070641</v>
      </c>
      <c r="P344">
        <f t="shared" si="273"/>
        <v>1.5691570850491241</v>
      </c>
      <c r="Q344">
        <f t="shared" si="274"/>
        <v>90.784591932870029</v>
      </c>
      <c r="R344">
        <f t="shared" si="275"/>
        <v>1.5597810190005956</v>
      </c>
      <c r="S344">
        <f t="shared" si="276"/>
        <v>0.36346092171437083</v>
      </c>
      <c r="T344">
        <f t="shared" si="277"/>
        <v>-1.1988161210760497</v>
      </c>
      <c r="U344">
        <f t="shared" si="278"/>
        <v>0.33605718298171033</v>
      </c>
      <c r="V344">
        <f t="shared" si="279"/>
        <v>-1.2280688574518186</v>
      </c>
      <c r="X344">
        <f t="shared" si="296"/>
        <v>-42.593143588213273</v>
      </c>
      <c r="Y344">
        <f t="shared" si="280"/>
        <v>-220.55093372882425</v>
      </c>
      <c r="Z344">
        <f t="shared" si="297"/>
        <v>-40.550933728824248</v>
      </c>
      <c r="AC344">
        <v>1</v>
      </c>
      <c r="AD344">
        <f t="shared" si="281"/>
        <v>610.03760236965002</v>
      </c>
      <c r="AE344">
        <f t="shared" si="282"/>
        <v>-0.44845857759177893</v>
      </c>
      <c r="AF344">
        <f t="shared" si="283"/>
        <v>0.1600138800351</v>
      </c>
      <c r="AG344">
        <f t="shared" si="298"/>
        <v>428.57367373404452</v>
      </c>
      <c r="AH344">
        <f t="shared" si="299"/>
        <v>-1207.3798852554148</v>
      </c>
      <c r="AJ344">
        <f t="shared" si="284"/>
        <v>18000</v>
      </c>
      <c r="AK344">
        <f t="shared" si="285"/>
        <v>46136.927003075994</v>
      </c>
      <c r="AL344">
        <v>1</v>
      </c>
      <c r="AM344">
        <f t="shared" si="286"/>
        <v>90.779084223282013</v>
      </c>
      <c r="AN344">
        <f t="shared" si="300"/>
        <v>510.35532040477813</v>
      </c>
      <c r="AO344">
        <f t="shared" si="301"/>
        <v>-192.66161174943505</v>
      </c>
      <c r="AQ344">
        <f t="shared" si="287"/>
        <v>5.9171562620377151E-3</v>
      </c>
      <c r="AR344">
        <f t="shared" si="288"/>
        <v>-7.6923031406490292</v>
      </c>
      <c r="AT344">
        <f t="shared" si="313"/>
        <v>-9284.996145909412</v>
      </c>
      <c r="AU344">
        <f t="shared" si="314"/>
        <v>-3303.8628719125804</v>
      </c>
      <c r="AV344">
        <f t="shared" si="302"/>
        <v>-2.7997351953749789</v>
      </c>
      <c r="AW344">
        <f t="shared" si="303"/>
        <v>-544.21065194051107</v>
      </c>
      <c r="AX344">
        <f t="shared" si="304"/>
        <v>-5535.6475693483699</v>
      </c>
      <c r="AY344">
        <f t="shared" si="312"/>
        <v>-1.668791637351436</v>
      </c>
      <c r="BA344">
        <f t="shared" si="289"/>
        <v>1.7717897026590079</v>
      </c>
      <c r="BB344">
        <f t="shared" si="305"/>
        <v>4.9682434662049797</v>
      </c>
      <c r="BC344">
        <f t="shared" si="306"/>
        <v>-1.130943558023543</v>
      </c>
      <c r="BD344">
        <f t="shared" si="290"/>
        <v>-244.7982928163006</v>
      </c>
      <c r="BF344">
        <f t="shared" si="291"/>
        <v>-45.041101716138968</v>
      </c>
      <c r="BG344">
        <f t="shared" si="292"/>
        <v>-235.57390767745852</v>
      </c>
      <c r="BH344">
        <f t="shared" si="307"/>
        <v>-55.573907677458521</v>
      </c>
      <c r="BI344">
        <f t="shared" si="308"/>
        <v>-55.573907677458521</v>
      </c>
      <c r="BJ344">
        <f t="shared" si="293"/>
        <v>0</v>
      </c>
      <c r="BK344">
        <f t="shared" si="309"/>
        <v>0</v>
      </c>
      <c r="BM344">
        <f t="shared" si="310"/>
        <v>-50.009345182343949</v>
      </c>
      <c r="BN344">
        <f t="shared" si="294"/>
        <v>-170.77561486115792</v>
      </c>
      <c r="BQ344" s="56">
        <f t="shared" si="311"/>
        <v>21.870204266490116</v>
      </c>
      <c r="BR344" s="59"/>
      <c r="BS344" s="59"/>
      <c r="BT344" s="59">
        <v>218776.16200000001</v>
      </c>
      <c r="BU344" s="59">
        <v>13.6015</v>
      </c>
      <c r="BV344" s="59">
        <v>-153.08699999999999</v>
      </c>
      <c r="BY344" s="59"/>
      <c r="BZ344" s="59"/>
      <c r="CA344" s="59"/>
      <c r="CC344" s="59"/>
    </row>
    <row r="345" spans="1:81" x14ac:dyDescent="0.2">
      <c r="A345">
        <f t="shared" si="263"/>
        <v>655000</v>
      </c>
      <c r="B345">
        <f t="shared" si="295"/>
        <v>655</v>
      </c>
      <c r="C345">
        <f t="shared" si="264"/>
        <v>1.012410469636106</v>
      </c>
      <c r="D345">
        <f t="shared" si="265"/>
        <v>0.15673840991959148</v>
      </c>
      <c r="F345">
        <f t="shared" si="266"/>
        <v>2.0488405654338983E-4</v>
      </c>
      <c r="G345">
        <f t="shared" si="267"/>
        <v>5.3931745864918071E-3</v>
      </c>
      <c r="H345">
        <f t="shared" si="268"/>
        <v>-3.1361994754135085</v>
      </c>
      <c r="J345">
        <f t="shared" si="269"/>
        <v>15</v>
      </c>
      <c r="M345">
        <f t="shared" si="270"/>
        <v>3.4454178183239095E-4</v>
      </c>
      <c r="N345">
        <f t="shared" si="271"/>
        <v>-1.5707963250000001</v>
      </c>
      <c r="O345">
        <f t="shared" si="272"/>
        <v>614.73101267537038</v>
      </c>
      <c r="P345">
        <f t="shared" si="273"/>
        <v>1.569169598322733</v>
      </c>
      <c r="Q345">
        <f t="shared" si="274"/>
        <v>91.482850539678353</v>
      </c>
      <c r="R345">
        <f t="shared" si="275"/>
        <v>1.5598650985956226</v>
      </c>
      <c r="S345">
        <f t="shared" si="276"/>
        <v>0.36104929515799949</v>
      </c>
      <c r="T345">
        <f t="shared" si="277"/>
        <v>-1.2014034849902033</v>
      </c>
      <c r="U345">
        <f t="shared" si="278"/>
        <v>0.33377863474486003</v>
      </c>
      <c r="V345">
        <f t="shared" si="279"/>
        <v>-1.2304870644096293</v>
      </c>
      <c r="X345">
        <f t="shared" si="296"/>
        <v>-42.775044125848453</v>
      </c>
      <c r="Y345">
        <f t="shared" si="280"/>
        <v>-220.76712706071899</v>
      </c>
      <c r="Z345">
        <f t="shared" si="297"/>
        <v>-40.767127060718991</v>
      </c>
      <c r="AC345">
        <v>1</v>
      </c>
      <c r="AD345">
        <f t="shared" si="281"/>
        <v>614.73019931095496</v>
      </c>
      <c r="AE345">
        <f t="shared" si="282"/>
        <v>-0.45538447633446849</v>
      </c>
      <c r="AF345">
        <f t="shared" si="283"/>
        <v>0.16124475603537</v>
      </c>
      <c r="AG345">
        <f t="shared" si="298"/>
        <v>422.78171154132315</v>
      </c>
      <c r="AH345">
        <f t="shared" si="299"/>
        <v>-1200.2140911273057</v>
      </c>
      <c r="AJ345">
        <f t="shared" si="284"/>
        <v>18000</v>
      </c>
      <c r="AK345">
        <f t="shared" si="285"/>
        <v>46491.826441561199</v>
      </c>
      <c r="AL345">
        <v>1</v>
      </c>
      <c r="AM345">
        <f t="shared" si="286"/>
        <v>91.477384871153404</v>
      </c>
      <c r="AN345">
        <f t="shared" si="300"/>
        <v>510.32304621025543</v>
      </c>
      <c r="AO345">
        <f t="shared" si="301"/>
        <v>-191.19126523374155</v>
      </c>
      <c r="AQ345">
        <f t="shared" si="287"/>
        <v>5.8271628534684143E-3</v>
      </c>
      <c r="AR345">
        <f t="shared" si="288"/>
        <v>-7.6335833380436231</v>
      </c>
      <c r="AT345">
        <f t="shared" si="313"/>
        <v>-9159.4706702299518</v>
      </c>
      <c r="AU345">
        <f t="shared" si="314"/>
        <v>-3234.333271819436</v>
      </c>
      <c r="AV345">
        <f t="shared" si="302"/>
        <v>-2.8021467610463375</v>
      </c>
      <c r="AW345">
        <f t="shared" si="303"/>
        <v>-527.49147444501932</v>
      </c>
      <c r="AX345">
        <f t="shared" si="304"/>
        <v>-5495.1487289431961</v>
      </c>
      <c r="AY345">
        <f t="shared" si="312"/>
        <v>-1.6664953166756999</v>
      </c>
      <c r="BA345">
        <f t="shared" si="289"/>
        <v>1.7596060340236612</v>
      </c>
      <c r="BB345">
        <f t="shared" si="305"/>
        <v>4.9083088517146765</v>
      </c>
      <c r="BC345">
        <f t="shared" si="306"/>
        <v>-1.1356514443706376</v>
      </c>
      <c r="BD345">
        <f t="shared" si="290"/>
        <v>-245.06803483472459</v>
      </c>
      <c r="BF345">
        <f t="shared" si="291"/>
        <v>-45.232570128926845</v>
      </c>
      <c r="BG345">
        <f t="shared" si="292"/>
        <v>-235.77857930614263</v>
      </c>
      <c r="BH345">
        <f t="shared" si="307"/>
        <v>-55.778579306142632</v>
      </c>
      <c r="BI345">
        <f t="shared" si="308"/>
        <v>-55.778579306142632</v>
      </c>
      <c r="BJ345">
        <f t="shared" si="293"/>
        <v>0</v>
      </c>
      <c r="BK345">
        <f t="shared" si="309"/>
        <v>0</v>
      </c>
      <c r="BM345">
        <f t="shared" si="310"/>
        <v>-50.140878980641517</v>
      </c>
      <c r="BN345">
        <f t="shared" si="294"/>
        <v>-170.71054447141802</v>
      </c>
      <c r="BQ345" s="56">
        <f t="shared" si="311"/>
        <v>21.810269651999814</v>
      </c>
      <c r="BR345" s="59"/>
      <c r="BS345" s="59"/>
      <c r="BT345" s="59">
        <v>223872.114</v>
      </c>
      <c r="BU345" s="59">
        <v>13.8704</v>
      </c>
      <c r="BV345" s="59">
        <v>-154.70699999999999</v>
      </c>
      <c r="BY345" s="59"/>
      <c r="BZ345" s="59"/>
      <c r="CA345" s="59"/>
      <c r="CC345" s="59"/>
    </row>
    <row r="346" spans="1:81" x14ac:dyDescent="0.2">
      <c r="A346">
        <f t="shared" si="263"/>
        <v>660000</v>
      </c>
      <c r="B346">
        <f t="shared" si="295"/>
        <v>660</v>
      </c>
      <c r="C346">
        <f t="shared" si="264"/>
        <v>1.0125994822463584</v>
      </c>
      <c r="D346">
        <f t="shared" si="265"/>
        <v>0.15791516713017939</v>
      </c>
      <c r="F346">
        <f t="shared" si="266"/>
        <v>2.0179092559525095E-4</v>
      </c>
      <c r="G346">
        <f t="shared" si="267"/>
        <v>5.3523012740312719E-3</v>
      </c>
      <c r="H346">
        <f t="shared" si="268"/>
        <v>-3.1362403487259689</v>
      </c>
      <c r="J346">
        <f t="shared" si="269"/>
        <v>15</v>
      </c>
      <c r="M346">
        <f t="shared" si="270"/>
        <v>3.4193161681850921E-4</v>
      </c>
      <c r="N346">
        <f t="shared" si="271"/>
        <v>-1.5707963250000001</v>
      </c>
      <c r="O346">
        <f t="shared" si="272"/>
        <v>619.42360345483189</v>
      </c>
      <c r="P346">
        <f t="shared" si="273"/>
        <v>1.5691819220017851</v>
      </c>
      <c r="Q346">
        <f t="shared" si="274"/>
        <v>92.18110978341582</v>
      </c>
      <c r="R346">
        <f t="shared" si="275"/>
        <v>1.559947904408463</v>
      </c>
      <c r="S346">
        <f t="shared" si="276"/>
        <v>0.35866710698031012</v>
      </c>
      <c r="T346">
        <f t="shared" si="277"/>
        <v>-1.2039567231713117</v>
      </c>
      <c r="U346">
        <f t="shared" si="278"/>
        <v>0.33152887693745797</v>
      </c>
      <c r="V346">
        <f t="shared" si="279"/>
        <v>-1.2328726864305501</v>
      </c>
      <c r="X346">
        <f t="shared" si="296"/>
        <v>-42.955751055706656</v>
      </c>
      <c r="Y346">
        <f t="shared" si="280"/>
        <v>-220.97957103437091</v>
      </c>
      <c r="Z346">
        <f t="shared" si="297"/>
        <v>-40.979571034370906</v>
      </c>
      <c r="AC346">
        <v>1</v>
      </c>
      <c r="AD346">
        <f t="shared" si="281"/>
        <v>619.42279625226001</v>
      </c>
      <c r="AE346">
        <f t="shared" si="282"/>
        <v>-0.4623634470981749</v>
      </c>
      <c r="AF346">
        <f t="shared" si="283"/>
        <v>0.16247563203564</v>
      </c>
      <c r="AG346">
        <f t="shared" si="298"/>
        <v>417.10159404746031</v>
      </c>
      <c r="AH346">
        <f t="shared" si="299"/>
        <v>-1193.1175671401891</v>
      </c>
      <c r="AJ346">
        <f t="shared" si="284"/>
        <v>18000</v>
      </c>
      <c r="AK346">
        <f t="shared" si="285"/>
        <v>46846.725880046404</v>
      </c>
      <c r="AL346">
        <v>1</v>
      </c>
      <c r="AM346">
        <f t="shared" si="286"/>
        <v>92.17568551902481</v>
      </c>
      <c r="AN346">
        <f t="shared" si="300"/>
        <v>510.29150262308076</v>
      </c>
      <c r="AO346">
        <f t="shared" si="301"/>
        <v>-189.74318876931042</v>
      </c>
      <c r="AQ346">
        <f t="shared" si="287"/>
        <v>5.7392069908132511E-3</v>
      </c>
      <c r="AR346">
        <f t="shared" si="288"/>
        <v>-7.5757532278734914</v>
      </c>
      <c r="AT346">
        <f t="shared" si="313"/>
        <v>-9036.3704281104183</v>
      </c>
      <c r="AU346">
        <f t="shared" si="314"/>
        <v>-3166.706296138419</v>
      </c>
      <c r="AV346">
        <f t="shared" si="302"/>
        <v>-2.8045258424059121</v>
      </c>
      <c r="AW346">
        <f t="shared" si="303"/>
        <v>-511.16976026118908</v>
      </c>
      <c r="AX346">
        <f t="shared" si="304"/>
        <v>-5455.2306845912408</v>
      </c>
      <c r="AY346">
        <f t="shared" si="312"/>
        <v>-1.6642262045826177</v>
      </c>
      <c r="BA346">
        <f t="shared" si="289"/>
        <v>1.7475734110698433</v>
      </c>
      <c r="BB346">
        <f t="shared" si="305"/>
        <v>4.8487085679296964</v>
      </c>
      <c r="BC346">
        <f t="shared" si="306"/>
        <v>-1.1402996378232944</v>
      </c>
      <c r="BD346">
        <f t="shared" si="290"/>
        <v>-245.3343567022265</v>
      </c>
      <c r="BF346">
        <f t="shared" si="291"/>
        <v>-45.422679583057928</v>
      </c>
      <c r="BG346">
        <f t="shared" si="292"/>
        <v>-235.97981982019058</v>
      </c>
      <c r="BH346">
        <f t="shared" si="307"/>
        <v>-55.979819820190585</v>
      </c>
      <c r="BI346">
        <f t="shared" si="308"/>
        <v>-55.979819820190585</v>
      </c>
      <c r="BJ346">
        <f t="shared" si="293"/>
        <v>0</v>
      </c>
      <c r="BK346">
        <f t="shared" si="309"/>
        <v>0</v>
      </c>
      <c r="BM346">
        <f t="shared" si="310"/>
        <v>-50.271388150987626</v>
      </c>
      <c r="BN346">
        <f t="shared" si="294"/>
        <v>-170.64546311796411</v>
      </c>
      <c r="BQ346" s="56">
        <f t="shared" si="311"/>
        <v>21.750669368214833</v>
      </c>
      <c r="BR346" s="59"/>
      <c r="BS346" s="59"/>
      <c r="BT346" s="59">
        <v>229086.76500000001</v>
      </c>
      <c r="BU346" s="59">
        <v>14.1297</v>
      </c>
      <c r="BV346" s="59">
        <v>-156.46</v>
      </c>
      <c r="BY346" s="59"/>
      <c r="BZ346" s="59"/>
      <c r="CA346" s="59"/>
      <c r="CC346" s="59"/>
    </row>
    <row r="347" spans="1:81" x14ac:dyDescent="0.2">
      <c r="A347">
        <f t="shared" si="263"/>
        <v>665000</v>
      </c>
      <c r="B347">
        <f t="shared" si="295"/>
        <v>665</v>
      </c>
      <c r="C347">
        <f t="shared" si="264"/>
        <v>1.0127898965368642</v>
      </c>
      <c r="D347">
        <f t="shared" si="265"/>
        <v>0.15909148348571053</v>
      </c>
      <c r="F347">
        <f t="shared" si="266"/>
        <v>1.9876731925016903E-4</v>
      </c>
      <c r="G347">
        <f t="shared" si="267"/>
        <v>5.3120429531968395E-3</v>
      </c>
      <c r="H347">
        <f t="shared" si="268"/>
        <v>-3.1362806070468032</v>
      </c>
      <c r="J347">
        <f t="shared" si="269"/>
        <v>15</v>
      </c>
      <c r="M347">
        <f t="shared" si="270"/>
        <v>3.3936070240633999E-4</v>
      </c>
      <c r="N347">
        <f t="shared" si="271"/>
        <v>-1.5707963250000001</v>
      </c>
      <c r="O347">
        <f t="shared" si="272"/>
        <v>624.11619432695238</v>
      </c>
      <c r="P347">
        <f t="shared" si="273"/>
        <v>1.5691940603628345</v>
      </c>
      <c r="Q347">
        <f t="shared" si="274"/>
        <v>92.879369649717319</v>
      </c>
      <c r="R347">
        <f t="shared" si="275"/>
        <v>1.5600294651665538</v>
      </c>
      <c r="S347">
        <f t="shared" si="276"/>
        <v>0.35631387057661151</v>
      </c>
      <c r="T347">
        <f t="shared" si="277"/>
        <v>-1.2064764737019369</v>
      </c>
      <c r="U347">
        <f t="shared" si="278"/>
        <v>0.32930740735536207</v>
      </c>
      <c r="V347">
        <f t="shared" si="279"/>
        <v>-1.2352263511083665</v>
      </c>
      <c r="X347">
        <f t="shared" si="296"/>
        <v>-43.135278212527048</v>
      </c>
      <c r="Y347">
        <f t="shared" si="280"/>
        <v>-221.18833726312715</v>
      </c>
      <c r="Z347">
        <f t="shared" si="297"/>
        <v>-41.188337263127153</v>
      </c>
      <c r="AC347">
        <v>1</v>
      </c>
      <c r="AD347">
        <f t="shared" si="281"/>
        <v>624.11539319356496</v>
      </c>
      <c r="AE347">
        <f t="shared" si="282"/>
        <v>-0.46939548988289809</v>
      </c>
      <c r="AF347">
        <f t="shared" si="283"/>
        <v>0.16370650803591</v>
      </c>
      <c r="AG347">
        <f t="shared" si="298"/>
        <v>411.53059125340917</v>
      </c>
      <c r="AH347">
        <f t="shared" si="299"/>
        <v>-1186.0897029249456</v>
      </c>
      <c r="AJ347">
        <f t="shared" si="284"/>
        <v>18000</v>
      </c>
      <c r="AK347">
        <f t="shared" si="285"/>
        <v>47201.625318531602</v>
      </c>
      <c r="AL347">
        <v>1</v>
      </c>
      <c r="AM347">
        <f t="shared" si="286"/>
        <v>92.873986166896202</v>
      </c>
      <c r="AN347">
        <f t="shared" si="300"/>
        <v>510.26066775717851</v>
      </c>
      <c r="AO347">
        <f t="shared" si="301"/>
        <v>-188.31688025981197</v>
      </c>
      <c r="AQ347">
        <f t="shared" si="287"/>
        <v>5.6532276255143732E-3</v>
      </c>
      <c r="AR347">
        <f t="shared" si="288"/>
        <v>-7.5187927419341163</v>
      </c>
      <c r="AT347">
        <f t="shared" si="313"/>
        <v>-8915.636173527655</v>
      </c>
      <c r="AU347">
        <f t="shared" si="314"/>
        <v>-3100.9184576749021</v>
      </c>
      <c r="AV347">
        <f t="shared" si="302"/>
        <v>-2.8068730647777618</v>
      </c>
      <c r="AW347">
        <f t="shared" si="303"/>
        <v>-495.23299186119397</v>
      </c>
      <c r="AX347">
        <f t="shared" si="304"/>
        <v>-5415.88109826256</v>
      </c>
      <c r="AY347">
        <f t="shared" si="312"/>
        <v>-1.6619836294907433</v>
      </c>
      <c r="BA347">
        <f t="shared" si="289"/>
        <v>1.7356893852500432</v>
      </c>
      <c r="BB347">
        <f t="shared" si="305"/>
        <v>4.7894401501998161</v>
      </c>
      <c r="BC347">
        <f t="shared" si="306"/>
        <v>-1.1448894352870185</v>
      </c>
      <c r="BD347">
        <f t="shared" si="290"/>
        <v>-245.59733272601824</v>
      </c>
      <c r="BF347">
        <f t="shared" si="291"/>
        <v>-45.611447854446382</v>
      </c>
      <c r="BG347">
        <f t="shared" si="292"/>
        <v>-236.17770451323787</v>
      </c>
      <c r="BH347">
        <f t="shared" si="307"/>
        <v>-56.17770451323787</v>
      </c>
      <c r="BI347">
        <f t="shared" si="308"/>
        <v>-56.17770451323787</v>
      </c>
      <c r="BJ347">
        <f t="shared" si="293"/>
        <v>0</v>
      </c>
      <c r="BK347">
        <f t="shared" si="309"/>
        <v>0</v>
      </c>
      <c r="BM347">
        <f t="shared" si="310"/>
        <v>-50.400888004646198</v>
      </c>
      <c r="BN347">
        <f t="shared" si="294"/>
        <v>-170.58037178721966</v>
      </c>
      <c r="BQ347" s="56">
        <f t="shared" si="311"/>
        <v>21.691400950484955</v>
      </c>
      <c r="BR347" s="59"/>
      <c r="BS347" s="59"/>
      <c r="BT347" s="59">
        <v>234422.88200000001</v>
      </c>
      <c r="BU347" s="59">
        <v>14.451599999999999</v>
      </c>
      <c r="BV347" s="59">
        <v>-158.77500000000001</v>
      </c>
      <c r="BY347" s="59"/>
      <c r="BZ347" s="59"/>
      <c r="CA347" s="59"/>
      <c r="CC347" s="59"/>
    </row>
    <row r="348" spans="1:81" x14ac:dyDescent="0.2">
      <c r="A348">
        <f t="shared" si="263"/>
        <v>670000</v>
      </c>
      <c r="B348">
        <f t="shared" si="295"/>
        <v>670</v>
      </c>
      <c r="C348">
        <f t="shared" si="264"/>
        <v>1.0129817117171847</v>
      </c>
      <c r="D348">
        <f t="shared" si="265"/>
        <v>0.16026735598033065</v>
      </c>
      <c r="F348">
        <f t="shared" si="266"/>
        <v>1.9581116927213036E-4</v>
      </c>
      <c r="G348">
        <f t="shared" si="267"/>
        <v>5.2723858450272392E-3</v>
      </c>
      <c r="H348">
        <f t="shared" si="268"/>
        <v>-3.136320264154973</v>
      </c>
      <c r="J348">
        <f t="shared" si="269"/>
        <v>15</v>
      </c>
      <c r="M348">
        <f t="shared" si="270"/>
        <v>3.368281598510688E-4</v>
      </c>
      <c r="N348">
        <f t="shared" si="271"/>
        <v>-1.5707963250000001</v>
      </c>
      <c r="O348">
        <f t="shared" si="272"/>
        <v>628.80878528965764</v>
      </c>
      <c r="P348">
        <f t="shared" si="273"/>
        <v>1.5692060175547777</v>
      </c>
      <c r="Q348">
        <f t="shared" si="274"/>
        <v>93.577630124646404</v>
      </c>
      <c r="R348">
        <f t="shared" si="275"/>
        <v>1.5601098087399627</v>
      </c>
      <c r="S348">
        <f t="shared" si="276"/>
        <v>0.35398910858180249</v>
      </c>
      <c r="T348">
        <f t="shared" si="277"/>
        <v>-1.2089633597373846</v>
      </c>
      <c r="U348">
        <f t="shared" si="278"/>
        <v>0.32711373424526358</v>
      </c>
      <c r="V348">
        <f t="shared" si="279"/>
        <v>-1.2375486707513077</v>
      </c>
      <c r="X348">
        <f t="shared" si="296"/>
        <v>-43.313639215588637</v>
      </c>
      <c r="Y348">
        <f t="shared" si="280"/>
        <v>-221.39349566098167</v>
      </c>
      <c r="Z348">
        <f t="shared" si="297"/>
        <v>-41.393495660981671</v>
      </c>
      <c r="AC348">
        <v>1</v>
      </c>
      <c r="AD348">
        <f t="shared" si="281"/>
        <v>628.8079901348699</v>
      </c>
      <c r="AE348">
        <f t="shared" si="282"/>
        <v>-0.47648060468863807</v>
      </c>
      <c r="AF348">
        <f t="shared" si="283"/>
        <v>0.16493738403618</v>
      </c>
      <c r="AG348">
        <f t="shared" si="298"/>
        <v>406.06605141432618</v>
      </c>
      <c r="AH348">
        <f t="shared" si="299"/>
        <v>-1179.1298792441428</v>
      </c>
      <c r="AJ348">
        <f t="shared" si="284"/>
        <v>18000</v>
      </c>
      <c r="AK348">
        <f t="shared" si="285"/>
        <v>47556.524757016799</v>
      </c>
      <c r="AL348">
        <v>1</v>
      </c>
      <c r="AM348">
        <f t="shared" si="286"/>
        <v>93.572286814767608</v>
      </c>
      <c r="AN348">
        <f t="shared" si="300"/>
        <v>510.23052053987089</v>
      </c>
      <c r="AO348">
        <f t="shared" si="301"/>
        <v>-186.91185258817347</v>
      </c>
      <c r="AQ348">
        <f t="shared" si="287"/>
        <v>5.5691659784105714E-3</v>
      </c>
      <c r="AR348">
        <f t="shared" si="288"/>
        <v>-7.4626824110701655</v>
      </c>
      <c r="AT348">
        <f t="shared" si="313"/>
        <v>-8797.210360964029</v>
      </c>
      <c r="AU348">
        <f t="shared" si="314"/>
        <v>-3036.9087496300194</v>
      </c>
      <c r="AV348">
        <f t="shared" si="302"/>
        <v>-2.8091890382681433</v>
      </c>
      <c r="AW348">
        <f t="shared" si="303"/>
        <v>-479.66913978906655</v>
      </c>
      <c r="AX348">
        <f t="shared" si="304"/>
        <v>-5377.0879800103676</v>
      </c>
      <c r="AY348">
        <f t="shared" si="312"/>
        <v>-1.6597669411731659</v>
      </c>
      <c r="BA348">
        <f t="shared" si="289"/>
        <v>1.7239515468198015</v>
      </c>
      <c r="BB348">
        <f t="shared" si="305"/>
        <v>4.730501108607946</v>
      </c>
      <c r="BC348">
        <f t="shared" si="306"/>
        <v>-1.1494220970949773</v>
      </c>
      <c r="BD348">
        <f t="shared" si="290"/>
        <v>-245.85703511787116</v>
      </c>
      <c r="BF348">
        <f t="shared" si="291"/>
        <v>-45.798892400320845</v>
      </c>
      <c r="BG348">
        <f t="shared" si="292"/>
        <v>-236.37230655875496</v>
      </c>
      <c r="BH348">
        <f t="shared" si="307"/>
        <v>-56.372306558754957</v>
      </c>
      <c r="BI348">
        <f t="shared" si="308"/>
        <v>-56.372306558754957</v>
      </c>
      <c r="BJ348">
        <f t="shared" si="293"/>
        <v>0</v>
      </c>
      <c r="BK348">
        <f t="shared" si="309"/>
        <v>0</v>
      </c>
      <c r="BM348">
        <f t="shared" si="310"/>
        <v>-50.529393508928791</v>
      </c>
      <c r="BN348">
        <f t="shared" si="294"/>
        <v>-170.51527144088382</v>
      </c>
      <c r="BQ348" s="56">
        <f t="shared" si="311"/>
        <v>21.632461908893085</v>
      </c>
      <c r="BR348" s="59"/>
      <c r="BS348" s="59"/>
      <c r="BT348" s="59">
        <v>239883.29199999999</v>
      </c>
      <c r="BU348" s="59">
        <v>14.4628</v>
      </c>
      <c r="BV348" s="59">
        <v>-161.529</v>
      </c>
      <c r="BY348" s="59"/>
      <c r="BZ348" s="59"/>
      <c r="CA348" s="59"/>
      <c r="CC348" s="59"/>
    </row>
    <row r="349" spans="1:81" x14ac:dyDescent="0.2">
      <c r="A349">
        <f t="shared" si="263"/>
        <v>675000</v>
      </c>
      <c r="B349">
        <f t="shared" si="295"/>
        <v>675</v>
      </c>
      <c r="C349">
        <f t="shared" si="264"/>
        <v>1.0131749269916668</v>
      </c>
      <c r="D349">
        <f t="shared" si="265"/>
        <v>0.1614427816153633</v>
      </c>
      <c r="F349">
        <f t="shared" si="266"/>
        <v>1.9292048376962686E-4</v>
      </c>
      <c r="G349">
        <f t="shared" si="267"/>
        <v>5.23331657921114E-3</v>
      </c>
      <c r="H349">
        <f t="shared" si="268"/>
        <v>-3.1363593334207889</v>
      </c>
      <c r="J349">
        <f t="shared" si="269"/>
        <v>15</v>
      </c>
      <c r="M349">
        <f t="shared" si="270"/>
        <v>3.3433313644476458E-4</v>
      </c>
      <c r="N349">
        <f t="shared" si="271"/>
        <v>-1.5707963250000001</v>
      </c>
      <c r="O349">
        <f t="shared" si="272"/>
        <v>633.50137634093448</v>
      </c>
      <c r="P349">
        <f t="shared" si="273"/>
        <v>1.5692177976035815</v>
      </c>
      <c r="Q349">
        <f t="shared" si="274"/>
        <v>94.27589119467963</v>
      </c>
      <c r="R349">
        <f t="shared" si="275"/>
        <v>1.5601889621731346</v>
      </c>
      <c r="S349">
        <f t="shared" si="276"/>
        <v>0.35169235270730731</v>
      </c>
      <c r="T349">
        <f t="shared" si="277"/>
        <v>-1.2114179899095738</v>
      </c>
      <c r="U349">
        <f t="shared" si="278"/>
        <v>0.32494737607845847</v>
      </c>
      <c r="V349">
        <f t="shared" si="279"/>
        <v>-1.2398402428195061</v>
      </c>
      <c r="X349">
        <f t="shared" si="296"/>
        <v>-43.490847472499439</v>
      </c>
      <c r="Y349">
        <f t="shared" si="280"/>
        <v>-221.59511448958924</v>
      </c>
      <c r="Z349">
        <f t="shared" si="297"/>
        <v>-41.595114489589236</v>
      </c>
      <c r="AC349">
        <v>1</v>
      </c>
      <c r="AD349">
        <f t="shared" si="281"/>
        <v>633.50058707617495</v>
      </c>
      <c r="AE349">
        <f t="shared" si="282"/>
        <v>-0.48361879151539483</v>
      </c>
      <c r="AF349">
        <f t="shared" si="283"/>
        <v>0.16616826003644999</v>
      </c>
      <c r="AG349">
        <f t="shared" si="298"/>
        <v>400.70539855377984</v>
      </c>
      <c r="AH349">
        <f t="shared" si="299"/>
        <v>-1172.237469174592</v>
      </c>
      <c r="AJ349">
        <f t="shared" si="284"/>
        <v>18000</v>
      </c>
      <c r="AK349">
        <f t="shared" si="285"/>
        <v>47911.424195501997</v>
      </c>
      <c r="AL349">
        <v>1</v>
      </c>
      <c r="AM349">
        <f t="shared" si="286"/>
        <v>94.270587462639014</v>
      </c>
      <c r="AN349">
        <f t="shared" si="300"/>
        <v>510.20104067587124</v>
      </c>
      <c r="AO349">
        <f t="shared" si="301"/>
        <v>-185.52763306217457</v>
      </c>
      <c r="AQ349">
        <f t="shared" si="287"/>
        <v>5.4869654392507876E-3</v>
      </c>
      <c r="AR349">
        <f t="shared" si="288"/>
        <v>-7.4074033429885633</v>
      </c>
      <c r="AT349">
        <f t="shared" si="313"/>
        <v>-8681.0370912671387</v>
      </c>
      <c r="AU349">
        <f t="shared" si="314"/>
        <v>-2974.6185352807893</v>
      </c>
      <c r="AV349">
        <f t="shared" si="302"/>
        <v>-2.8114743582004578</v>
      </c>
      <c r="AW349">
        <f t="shared" si="303"/>
        <v>-464.46664009165107</v>
      </c>
      <c r="AX349">
        <f t="shared" si="304"/>
        <v>-5338.8396756361308</v>
      </c>
      <c r="AY349">
        <f t="shared" si="312"/>
        <v>-1.6575755099511884</v>
      </c>
      <c r="BA349">
        <f t="shared" si="289"/>
        <v>1.7123575248318013</v>
      </c>
      <c r="BB349">
        <f t="shared" si="305"/>
        <v>4.6718889317159906</v>
      </c>
      <c r="BC349">
        <f t="shared" si="306"/>
        <v>-1.1538988482492694</v>
      </c>
      <c r="BD349">
        <f t="shared" si="290"/>
        <v>-246.11353406523551</v>
      </c>
      <c r="BF349">
        <f t="shared" si="291"/>
        <v>-45.985030365719552</v>
      </c>
      <c r="BG349">
        <f t="shared" si="292"/>
        <v>-236.56369708206597</v>
      </c>
      <c r="BH349">
        <f t="shared" si="307"/>
        <v>-56.563697082065971</v>
      </c>
      <c r="BI349">
        <f t="shared" si="308"/>
        <v>-56.563697082065971</v>
      </c>
      <c r="BJ349">
        <f t="shared" si="293"/>
        <v>0</v>
      </c>
      <c r="BK349">
        <f t="shared" si="309"/>
        <v>0</v>
      </c>
      <c r="BM349">
        <f t="shared" si="310"/>
        <v>-50.656919297435536</v>
      </c>
      <c r="BN349">
        <f t="shared" si="294"/>
        <v>-170.45016301683052</v>
      </c>
      <c r="BQ349" s="56">
        <f t="shared" si="311"/>
        <v>21.573849732001126</v>
      </c>
      <c r="BR349" s="59"/>
      <c r="BS349" s="59"/>
      <c r="BT349" s="59">
        <v>245470.89199999999</v>
      </c>
      <c r="BU349" s="59">
        <v>14.575900000000001</v>
      </c>
      <c r="BV349" s="59">
        <v>-163.59700000000001</v>
      </c>
      <c r="BY349" s="59"/>
      <c r="BZ349" s="59"/>
      <c r="CA349" s="59"/>
      <c r="CC349" s="59"/>
    </row>
    <row r="350" spans="1:81" x14ac:dyDescent="0.2">
      <c r="A350">
        <f t="shared" si="263"/>
        <v>680000</v>
      </c>
      <c r="B350">
        <f t="shared" si="295"/>
        <v>680</v>
      </c>
      <c r="C350">
        <f t="shared" si="264"/>
        <v>1.0133695415594588</v>
      </c>
      <c r="D350">
        <f t="shared" si="265"/>
        <v>0.16261775739934975</v>
      </c>
      <c r="F350">
        <f t="shared" si="266"/>
        <v>1.9009334383854356E-4</v>
      </c>
      <c r="G350">
        <f t="shared" si="267"/>
        <v>5.1948221790464712E-3</v>
      </c>
      <c r="H350">
        <f t="shared" si="268"/>
        <v>-3.1363978278209537</v>
      </c>
      <c r="J350">
        <f t="shared" si="269"/>
        <v>15</v>
      </c>
      <c r="M350">
        <f t="shared" si="270"/>
        <v>3.3187480455914133E-4</v>
      </c>
      <c r="N350">
        <f t="shared" si="271"/>
        <v>-1.5707963250000001</v>
      </c>
      <c r="O350">
        <f t="shared" si="272"/>
        <v>638.19396747882934</v>
      </c>
      <c r="P350">
        <f t="shared" si="273"/>
        <v>1.5692294044168018</v>
      </c>
      <c r="Q350">
        <f t="shared" si="274"/>
        <v>94.974152846691112</v>
      </c>
      <c r="R350">
        <f t="shared" si="275"/>
        <v>1.5602669517152383</v>
      </c>
      <c r="S350">
        <f t="shared" si="276"/>
        <v>0.34942314357856724</v>
      </c>
      <c r="T350">
        <f t="shared" si="277"/>
        <v>-1.2138409587191208</v>
      </c>
      <c r="U350">
        <f t="shared" si="278"/>
        <v>0.32280786132828082</v>
      </c>
      <c r="V350">
        <f t="shared" si="279"/>
        <v>-1.2421016503485698</v>
      </c>
      <c r="X350">
        <f t="shared" si="296"/>
        <v>-43.666916182924908</v>
      </c>
      <c r="Y350">
        <f t="shared" si="280"/>
        <v>-221.79326040386096</v>
      </c>
      <c r="Z350">
        <f t="shared" si="297"/>
        <v>-41.793260403860955</v>
      </c>
      <c r="AC350">
        <v>1</v>
      </c>
      <c r="AD350">
        <f t="shared" si="281"/>
        <v>638.19318401748001</v>
      </c>
      <c r="AE350">
        <f t="shared" si="282"/>
        <v>-0.49081005036316833</v>
      </c>
      <c r="AF350">
        <f t="shared" si="283"/>
        <v>0.16739913603671999</v>
      </c>
      <c r="AG350">
        <f t="shared" si="298"/>
        <v>395.44613006001629</v>
      </c>
      <c r="AH350">
        <f t="shared" si="299"/>
        <v>-1165.4118392097475</v>
      </c>
      <c r="AJ350">
        <f t="shared" si="284"/>
        <v>18000</v>
      </c>
      <c r="AK350">
        <f t="shared" si="285"/>
        <v>48266.323633987202</v>
      </c>
      <c r="AL350">
        <v>1</v>
      </c>
      <c r="AM350">
        <f t="shared" si="286"/>
        <v>94.968888110510406</v>
      </c>
      <c r="AN350">
        <f t="shared" si="300"/>
        <v>510.1722086131233</v>
      </c>
      <c r="AO350">
        <f t="shared" si="301"/>
        <v>-184.16376288448132</v>
      </c>
      <c r="AQ350">
        <f t="shared" si="287"/>
        <v>5.4065714713605797E-3</v>
      </c>
      <c r="AR350">
        <f t="shared" si="288"/>
        <v>-7.3529372010503886</v>
      </c>
      <c r="AT350">
        <f t="shared" si="313"/>
        <v>-8567.0620593046642</v>
      </c>
      <c r="AU350">
        <f t="shared" si="314"/>
        <v>-2913.9914431319612</v>
      </c>
      <c r="AV350">
        <f t="shared" si="302"/>
        <v>-2.813729605536428</v>
      </c>
      <c r="AW350">
        <f t="shared" si="303"/>
        <v>-449.61437295123028</v>
      </c>
      <c r="AX350">
        <f t="shared" si="304"/>
        <v>-5301.1248548857666</v>
      </c>
      <c r="AY350">
        <f t="shared" si="312"/>
        <v>-1.6554087259223786</v>
      </c>
      <c r="BA350">
        <f t="shared" si="289"/>
        <v>1.7009049870629445</v>
      </c>
      <c r="BB350">
        <f t="shared" si="305"/>
        <v>4.6136010900438782</v>
      </c>
      <c r="BC350">
        <f t="shared" si="306"/>
        <v>-1.1583208796140494</v>
      </c>
      <c r="BD350">
        <f t="shared" si="290"/>
        <v>-246.36689779960136</v>
      </c>
      <c r="BF350">
        <f t="shared" si="291"/>
        <v>-46.169878589873854</v>
      </c>
      <c r="BG350">
        <f t="shared" si="292"/>
        <v>-236.75194522956929</v>
      </c>
      <c r="BH350">
        <f t="shared" si="307"/>
        <v>-56.751945229569287</v>
      </c>
      <c r="BI350">
        <f t="shared" si="308"/>
        <v>-56.751945229569287</v>
      </c>
      <c r="BJ350">
        <f t="shared" si="293"/>
        <v>0</v>
      </c>
      <c r="BK350">
        <f t="shared" si="309"/>
        <v>0</v>
      </c>
      <c r="BM350">
        <f t="shared" si="310"/>
        <v>-50.783479679917733</v>
      </c>
      <c r="BN350">
        <f t="shared" si="294"/>
        <v>-170.38504742996793</v>
      </c>
      <c r="BQ350" s="56">
        <f t="shared" si="311"/>
        <v>21.515561890329018</v>
      </c>
      <c r="BR350" s="59"/>
      <c r="BS350" s="59"/>
      <c r="BT350" s="59">
        <v>251188.64300000001</v>
      </c>
      <c r="BU350" s="59">
        <v>14.7446</v>
      </c>
      <c r="BV350" s="59">
        <v>-165.89599999999999</v>
      </c>
      <c r="BY350" s="59"/>
      <c r="BZ350" s="59"/>
      <c r="CA350" s="59"/>
      <c r="CC350" s="59"/>
    </row>
    <row r="351" spans="1:81" x14ac:dyDescent="0.2">
      <c r="A351">
        <f t="shared" si="263"/>
        <v>685000</v>
      </c>
      <c r="B351">
        <f t="shared" si="295"/>
        <v>685</v>
      </c>
      <c r="C351">
        <f t="shared" si="264"/>
        <v>1.0135655546145264</v>
      </c>
      <c r="D351">
        <f t="shared" si="265"/>
        <v>0.16379228034808899</v>
      </c>
      <c r="F351">
        <f t="shared" si="266"/>
        <v>1.8732790037602817E-4</v>
      </c>
      <c r="G351">
        <f t="shared" si="267"/>
        <v>5.1568900470593173E-3</v>
      </c>
      <c r="H351">
        <f t="shared" si="268"/>
        <v>-3.1364357599529411</v>
      </c>
      <c r="J351">
        <f t="shared" si="269"/>
        <v>15</v>
      </c>
      <c r="M351">
        <f t="shared" si="270"/>
        <v>3.2945236073024249E-4</v>
      </c>
      <c r="N351">
        <f t="shared" si="271"/>
        <v>-1.5707963250000001</v>
      </c>
      <c r="O351">
        <f t="shared" si="272"/>
        <v>642.88655870144521</v>
      </c>
      <c r="P351">
        <f t="shared" si="273"/>
        <v>1.5692408417879062</v>
      </c>
      <c r="Q351">
        <f t="shared" si="274"/>
        <v>95.672415067938246</v>
      </c>
      <c r="R351">
        <f t="shared" si="275"/>
        <v>1.5603438028491861</v>
      </c>
      <c r="S351">
        <f t="shared" si="276"/>
        <v>0.34718103057331506</v>
      </c>
      <c r="T351">
        <f t="shared" si="277"/>
        <v>-1.2162328469159753</v>
      </c>
      <c r="U351">
        <f t="shared" si="278"/>
        <v>0.32069472825127648</v>
      </c>
      <c r="V351">
        <f t="shared" si="279"/>
        <v>-1.2443334623597246</v>
      </c>
      <c r="X351">
        <f t="shared" si="296"/>
        <v>-43.841858342255755</v>
      </c>
      <c r="Y351">
        <f t="shared" si="280"/>
        <v>-221.98799849618399</v>
      </c>
      <c r="Z351">
        <f t="shared" si="297"/>
        <v>-41.987998496183991</v>
      </c>
      <c r="AC351">
        <v>1</v>
      </c>
      <c r="AD351">
        <f t="shared" si="281"/>
        <v>642.88578095878506</v>
      </c>
      <c r="AE351">
        <f t="shared" si="282"/>
        <v>-0.49805438123195855</v>
      </c>
      <c r="AF351">
        <f t="shared" si="283"/>
        <v>0.16863001203699002</v>
      </c>
      <c r="AG351">
        <f t="shared" si="298"/>
        <v>390.28581436177586</v>
      </c>
      <c r="AH351">
        <f t="shared" si="299"/>
        <v>-1158.6523502868918</v>
      </c>
      <c r="AJ351">
        <f t="shared" si="284"/>
        <v>18000</v>
      </c>
      <c r="AK351">
        <f t="shared" si="285"/>
        <v>48621.2230724724</v>
      </c>
      <c r="AL351">
        <v>1</v>
      </c>
      <c r="AM351">
        <f t="shared" si="286"/>
        <v>95.667188758381812</v>
      </c>
      <c r="AN351">
        <f t="shared" si="300"/>
        <v>510.14400551037761</v>
      </c>
      <c r="AO351">
        <f t="shared" si="301"/>
        <v>-182.81979664587206</v>
      </c>
      <c r="AQ351">
        <f t="shared" si="287"/>
        <v>5.327931521161745E-3</v>
      </c>
      <c r="AR351">
        <f t="shared" si="288"/>
        <v>-7.2992661839915902</v>
      </c>
      <c r="AT351">
        <f t="shared" si="313"/>
        <v>-8455.2325033588877</v>
      </c>
      <c r="AU351">
        <f t="shared" si="314"/>
        <v>-2854.9732672416917</v>
      </c>
      <c r="AV351">
        <f t="shared" si="302"/>
        <v>-2.8159553472839458</v>
      </c>
      <c r="AW351">
        <f t="shared" si="303"/>
        <v>-435.10164244770829</v>
      </c>
      <c r="AX351">
        <f t="shared" si="304"/>
        <v>-5263.9325001497609</v>
      </c>
      <c r="AY351">
        <f t="shared" si="312"/>
        <v>-1.6532659982214111</v>
      </c>
      <c r="BA351">
        <f t="shared" si="289"/>
        <v>1.6895916398813005</v>
      </c>
      <c r="BB351">
        <f t="shared" si="305"/>
        <v>4.5556350392997222</v>
      </c>
      <c r="BC351">
        <f t="shared" si="306"/>
        <v>-1.1626893490625347</v>
      </c>
      <c r="BD351">
        <f t="shared" si="290"/>
        <v>-246.61719266221743</v>
      </c>
      <c r="BF351">
        <f t="shared" si="291"/>
        <v>-46.353453612479015</v>
      </c>
      <c r="BG351">
        <f t="shared" si="292"/>
        <v>-236.93711823527775</v>
      </c>
      <c r="BH351">
        <f t="shared" si="307"/>
        <v>-56.937118235277751</v>
      </c>
      <c r="BI351">
        <f t="shared" si="308"/>
        <v>-56.937118235277751</v>
      </c>
      <c r="BJ351">
        <f t="shared" si="293"/>
        <v>0</v>
      </c>
      <c r="BK351">
        <f t="shared" si="309"/>
        <v>0</v>
      </c>
      <c r="BM351">
        <f t="shared" si="310"/>
        <v>-50.909088651778738</v>
      </c>
      <c r="BN351">
        <f t="shared" si="294"/>
        <v>-170.31992557306032</v>
      </c>
      <c r="BQ351" s="56">
        <f t="shared" si="311"/>
        <v>21.457595839584862</v>
      </c>
      <c r="BR351" s="59"/>
      <c r="BS351" s="59"/>
      <c r="BT351" s="59">
        <v>257039.57800000001</v>
      </c>
      <c r="BU351" s="59">
        <v>14.891</v>
      </c>
      <c r="BV351" s="59">
        <v>-168.07</v>
      </c>
      <c r="BY351" s="59"/>
      <c r="BZ351" s="59"/>
      <c r="CA351" s="59"/>
      <c r="CC351" s="59"/>
    </row>
    <row r="352" spans="1:81" x14ac:dyDescent="0.2">
      <c r="A352">
        <f t="shared" si="263"/>
        <v>690000</v>
      </c>
      <c r="B352">
        <f t="shared" si="295"/>
        <v>690</v>
      </c>
      <c r="C352">
        <f t="shared" si="264"/>
        <v>1.0137629653456688</v>
      </c>
      <c r="D352">
        <f t="shared" si="265"/>
        <v>0.16496634748467714</v>
      </c>
      <c r="F352">
        <f t="shared" si="266"/>
        <v>1.8462237105546327E-4</v>
      </c>
      <c r="G352">
        <f t="shared" si="267"/>
        <v>5.1195079512488641E-3</v>
      </c>
      <c r="H352">
        <f t="shared" si="268"/>
        <v>-3.1364731420487515</v>
      </c>
      <c r="J352">
        <f t="shared" si="269"/>
        <v>15</v>
      </c>
      <c r="M352">
        <f t="shared" si="270"/>
        <v>3.2706502478292189E-4</v>
      </c>
      <c r="N352">
        <f t="shared" si="271"/>
        <v>-1.5707963250000001</v>
      </c>
      <c r="O352">
        <f t="shared" si="272"/>
        <v>647.57915000694072</v>
      </c>
      <c r="P352">
        <f t="shared" si="273"/>
        <v>1.5692521134004074</v>
      </c>
      <c r="Q352">
        <f t="shared" si="274"/>
        <v>96.37067784604767</v>
      </c>
      <c r="R352">
        <f t="shared" si="275"/>
        <v>1.560419540319389</v>
      </c>
      <c r="S352">
        <f t="shared" si="276"/>
        <v>0.34496557166084146</v>
      </c>
      <c r="T352">
        <f t="shared" si="277"/>
        <v>-1.2185942218689358</v>
      </c>
      <c r="U352">
        <f t="shared" si="278"/>
        <v>0.31860752467218229</v>
      </c>
      <c r="V352">
        <f t="shared" si="279"/>
        <v>-1.2465362342569759</v>
      </c>
      <c r="X352">
        <f t="shared" si="296"/>
        <v>-44.015686745215667</v>
      </c>
      <c r="Y352">
        <f t="shared" si="280"/>
        <v>-222.1793923393073</v>
      </c>
      <c r="Z352">
        <f t="shared" si="297"/>
        <v>-42.179392339307299</v>
      </c>
      <c r="AC352">
        <v>1</v>
      </c>
      <c r="AD352">
        <f t="shared" si="281"/>
        <v>647.57837790009</v>
      </c>
      <c r="AE352">
        <f t="shared" si="282"/>
        <v>-0.5053517841217654</v>
      </c>
      <c r="AF352">
        <f t="shared" si="283"/>
        <v>0.16986088803725999</v>
      </c>
      <c r="AG352">
        <f t="shared" si="298"/>
        <v>385.22208868120009</v>
      </c>
      <c r="AH352">
        <f t="shared" si="299"/>
        <v>-1151.9583587437469</v>
      </c>
      <c r="AJ352">
        <f t="shared" si="284"/>
        <v>18000</v>
      </c>
      <c r="AK352">
        <f t="shared" si="285"/>
        <v>48976.122510957597</v>
      </c>
      <c r="AL352">
        <v>1</v>
      </c>
      <c r="AM352">
        <f t="shared" si="286"/>
        <v>96.365489406253204</v>
      </c>
      <c r="AN352">
        <f t="shared" si="300"/>
        <v>510.11641320640894</v>
      </c>
      <c r="AO352">
        <f t="shared" si="301"/>
        <v>-181.49530184048092</v>
      </c>
      <c r="AQ352">
        <f t="shared" si="287"/>
        <v>5.2509949322647907E-3</v>
      </c>
      <c r="AR352">
        <f t="shared" si="288"/>
        <v>-7.2463730065254115</v>
      </c>
      <c r="AT352">
        <f t="shared" si="313"/>
        <v>-8345.4971562065421</v>
      </c>
      <c r="AU352">
        <f t="shared" si="314"/>
        <v>-2797.5118724407303</v>
      </c>
      <c r="AV352">
        <f t="shared" si="302"/>
        <v>-2.8181521368920377</v>
      </c>
      <c r="AW352">
        <f t="shared" si="303"/>
        <v>-420.91815738303598</v>
      </c>
      <c r="AX352">
        <f t="shared" si="304"/>
        <v>-5227.2518956417643</v>
      </c>
      <c r="AY352">
        <f t="shared" si="312"/>
        <v>-1.651146754312188</v>
      </c>
      <c r="BA352">
        <f t="shared" si="289"/>
        <v>1.6784152280591982</v>
      </c>
      <c r="BB352">
        <f t="shared" si="305"/>
        <v>4.4979882233776198</v>
      </c>
      <c r="BC352">
        <f t="shared" si="306"/>
        <v>-1.1670053825798496</v>
      </c>
      <c r="BD352">
        <f t="shared" si="290"/>
        <v>-246.86448316727916</v>
      </c>
      <c r="BF352">
        <f t="shared" si="291"/>
        <v>-46.535771679851472</v>
      </c>
      <c r="BG352">
        <f t="shared" si="292"/>
        <v>-237.11928148479282</v>
      </c>
      <c r="BH352">
        <f t="shared" si="307"/>
        <v>-57.119281484792822</v>
      </c>
      <c r="BI352">
        <f t="shared" si="308"/>
        <v>-57.119281484792822</v>
      </c>
      <c r="BJ352">
        <f t="shared" si="293"/>
        <v>0</v>
      </c>
      <c r="BK352">
        <f t="shared" si="309"/>
        <v>0</v>
      </c>
      <c r="BM352">
        <f t="shared" si="310"/>
        <v>-51.03375990322909</v>
      </c>
      <c r="BN352">
        <f t="shared" si="294"/>
        <v>-170.25479831751369</v>
      </c>
      <c r="BQ352" s="56">
        <f t="shared" si="311"/>
        <v>21.399949023662757</v>
      </c>
      <c r="BR352" s="59"/>
      <c r="BS352" s="59"/>
      <c r="BT352" s="59">
        <v>263026.799</v>
      </c>
      <c r="BU352" s="59">
        <v>14.9779</v>
      </c>
      <c r="BV352" s="59">
        <v>-170.82400000000001</v>
      </c>
      <c r="BY352" s="59"/>
      <c r="BZ352" s="59"/>
      <c r="CA352" s="59"/>
      <c r="CC352" s="59"/>
    </row>
    <row r="353" spans="1:81" x14ac:dyDescent="0.2">
      <c r="A353">
        <f t="shared" si="263"/>
        <v>695000</v>
      </c>
      <c r="B353">
        <f t="shared" si="295"/>
        <v>695</v>
      </c>
      <c r="C353">
        <f t="shared" si="264"/>
        <v>1.0139617729365351</v>
      </c>
      <c r="D353">
        <f t="shared" si="265"/>
        <v>0.16613995583954713</v>
      </c>
      <c r="F353">
        <f t="shared" si="266"/>
        <v>1.8197503745329656E-4</v>
      </c>
      <c r="G353">
        <f t="shared" si="267"/>
        <v>5.0826640119268308E-3</v>
      </c>
      <c r="H353">
        <f t="shared" si="268"/>
        <v>-3.1365099859880732</v>
      </c>
      <c r="J353">
        <f t="shared" si="269"/>
        <v>15</v>
      </c>
      <c r="M353">
        <f t="shared" si="270"/>
        <v>3.2471203899311668E-4</v>
      </c>
      <c r="N353">
        <f t="shared" si="271"/>
        <v>-1.5707963250000001</v>
      </c>
      <c r="O353">
        <f t="shared" si="272"/>
        <v>652.27174139352667</v>
      </c>
      <c r="P353">
        <f t="shared" si="273"/>
        <v>1.5692632228318177</v>
      </c>
      <c r="Q353">
        <f t="shared" si="274"/>
        <v>97.068941169002045</v>
      </c>
      <c r="R353">
        <f t="shared" si="275"/>
        <v>1.5604941881583163</v>
      </c>
      <c r="S353">
        <f t="shared" si="276"/>
        <v>0.34277633324243689</v>
      </c>
      <c r="T353">
        <f t="shared" si="277"/>
        <v>-1.2209256379243678</v>
      </c>
      <c r="U353">
        <f t="shared" si="278"/>
        <v>0.31654580777275693</v>
      </c>
      <c r="V353">
        <f t="shared" si="279"/>
        <v>-1.2487105082117136</v>
      </c>
      <c r="X353">
        <f t="shared" si="296"/>
        <v>-44.188413989409185</v>
      </c>
      <c r="Y353">
        <f t="shared" si="280"/>
        <v>-222.36750402793473</v>
      </c>
      <c r="Z353">
        <f t="shared" si="297"/>
        <v>-42.367504027934729</v>
      </c>
      <c r="AC353">
        <v>1</v>
      </c>
      <c r="AD353">
        <f t="shared" si="281"/>
        <v>652.27097484139495</v>
      </c>
      <c r="AE353">
        <f t="shared" si="282"/>
        <v>-0.51270225903258937</v>
      </c>
      <c r="AF353">
        <f t="shared" si="283"/>
        <v>0.17109176403752999</v>
      </c>
      <c r="AG353">
        <f t="shared" si="298"/>
        <v>380.25265686141222</v>
      </c>
      <c r="AH353">
        <f t="shared" si="299"/>
        <v>-1145.3292172088768</v>
      </c>
      <c r="AJ353">
        <f t="shared" si="284"/>
        <v>18000</v>
      </c>
      <c r="AK353">
        <f t="shared" si="285"/>
        <v>49331.021949442802</v>
      </c>
      <c r="AL353">
        <v>1</v>
      </c>
      <c r="AM353">
        <f t="shared" si="286"/>
        <v>97.06379005412461</v>
      </c>
      <c r="AN353">
        <f t="shared" si="300"/>
        <v>510.08941419077462</v>
      </c>
      <c r="AO353">
        <f t="shared" si="301"/>
        <v>-180.1898584019491</v>
      </c>
      <c r="AQ353">
        <f t="shared" si="287"/>
        <v>5.1757128638720232E-3</v>
      </c>
      <c r="AR353">
        <f t="shared" si="288"/>
        <v>-7.1942408807821119</v>
      </c>
      <c r="AT353">
        <f t="shared" si="313"/>
        <v>-8237.8061978306378</v>
      </c>
      <c r="AU353">
        <f t="shared" si="314"/>
        <v>-2741.5571041812609</v>
      </c>
      <c r="AV353">
        <f t="shared" si="302"/>
        <v>-2.8203205146333752</v>
      </c>
      <c r="AW353">
        <f t="shared" si="303"/>
        <v>-407.0540131050023</v>
      </c>
      <c r="AX353">
        <f t="shared" si="304"/>
        <v>-5191.0726170315502</v>
      </c>
      <c r="AY353">
        <f t="shared" si="312"/>
        <v>-1.6490504393098036</v>
      </c>
      <c r="BA353">
        <f t="shared" si="289"/>
        <v>1.6673735345382565</v>
      </c>
      <c r="BB353">
        <f t="shared" si="305"/>
        <v>4.4406580771388224</v>
      </c>
      <c r="BC353">
        <f t="shared" si="306"/>
        <v>-1.1712700753235716</v>
      </c>
      <c r="BD353">
        <f t="shared" si="290"/>
        <v>-247.10883206269369</v>
      </c>
      <c r="BF353">
        <f t="shared" si="291"/>
        <v>-46.716848750971764</v>
      </c>
      <c r="BG353">
        <f t="shared" si="292"/>
        <v>-237.29849857682137</v>
      </c>
      <c r="BH353">
        <f t="shared" si="307"/>
        <v>-57.298498576821373</v>
      </c>
      <c r="BI353">
        <f t="shared" si="308"/>
        <v>-57.298498576821373</v>
      </c>
      <c r="BJ353">
        <f t="shared" si="293"/>
        <v>0</v>
      </c>
      <c r="BK353">
        <f t="shared" si="309"/>
        <v>0</v>
      </c>
      <c r="BM353">
        <f t="shared" si="310"/>
        <v>-51.157506828110577</v>
      </c>
      <c r="BN353">
        <f t="shared" si="294"/>
        <v>-170.18966651412768</v>
      </c>
      <c r="BQ353" s="56">
        <f t="shared" si="311"/>
        <v>21.342618877423959</v>
      </c>
      <c r="BR353" s="59"/>
      <c r="BS353" s="59"/>
      <c r="BT353" s="59">
        <v>269153.48</v>
      </c>
      <c r="BU353" s="59">
        <v>15.0854</v>
      </c>
      <c r="BV353" s="59">
        <v>-173.35300000000001</v>
      </c>
      <c r="BY353" s="59"/>
      <c r="BZ353" s="59"/>
      <c r="CA353" s="59"/>
      <c r="CC353" s="59"/>
    </row>
    <row r="354" spans="1:81" x14ac:dyDescent="0.2">
      <c r="A354">
        <f t="shared" si="263"/>
        <v>700000</v>
      </c>
      <c r="B354">
        <f t="shared" si="295"/>
        <v>700</v>
      </c>
      <c r="C354">
        <f t="shared" si="264"/>
        <v>1.01416197656564</v>
      </c>
      <c r="D354">
        <f t="shared" si="265"/>
        <v>0.16731310245050723</v>
      </c>
      <c r="F354">
        <f t="shared" si="266"/>
        <v>1.7938424231907934E-4</v>
      </c>
      <c r="G354">
        <f t="shared" si="267"/>
        <v>5.0463466891216315E-3</v>
      </c>
      <c r="H354">
        <f t="shared" si="268"/>
        <v>-3.1365463033108787</v>
      </c>
      <c r="J354">
        <f t="shared" si="269"/>
        <v>15</v>
      </c>
      <c r="M354">
        <f t="shared" si="270"/>
        <v>3.22392667286023E-4</v>
      </c>
      <c r="N354">
        <f t="shared" si="271"/>
        <v>-1.5707963250000001</v>
      </c>
      <c r="O354">
        <f t="shared" si="272"/>
        <v>656.96433285946569</v>
      </c>
      <c r="P354">
        <f t="shared" si="273"/>
        <v>1.5692741735574356</v>
      </c>
      <c r="Q354">
        <f t="shared" si="274"/>
        <v>97.767205025127396</v>
      </c>
      <c r="R354">
        <f t="shared" si="275"/>
        <v>1.5605677697119176</v>
      </c>
      <c r="S354">
        <f t="shared" si="276"/>
        <v>0.34061288999317541</v>
      </c>
      <c r="T354">
        <f t="shared" si="277"/>
        <v>-1.2232276367544368</v>
      </c>
      <c r="U354">
        <f t="shared" si="278"/>
        <v>0.31450914388450119</v>
      </c>
      <c r="V354">
        <f t="shared" si="279"/>
        <v>-1.2508568135351867</v>
      </c>
      <c r="X354">
        <f t="shared" si="296"/>
        <v>-44.360052478809948</v>
      </c>
      <c r="Y354">
        <f t="shared" si="280"/>
        <v>-222.5523942190645</v>
      </c>
      <c r="Z354">
        <f t="shared" si="297"/>
        <v>-42.552394219064496</v>
      </c>
      <c r="AC354">
        <v>1</v>
      </c>
      <c r="AD354">
        <f t="shared" si="281"/>
        <v>656.9635717827</v>
      </c>
      <c r="AE354">
        <f t="shared" si="282"/>
        <v>-0.5201058059644299</v>
      </c>
      <c r="AF354">
        <f t="shared" si="283"/>
        <v>0.17232264003780001</v>
      </c>
      <c r="AG354">
        <f t="shared" si="298"/>
        <v>375.37528726640886</v>
      </c>
      <c r="AH354">
        <f t="shared" si="299"/>
        <v>-1138.7642754299707</v>
      </c>
      <c r="AJ354">
        <f t="shared" si="284"/>
        <v>18000</v>
      </c>
      <c r="AK354">
        <f t="shared" si="285"/>
        <v>49685.921387928</v>
      </c>
      <c r="AL354">
        <v>1</v>
      </c>
      <c r="AM354">
        <f t="shared" si="286"/>
        <v>97.762090701996001</v>
      </c>
      <c r="AN354">
        <f t="shared" si="300"/>
        <v>510.06299157603178</v>
      </c>
      <c r="AO354">
        <f t="shared" si="301"/>
        <v>-178.90305825944122</v>
      </c>
      <c r="AQ354">
        <f t="shared" si="287"/>
        <v>5.1020382132458096E-3</v>
      </c>
      <c r="AR354">
        <f t="shared" si="288"/>
        <v>-7.1428534985441337</v>
      </c>
      <c r="AT354">
        <f t="shared" si="313"/>
        <v>-8132.1112097120995</v>
      </c>
      <c r="AU354">
        <f t="shared" si="314"/>
        <v>-2687.0607027670007</v>
      </c>
      <c r="AV354">
        <f t="shared" si="302"/>
        <v>-2.8224610079747356</v>
      </c>
      <c r="AW354">
        <f t="shared" si="303"/>
        <v>-393.49967427165865</v>
      </c>
      <c r="AX354">
        <f t="shared" si="304"/>
        <v>-5155.3845215097945</v>
      </c>
      <c r="AY354">
        <f t="shared" si="312"/>
        <v>-1.6469765153309806</v>
      </c>
      <c r="BA354">
        <f t="shared" si="289"/>
        <v>1.6564643801515728</v>
      </c>
      <c r="BB354">
        <f t="shared" si="305"/>
        <v>4.3836420289905265</v>
      </c>
      <c r="BC354">
        <f t="shared" si="306"/>
        <v>-1.1754844926437551</v>
      </c>
      <c r="BD354">
        <f t="shared" si="290"/>
        <v>-247.35030038852295</v>
      </c>
      <c r="BF354">
        <f t="shared" si="291"/>
        <v>-46.896700503413307</v>
      </c>
      <c r="BG354">
        <f t="shared" si="292"/>
        <v>-237.47483138233812</v>
      </c>
      <c r="BH354">
        <f t="shared" si="307"/>
        <v>-57.474831382338124</v>
      </c>
      <c r="BI354">
        <f t="shared" si="308"/>
        <v>-57.474831382338124</v>
      </c>
      <c r="BJ354">
        <f t="shared" si="293"/>
        <v>0</v>
      </c>
      <c r="BK354">
        <f t="shared" si="309"/>
        <v>0</v>
      </c>
      <c r="BM354">
        <f t="shared" si="310"/>
        <v>-51.280342532403836</v>
      </c>
      <c r="BN354">
        <f t="shared" si="294"/>
        <v>-170.12453099381514</v>
      </c>
      <c r="BQ354" s="56">
        <f t="shared" si="311"/>
        <v>21.285602829275664</v>
      </c>
      <c r="BR354" s="59"/>
      <c r="BS354" s="59"/>
      <c r="BT354" s="59">
        <v>275422.87</v>
      </c>
      <c r="BU354" s="59">
        <v>15.1145</v>
      </c>
      <c r="BV354" s="59">
        <v>-175.80699999999999</v>
      </c>
      <c r="BY354" s="59"/>
      <c r="BZ354" s="59"/>
      <c r="CA354" s="59"/>
      <c r="CC354" s="59"/>
    </row>
    <row r="355" spans="1:81" x14ac:dyDescent="0.2">
      <c r="A355">
        <f t="shared" si="263"/>
        <v>705000</v>
      </c>
      <c r="B355">
        <f t="shared" si="295"/>
        <v>705</v>
      </c>
      <c r="C355">
        <f t="shared" si="264"/>
        <v>1.0143635754063809</v>
      </c>
      <c r="D355">
        <f t="shared" si="265"/>
        <v>0.16848578436278006</v>
      </c>
      <c r="F355">
        <f t="shared" si="266"/>
        <v>1.7684838698061187E-4</v>
      </c>
      <c r="G355">
        <f t="shared" si="267"/>
        <v>5.0105447705191672E-3</v>
      </c>
      <c r="H355">
        <f t="shared" si="268"/>
        <v>-3.1365821052294809</v>
      </c>
      <c r="J355">
        <f t="shared" si="269"/>
        <v>15</v>
      </c>
      <c r="M355">
        <f t="shared" si="270"/>
        <v>3.2010619446839165E-4</v>
      </c>
      <c r="N355">
        <f t="shared" si="271"/>
        <v>-1.5707963250000001</v>
      </c>
      <c r="O355">
        <f t="shared" si="272"/>
        <v>661.65692440306918</v>
      </c>
      <c r="P355">
        <f t="shared" si="273"/>
        <v>1.5692849689539692</v>
      </c>
      <c r="Q355">
        <f t="shared" si="274"/>
        <v>98.465469403080817</v>
      </c>
      <c r="R355">
        <f t="shared" si="275"/>
        <v>1.5606403076639603</v>
      </c>
      <c r="S355">
        <f t="shared" si="276"/>
        <v>0.33847482470518692</v>
      </c>
      <c r="T355">
        <f t="shared" si="277"/>
        <v>-1.2255007476951647</v>
      </c>
      <c r="U355">
        <f t="shared" si="278"/>
        <v>0.31249710828528865</v>
      </c>
      <c r="V355">
        <f t="shared" si="279"/>
        <v>-1.2529756670392447</v>
      </c>
      <c r="X355">
        <f t="shared" si="296"/>
        <v>-44.53061442719018</v>
      </c>
      <c r="Y355">
        <f t="shared" si="280"/>
        <v>-222.73412217111357</v>
      </c>
      <c r="Z355">
        <f t="shared" si="297"/>
        <v>-42.734122171113569</v>
      </c>
      <c r="AC355">
        <v>1</v>
      </c>
      <c r="AD355">
        <f t="shared" si="281"/>
        <v>661.65616872400494</v>
      </c>
      <c r="AE355">
        <f t="shared" si="282"/>
        <v>-0.52756242491728733</v>
      </c>
      <c r="AF355">
        <f t="shared" si="283"/>
        <v>0.17355351603807001</v>
      </c>
      <c r="AG355">
        <f t="shared" si="298"/>
        <v>370.58781075094134</v>
      </c>
      <c r="AH355">
        <f t="shared" si="299"/>
        <v>-1132.2628810438512</v>
      </c>
      <c r="AJ355">
        <f t="shared" si="284"/>
        <v>18000</v>
      </c>
      <c r="AK355">
        <f t="shared" si="285"/>
        <v>50040.820826413204</v>
      </c>
      <c r="AL355">
        <v>1</v>
      </c>
      <c r="AM355">
        <f t="shared" si="286"/>
        <v>98.460391349867407</v>
      </c>
      <c r="AN355">
        <f t="shared" si="300"/>
        <v>510.03712907132746</v>
      </c>
      <c r="AO355">
        <f t="shared" si="301"/>
        <v>-177.63450491254042</v>
      </c>
      <c r="AQ355">
        <f t="shared" si="287"/>
        <v>5.0299255420122018E-3</v>
      </c>
      <c r="AR355">
        <f t="shared" si="288"/>
        <v>-7.0921950142372046</v>
      </c>
      <c r="AT355">
        <f t="shared" si="313"/>
        <v>-8028.3651306501997</v>
      </c>
      <c r="AU355">
        <f t="shared" si="314"/>
        <v>-2633.976221730542</v>
      </c>
      <c r="AV355">
        <f t="shared" si="302"/>
        <v>-2.8245741319358233</v>
      </c>
      <c r="AW355">
        <f t="shared" si="303"/>
        <v>-380.24595850146937</v>
      </c>
      <c r="AX355">
        <f t="shared" si="304"/>
        <v>-5120.1777382633272</v>
      </c>
      <c r="AY355">
        <f t="shared" si="312"/>
        <v>-1.644924460871678</v>
      </c>
      <c r="BA355">
        <f t="shared" si="289"/>
        <v>1.6456856233078967</v>
      </c>
      <c r="BB355">
        <f t="shared" si="305"/>
        <v>4.326937503275861</v>
      </c>
      <c r="BC355">
        <f t="shared" si="306"/>
        <v>-1.1796496710641453</v>
      </c>
      <c r="BD355">
        <f t="shared" si="290"/>
        <v>-247.588947533203</v>
      </c>
      <c r="BF355">
        <f t="shared" si="291"/>
        <v>-47.075342339156883</v>
      </c>
      <c r="BG355">
        <f t="shared" si="292"/>
        <v>-237.64834010149352</v>
      </c>
      <c r="BH355">
        <f t="shared" si="307"/>
        <v>-57.648340101493517</v>
      </c>
      <c r="BI355">
        <f t="shared" si="308"/>
        <v>-57.648340101493517</v>
      </c>
      <c r="BJ355">
        <f t="shared" si="293"/>
        <v>0</v>
      </c>
      <c r="BK355">
        <f t="shared" si="309"/>
        <v>0</v>
      </c>
      <c r="BM355">
        <f t="shared" si="310"/>
        <v>-51.402279842432748</v>
      </c>
      <c r="BN355">
        <f t="shared" si="294"/>
        <v>-170.05939256829049</v>
      </c>
      <c r="BQ355" s="56">
        <f t="shared" si="311"/>
        <v>21.228898303560996</v>
      </c>
      <c r="BR355" s="59"/>
      <c r="BS355" s="59"/>
      <c r="BT355" s="59">
        <v>281838.29300000001</v>
      </c>
      <c r="BU355" s="59">
        <v>15.1486</v>
      </c>
      <c r="BV355" s="59">
        <v>-177.72399999999999</v>
      </c>
      <c r="BY355" s="59"/>
      <c r="BZ355" s="59"/>
      <c r="CA355" s="59"/>
      <c r="CC355" s="59"/>
    </row>
    <row r="356" spans="1:81" x14ac:dyDescent="0.2">
      <c r="A356">
        <f t="shared" si="263"/>
        <v>710000</v>
      </c>
      <c r="B356">
        <f t="shared" si="295"/>
        <v>710</v>
      </c>
      <c r="C356">
        <f t="shared" si="264"/>
        <v>1.0145665686270535</v>
      </c>
      <c r="D356">
        <f t="shared" si="265"/>
        <v>0.16965799862904099</v>
      </c>
      <c r="F356">
        <f t="shared" si="266"/>
        <v>1.743659288766079E-4</v>
      </c>
      <c r="G356">
        <f t="shared" si="267"/>
        <v>4.9752473599137806E-3</v>
      </c>
      <c r="H356">
        <f t="shared" si="268"/>
        <v>-3.1366174026400864</v>
      </c>
      <c r="J356">
        <f t="shared" si="269"/>
        <v>15</v>
      </c>
      <c r="M356">
        <f t="shared" si="270"/>
        <v>3.1785192549326207E-4</v>
      </c>
      <c r="N356">
        <f t="shared" si="271"/>
        <v>-1.5707963250000001</v>
      </c>
      <c r="O356">
        <f t="shared" si="272"/>
        <v>666.34951602269678</v>
      </c>
      <c r="P356">
        <f t="shared" si="273"/>
        <v>1.5692956123030093</v>
      </c>
      <c r="Q356">
        <f t="shared" si="274"/>
        <v>99.163734291838921</v>
      </c>
      <c r="R356">
        <f t="shared" si="275"/>
        <v>1.5607118240593438</v>
      </c>
      <c r="S356">
        <f t="shared" si="276"/>
        <v>0.33636172813254944</v>
      </c>
      <c r="T356">
        <f t="shared" si="277"/>
        <v>-1.227745488074609</v>
      </c>
      <c r="U356">
        <f t="shared" si="278"/>
        <v>0.31050928499992159</v>
      </c>
      <c r="V356">
        <f t="shared" si="279"/>
        <v>-1.2550675733857386</v>
      </c>
      <c r="X356">
        <f t="shared" si="296"/>
        <v>-44.700111861491436</v>
      </c>
      <c r="Y356">
        <f t="shared" si="280"/>
        <v>-222.91274578186542</v>
      </c>
      <c r="Z356">
        <f t="shared" si="297"/>
        <v>-42.912745781865425</v>
      </c>
      <c r="AC356">
        <v>1</v>
      </c>
      <c r="AD356">
        <f t="shared" si="281"/>
        <v>666.34876566531</v>
      </c>
      <c r="AE356">
        <f t="shared" si="282"/>
        <v>-0.53507211589116155</v>
      </c>
      <c r="AF356">
        <f t="shared" si="283"/>
        <v>0.17478439203833998</v>
      </c>
      <c r="AG356">
        <f t="shared" si="298"/>
        <v>365.888118698136</v>
      </c>
      <c r="AH356">
        <f t="shared" si="299"/>
        <v>-1125.8243802918287</v>
      </c>
      <c r="AJ356">
        <f t="shared" si="284"/>
        <v>18000</v>
      </c>
      <c r="AK356">
        <f t="shared" si="285"/>
        <v>50395.720264898395</v>
      </c>
      <c r="AL356">
        <v>1</v>
      </c>
      <c r="AM356">
        <f t="shared" si="286"/>
        <v>99.158691997738813</v>
      </c>
      <c r="AN356">
        <f t="shared" si="300"/>
        <v>510.01181095728572</v>
      </c>
      <c r="AO356">
        <f t="shared" si="301"/>
        <v>-176.38381302409223</v>
      </c>
      <c r="AQ356">
        <f t="shared" si="287"/>
        <v>4.9593310060846033E-3</v>
      </c>
      <c r="AR356">
        <f t="shared" si="288"/>
        <v>-7.0422500286401366</v>
      </c>
      <c r="AT356">
        <f t="shared" si="313"/>
        <v>-7926.5222140620772</v>
      </c>
      <c r="AU356">
        <f t="shared" si="314"/>
        <v>-2582.258950137621</v>
      </c>
      <c r="AV356">
        <f t="shared" si="302"/>
        <v>-2.8266603894368258</v>
      </c>
      <c r="AW356">
        <f t="shared" si="303"/>
        <v>-367.28402085783324</v>
      </c>
      <c r="AX356">
        <f t="shared" si="304"/>
        <v>-5085.4426593407816</v>
      </c>
      <c r="AY356">
        <f t="shared" si="312"/>
        <v>-1.6428937702106263</v>
      </c>
      <c r="BA356">
        <f t="shared" si="289"/>
        <v>1.6350351596421917</v>
      </c>
      <c r="BB356">
        <f t="shared" si="305"/>
        <v>4.2705419224876877</v>
      </c>
      <c r="BC356">
        <f t="shared" si="306"/>
        <v>-1.1837666192261995</v>
      </c>
      <c r="BD356">
        <f t="shared" si="290"/>
        <v>-247.82483128763238</v>
      </c>
      <c r="BF356">
        <f t="shared" si="291"/>
        <v>-47.252789390291021</v>
      </c>
      <c r="BG356">
        <f t="shared" si="292"/>
        <v>-237.81908331836209</v>
      </c>
      <c r="BH356">
        <f t="shared" si="307"/>
        <v>-57.81908331836209</v>
      </c>
      <c r="BI356">
        <f t="shared" si="308"/>
        <v>-57.81908331836209</v>
      </c>
      <c r="BJ356">
        <f t="shared" si="293"/>
        <v>0</v>
      </c>
      <c r="BK356">
        <f t="shared" si="309"/>
        <v>0</v>
      </c>
      <c r="BM356">
        <f t="shared" si="310"/>
        <v>-51.523331312778701</v>
      </c>
      <c r="BN356">
        <f t="shared" si="294"/>
        <v>-169.99425203072974</v>
      </c>
      <c r="BQ356" s="56">
        <f t="shared" si="311"/>
        <v>21.172502722772823</v>
      </c>
      <c r="BR356" s="59"/>
      <c r="BS356" s="59"/>
      <c r="BT356" s="59">
        <v>288403.15000000002</v>
      </c>
      <c r="BU356" s="59">
        <v>14.961</v>
      </c>
      <c r="BV356" s="59">
        <v>-178.92099999999999</v>
      </c>
      <c r="BY356" s="59"/>
      <c r="BZ356" s="59"/>
      <c r="CA356" s="59"/>
      <c r="CC356" s="59"/>
    </row>
    <row r="357" spans="1:81" x14ac:dyDescent="0.2">
      <c r="A357">
        <f t="shared" si="263"/>
        <v>715000</v>
      </c>
      <c r="B357">
        <f t="shared" si="295"/>
        <v>715</v>
      </c>
      <c r="C357">
        <f t="shared" si="264"/>
        <v>1.0147709553908693</v>
      </c>
      <c r="D357">
        <f t="shared" si="265"/>
        <v>0.17082974230945627</v>
      </c>
      <c r="F357">
        <f t="shared" si="266"/>
        <v>1.7193537920976557E-4</v>
      </c>
      <c r="G357">
        <f t="shared" si="267"/>
        <v>4.9404438661443603E-3</v>
      </c>
      <c r="H357">
        <f t="shared" si="268"/>
        <v>-3.136652206133856</v>
      </c>
      <c r="J357">
        <f t="shared" si="269"/>
        <v>15</v>
      </c>
      <c r="M357">
        <f t="shared" si="270"/>
        <v>3.1562918475554696E-4</v>
      </c>
      <c r="N357">
        <f t="shared" si="271"/>
        <v>-1.5707963250000001</v>
      </c>
      <c r="O357">
        <f t="shared" si="272"/>
        <v>671.04210771675309</v>
      </c>
      <c r="P357">
        <f t="shared" si="273"/>
        <v>1.5693061067943537</v>
      </c>
      <c r="Q357">
        <f t="shared" si="274"/>
        <v>99.861999680686608</v>
      </c>
      <c r="R357">
        <f t="shared" si="275"/>
        <v>1.5607823403264305</v>
      </c>
      <c r="S357">
        <f t="shared" si="276"/>
        <v>0.33427319883791601</v>
      </c>
      <c r="T357">
        <f t="shared" si="277"/>
        <v>-1.2299623635314567</v>
      </c>
      <c r="U357">
        <f t="shared" si="278"/>
        <v>0.30854526660461268</v>
      </c>
      <c r="V357">
        <f t="shared" si="279"/>
        <v>-1.2571330254249635</v>
      </c>
      <c r="X357">
        <f t="shared" si="296"/>
        <v>-44.868556625137437</v>
      </c>
      <c r="Y357">
        <f t="shared" si="280"/>
        <v>-223.08832162527699</v>
      </c>
      <c r="Z357">
        <f t="shared" si="297"/>
        <v>-43.08832162527699</v>
      </c>
      <c r="AC357">
        <v>1</v>
      </c>
      <c r="AD357">
        <f t="shared" si="281"/>
        <v>671.04136260661505</v>
      </c>
      <c r="AE357">
        <f t="shared" si="282"/>
        <v>-0.54263487888605244</v>
      </c>
      <c r="AF357">
        <f t="shared" si="283"/>
        <v>0.17601526803861001</v>
      </c>
      <c r="AG357">
        <f t="shared" si="298"/>
        <v>361.27416112263739</v>
      </c>
      <c r="AH357">
        <f t="shared" si="299"/>
        <v>-1119.4481186837759</v>
      </c>
      <c r="AJ357">
        <f t="shared" si="284"/>
        <v>18000</v>
      </c>
      <c r="AK357">
        <f t="shared" si="285"/>
        <v>50750.6197033836</v>
      </c>
      <c r="AL357">
        <v>1</v>
      </c>
      <c r="AM357">
        <f t="shared" si="286"/>
        <v>99.856992645610205</v>
      </c>
      <c r="AN357">
        <f t="shared" si="300"/>
        <v>509.98702206211948</v>
      </c>
      <c r="AO357">
        <f t="shared" si="301"/>
        <v>-175.15060803012031</v>
      </c>
      <c r="AQ357">
        <f t="shared" si="287"/>
        <v>4.8902122890056784E-3</v>
      </c>
      <c r="AR357">
        <f t="shared" si="288"/>
        <v>-6.9930035732781199</v>
      </c>
      <c r="AT357">
        <f t="shared" si="313"/>
        <v>-7826.5379867126921</v>
      </c>
      <c r="AU357">
        <f t="shared" si="314"/>
        <v>-2531.8658386105503</v>
      </c>
      <c r="AV357">
        <f t="shared" si="302"/>
        <v>-2.8287202716350932</v>
      </c>
      <c r="AW357">
        <f t="shared" si="303"/>
        <v>-354.60533911994287</v>
      </c>
      <c r="AX357">
        <f t="shared" si="304"/>
        <v>-5051.1699308896896</v>
      </c>
      <c r="AY357">
        <f t="shared" si="312"/>
        <v>-1.6408839528376105</v>
      </c>
      <c r="BA357">
        <f t="shared" si="289"/>
        <v>1.6245109216365614</v>
      </c>
      <c r="BB357">
        <f t="shared" si="305"/>
        <v>4.2144527093177553</v>
      </c>
      <c r="BC357">
        <f t="shared" si="306"/>
        <v>-1.1878363187974827</v>
      </c>
      <c r="BD357">
        <f t="shared" si="290"/>
        <v>-248.05800789721954</v>
      </c>
      <c r="BF357">
        <f t="shared" si="291"/>
        <v>-47.429056524599041</v>
      </c>
      <c r="BG357">
        <f t="shared" si="292"/>
        <v>-237.9871180536212</v>
      </c>
      <c r="BH357">
        <f t="shared" si="307"/>
        <v>-57.987118053621202</v>
      </c>
      <c r="BI357">
        <f t="shared" si="308"/>
        <v>-57.987118053621202</v>
      </c>
      <c r="BJ357">
        <f t="shared" si="293"/>
        <v>0</v>
      </c>
      <c r="BK357">
        <f t="shared" si="309"/>
        <v>0</v>
      </c>
      <c r="BM357">
        <f t="shared" si="310"/>
        <v>-51.643509233916795</v>
      </c>
      <c r="BN357">
        <f t="shared" si="294"/>
        <v>-169.92911015640169</v>
      </c>
      <c r="BQ357" s="56">
        <f t="shared" si="311"/>
        <v>21.116413509602893</v>
      </c>
      <c r="BR357" s="59"/>
      <c r="BS357" s="59"/>
      <c r="BT357" s="59">
        <v>295120.92300000001</v>
      </c>
      <c r="BU357" s="59">
        <v>14.946199999999999</v>
      </c>
      <c r="BV357" s="59">
        <v>-181.99</v>
      </c>
      <c r="BW357" s="61"/>
      <c r="BY357" s="59"/>
      <c r="BZ357" s="59"/>
      <c r="CA357" s="59"/>
      <c r="CC357" s="59"/>
    </row>
    <row r="358" spans="1:81" x14ac:dyDescent="0.2">
      <c r="A358">
        <f t="shared" si="263"/>
        <v>720000</v>
      </c>
      <c r="B358">
        <f t="shared" si="295"/>
        <v>720</v>
      </c>
      <c r="C358">
        <f t="shared" si="264"/>
        <v>1.0149767348559708</v>
      </c>
      <c r="D358">
        <f t="shared" si="265"/>
        <v>0.17200101247172087</v>
      </c>
      <c r="F358">
        <f t="shared" si="266"/>
        <v>1.6955530071357589E-4</v>
      </c>
      <c r="G358">
        <f t="shared" si="267"/>
        <v>4.9061239924919698E-3</v>
      </c>
      <c r="H358">
        <f t="shared" si="268"/>
        <v>-3.1366865260075083</v>
      </c>
      <c r="J358">
        <f t="shared" si="269"/>
        <v>15</v>
      </c>
      <c r="M358">
        <f t="shared" si="270"/>
        <v>3.1343731541696676E-4</v>
      </c>
      <c r="N358">
        <f t="shared" si="271"/>
        <v>-1.5707963250000001</v>
      </c>
      <c r="O358">
        <f t="shared" si="272"/>
        <v>675.7346994836879</v>
      </c>
      <c r="P358">
        <f t="shared" si="273"/>
        <v>1.5693164555291952</v>
      </c>
      <c r="Q358">
        <f t="shared" si="274"/>
        <v>100.56026555920637</v>
      </c>
      <c r="R358">
        <f t="shared" si="275"/>
        <v>1.5608518772984499</v>
      </c>
      <c r="S358">
        <f t="shared" si="276"/>
        <v>0.3322088430409777</v>
      </c>
      <c r="T358">
        <f t="shared" si="277"/>
        <v>-1.2321518683243191</v>
      </c>
      <c r="U358">
        <f t="shared" si="278"/>
        <v>0.30660465403538834</v>
      </c>
      <c r="V358">
        <f t="shared" si="279"/>
        <v>-1.2591725045235045</v>
      </c>
      <c r="X358">
        <f t="shared" si="296"/>
        <v>-45.035960381289328</v>
      </c>
      <c r="Y358">
        <f t="shared" si="280"/>
        <v>-223.26090498718023</v>
      </c>
      <c r="Z358">
        <f t="shared" si="297"/>
        <v>-43.260904987180226</v>
      </c>
      <c r="AC358">
        <v>1</v>
      </c>
      <c r="AD358">
        <f t="shared" si="281"/>
        <v>675.73395954791999</v>
      </c>
      <c r="AE358">
        <f t="shared" si="282"/>
        <v>-0.55025071390196023</v>
      </c>
      <c r="AF358">
        <f t="shared" si="283"/>
        <v>0.17724614403888</v>
      </c>
      <c r="AG358">
        <f t="shared" si="298"/>
        <v>356.74394483712933</v>
      </c>
      <c r="AH358">
        <f t="shared" si="299"/>
        <v>-1113.1334416141281</v>
      </c>
      <c r="AJ358">
        <f t="shared" si="284"/>
        <v>18000</v>
      </c>
      <c r="AK358">
        <f t="shared" si="285"/>
        <v>51105.519141868797</v>
      </c>
      <c r="AL358">
        <v>1</v>
      </c>
      <c r="AM358">
        <f t="shared" si="286"/>
        <v>100.55529329348161</v>
      </c>
      <c r="AN358">
        <f t="shared" si="300"/>
        <v>509.96274773889917</v>
      </c>
      <c r="AO358">
        <f t="shared" si="301"/>
        <v>-173.93452576598344</v>
      </c>
      <c r="AQ358">
        <f t="shared" si="287"/>
        <v>4.822528538518259E-3</v>
      </c>
      <c r="AR358">
        <f t="shared" si="288"/>
        <v>-6.944441095466293</v>
      </c>
      <c r="AT358">
        <f t="shared" si="313"/>
        <v>-7728.3692088280604</v>
      </c>
      <c r="AU358">
        <f t="shared" si="314"/>
        <v>-2482.7554288750844</v>
      </c>
      <c r="AV358">
        <f t="shared" si="302"/>
        <v>-2.8307542582512903</v>
      </c>
      <c r="AW358">
        <f t="shared" si="303"/>
        <v>-342.20169979499804</v>
      </c>
      <c r="AX358">
        <f t="shared" si="304"/>
        <v>-5017.3504447471605</v>
      </c>
      <c r="AY358">
        <f t="shared" si="312"/>
        <v>-1.6388945329053743</v>
      </c>
      <c r="BA358">
        <f t="shared" si="289"/>
        <v>1.6141108782152371</v>
      </c>
      <c r="BB358">
        <f t="shared" si="305"/>
        <v>4.1586672885523468</v>
      </c>
      <c r="BC358">
        <f t="shared" si="306"/>
        <v>-1.191859725345916</v>
      </c>
      <c r="BD358">
        <f t="shared" si="290"/>
        <v>-248.2885321119735</v>
      </c>
      <c r="BF358">
        <f t="shared" si="291"/>
        <v>-47.604158351033384</v>
      </c>
      <c r="BG358">
        <f t="shared" si="292"/>
        <v>-238.15249981524704</v>
      </c>
      <c r="BH358">
        <f t="shared" si="307"/>
        <v>-58.15249981524704</v>
      </c>
      <c r="BI358">
        <f t="shared" si="308"/>
        <v>-58.15249981524704</v>
      </c>
      <c r="BJ358">
        <f t="shared" si="293"/>
        <v>0</v>
      </c>
      <c r="BK358">
        <f t="shared" si="309"/>
        <v>0</v>
      </c>
      <c r="BM358">
        <f t="shared" si="310"/>
        <v>-51.762825639585735</v>
      </c>
      <c r="BN358">
        <f t="shared" si="294"/>
        <v>-169.8639677032736</v>
      </c>
      <c r="BQ358" s="56">
        <f t="shared" si="311"/>
        <v>21.060628088837483</v>
      </c>
      <c r="BR358" s="59"/>
      <c r="BS358" s="59"/>
      <c r="BT358" s="59">
        <v>301995.17200000002</v>
      </c>
      <c r="BU358" s="59">
        <v>15.1762</v>
      </c>
      <c r="BV358" s="59">
        <v>-183.36099999999999</v>
      </c>
      <c r="BW358" s="61"/>
      <c r="BY358" s="59"/>
      <c r="BZ358" s="59"/>
      <c r="CA358" s="59"/>
      <c r="CC358" s="59"/>
    </row>
    <row r="359" spans="1:81" x14ac:dyDescent="0.2">
      <c r="A359">
        <f t="shared" si="263"/>
        <v>725000</v>
      </c>
      <c r="B359">
        <f t="shared" si="295"/>
        <v>725</v>
      </c>
      <c r="C359">
        <f t="shared" si="264"/>
        <v>1.0151839061754497</v>
      </c>
      <c r="D359">
        <f t="shared" si="265"/>
        <v>0.17317180619109604</v>
      </c>
      <c r="F359">
        <f t="shared" si="266"/>
        <v>1.6722430552661233E-4</v>
      </c>
      <c r="G359">
        <f t="shared" si="267"/>
        <v>4.8722777265167109E-3</v>
      </c>
      <c r="H359">
        <f t="shared" si="268"/>
        <v>-3.1367203722734835</v>
      </c>
      <c r="J359">
        <f t="shared" si="269"/>
        <v>15</v>
      </c>
      <c r="M359">
        <f t="shared" si="270"/>
        <v>3.1127567875891872E-4</v>
      </c>
      <c r="N359">
        <f t="shared" si="271"/>
        <v>-1.5707963250000001</v>
      </c>
      <c r="O359">
        <f t="shared" si="272"/>
        <v>680.42729132199304</v>
      </c>
      <c r="P359">
        <f t="shared" si="273"/>
        <v>1.5693266615231771</v>
      </c>
      <c r="Q359">
        <f t="shared" si="274"/>
        <v>101.25853191726809</v>
      </c>
      <c r="R359">
        <f t="shared" si="275"/>
        <v>1.5609204552340172</v>
      </c>
      <c r="S359">
        <f t="shared" si="276"/>
        <v>0.33016827446885127</v>
      </c>
      <c r="T359">
        <f t="shared" si="277"/>
        <v>-1.2343144856320032</v>
      </c>
      <c r="U359">
        <f t="shared" si="278"/>
        <v>0.30468705640039961</v>
      </c>
      <c r="V359">
        <f t="shared" si="279"/>
        <v>-1.2611864808818412</v>
      </c>
      <c r="X359">
        <f t="shared" si="296"/>
        <v>-45.202334616044119</v>
      </c>
      <c r="Y359">
        <f t="shared" si="280"/>
        <v>-223.43054989991356</v>
      </c>
      <c r="Z359">
        <f t="shared" si="297"/>
        <v>-43.430549899913558</v>
      </c>
      <c r="AC359">
        <v>1</v>
      </c>
      <c r="AD359">
        <f t="shared" si="281"/>
        <v>680.42655648922494</v>
      </c>
      <c r="AE359">
        <f t="shared" si="282"/>
        <v>-0.5579196209388847</v>
      </c>
      <c r="AF359">
        <f t="shared" si="283"/>
        <v>0.17847702003915</v>
      </c>
      <c r="AG359">
        <f t="shared" si="298"/>
        <v>352.29553168013945</v>
      </c>
      <c r="AH359">
        <f t="shared" si="299"/>
        <v>-1106.8796949327811</v>
      </c>
      <c r="AJ359">
        <f t="shared" si="284"/>
        <v>18000</v>
      </c>
      <c r="AK359">
        <f t="shared" si="285"/>
        <v>51460.418580354002</v>
      </c>
      <c r="AL359">
        <v>1</v>
      </c>
      <c r="AM359">
        <f t="shared" si="286"/>
        <v>101.25359394135302</v>
      </c>
      <c r="AN359">
        <f t="shared" si="300"/>
        <v>509.93897384391482</v>
      </c>
      <c r="AO359">
        <f t="shared" si="301"/>
        <v>-172.73521210799177</v>
      </c>
      <c r="AQ359">
        <f t="shared" si="287"/>
        <v>4.7562403061877263E-3</v>
      </c>
      <c r="AR359">
        <f t="shared" si="288"/>
        <v>-6.8965484439722022</v>
      </c>
      <c r="AT359">
        <f t="shared" si="313"/>
        <v>-7631.9738355456311</v>
      </c>
      <c r="AU359">
        <f t="shared" si="314"/>
        <v>-2434.8877866461653</v>
      </c>
      <c r="AV359">
        <f t="shared" si="302"/>
        <v>-2.8327628178853823</v>
      </c>
      <c r="AW359">
        <f t="shared" si="303"/>
        <v>-330.06518482966499</v>
      </c>
      <c r="AX359">
        <f t="shared" si="304"/>
        <v>-4983.9753303672551</v>
      </c>
      <c r="AY359">
        <f t="shared" si="312"/>
        <v>-1.6369250487040758</v>
      </c>
      <c r="BA359">
        <f t="shared" si="289"/>
        <v>1.6038330343169278</v>
      </c>
      <c r="BB359">
        <f t="shared" si="305"/>
        <v>4.1031830888243768</v>
      </c>
      <c r="BC359">
        <f t="shared" si="306"/>
        <v>-1.1958377691813065</v>
      </c>
      <c r="BD359">
        <f t="shared" si="290"/>
        <v>-248.51645723471984</v>
      </c>
      <c r="BF359">
        <f t="shared" si="291"/>
        <v>-47.778109225078033</v>
      </c>
      <c r="BG359">
        <f t="shared" si="292"/>
        <v>-238.31528264731099</v>
      </c>
      <c r="BH359">
        <f t="shared" si="307"/>
        <v>-58.315282647310994</v>
      </c>
      <c r="BI359">
        <f t="shared" si="308"/>
        <v>-58.315282647310994</v>
      </c>
      <c r="BJ359">
        <f t="shared" si="293"/>
        <v>0</v>
      </c>
      <c r="BK359">
        <f t="shared" si="309"/>
        <v>0</v>
      </c>
      <c r="BM359">
        <f t="shared" si="310"/>
        <v>-51.881292313902406</v>
      </c>
      <c r="BN359">
        <f t="shared" si="294"/>
        <v>-169.79882541259119</v>
      </c>
      <c r="BQ359" s="56">
        <f t="shared" si="311"/>
        <v>21.005143889109515</v>
      </c>
      <c r="BR359" s="59"/>
      <c r="BS359" s="59"/>
      <c r="BT359" s="59">
        <v>309029.54300000001</v>
      </c>
      <c r="BU359" s="59">
        <v>15.284700000000001</v>
      </c>
      <c r="BV359" s="59">
        <v>-186.209</v>
      </c>
      <c r="BW359" s="61"/>
      <c r="BY359" s="59"/>
      <c r="BZ359" s="59"/>
      <c r="CA359" s="59"/>
      <c r="CC359" s="59"/>
    </row>
    <row r="360" spans="1:81" x14ac:dyDescent="0.2">
      <c r="A360">
        <f t="shared" si="263"/>
        <v>730000</v>
      </c>
      <c r="B360">
        <f t="shared" si="295"/>
        <v>730</v>
      </c>
      <c r="C360">
        <f t="shared" si="264"/>
        <v>1.0153924684973625</v>
      </c>
      <c r="D360">
        <f t="shared" si="265"/>
        <v>0.17434212055044679</v>
      </c>
      <c r="F360">
        <f t="shared" si="266"/>
        <v>1.6494105316842934E-4</v>
      </c>
      <c r="G360">
        <f t="shared" si="267"/>
        <v>4.8388953303127053E-3</v>
      </c>
      <c r="H360">
        <f t="shared" si="268"/>
        <v>-3.1367537546696873</v>
      </c>
      <c r="J360">
        <f t="shared" si="269"/>
        <v>15</v>
      </c>
      <c r="M360">
        <f t="shared" si="270"/>
        <v>3.0914365356193982E-4</v>
      </c>
      <c r="N360">
        <f t="shared" si="271"/>
        <v>-1.5707963250000001</v>
      </c>
      <c r="O360">
        <f t="shared" si="272"/>
        <v>685.11988323020228</v>
      </c>
      <c r="P360">
        <f t="shared" si="273"/>
        <v>1.5693367277093222</v>
      </c>
      <c r="Q360">
        <f t="shared" si="274"/>
        <v>101.95679874501909</v>
      </c>
      <c r="R360">
        <f t="shared" si="275"/>
        <v>1.5609880938368066</v>
      </c>
      <c r="S360">
        <f t="shared" si="276"/>
        <v>0.32815111420846721</v>
      </c>
      <c r="T360">
        <f t="shared" si="277"/>
        <v>-1.2364506878450332</v>
      </c>
      <c r="U360">
        <f t="shared" si="278"/>
        <v>0.30279209079611946</v>
      </c>
      <c r="V360">
        <f t="shared" si="279"/>
        <v>-1.2631754138420557</v>
      </c>
      <c r="X360">
        <f t="shared" si="296"/>
        <v>-45.367690641576672</v>
      </c>
      <c r="Y360">
        <f t="shared" si="280"/>
        <v>-223.59730917591628</v>
      </c>
      <c r="Z360">
        <f t="shared" si="297"/>
        <v>-43.59730917591628</v>
      </c>
      <c r="AC360">
        <v>1</v>
      </c>
      <c r="AD360">
        <f t="shared" si="281"/>
        <v>685.11915343052999</v>
      </c>
      <c r="AE360">
        <f t="shared" si="282"/>
        <v>-0.56564159999682595</v>
      </c>
      <c r="AF360">
        <f t="shared" si="283"/>
        <v>0.17970789603942</v>
      </c>
      <c r="AG360">
        <f t="shared" ref="AG360:AG423" si="315">AC360*AE360/(AE360^2+AF360^2)+AD360*AF360/(AE360^2+AF360^2)</f>
        <v>347.92703680308489</v>
      </c>
      <c r="AH360">
        <f t="shared" ref="AH360:AH423" si="316">AD360*AE360/(AE360^2+AF360^2)-AC360*AF360/(AE360^2+AF360^2)</f>
        <v>-1100.6862254737123</v>
      </c>
      <c r="AJ360">
        <f t="shared" si="284"/>
        <v>18000</v>
      </c>
      <c r="AK360">
        <f t="shared" si="285"/>
        <v>51815.3180188392</v>
      </c>
      <c r="AL360">
        <v>1</v>
      </c>
      <c r="AM360">
        <f t="shared" si="286"/>
        <v>101.95189458922442</v>
      </c>
      <c r="AN360">
        <f t="shared" ref="AN360:AN423" si="317">AJ360*AL360/(AL360^2+AM360^2)+AK360*AM360/(AL360^2+AM360^2)</f>
        <v>509.91568671607183</v>
      </c>
      <c r="AO360">
        <f t="shared" ref="AO360:AO423" si="318">AK360*AL360/(AL360^2+AM360^2)-AJ360*AM360/(AL360^2+AM360^2)</f>
        <v>-171.55232262974056</v>
      </c>
      <c r="AQ360">
        <f t="shared" si="287"/>
        <v>4.691309489909228E-3</v>
      </c>
      <c r="AR360">
        <f t="shared" si="288"/>
        <v>-6.849311855267473</v>
      </c>
      <c r="AT360">
        <f t="shared" si="313"/>
        <v>-7537.3109796571543</v>
      </c>
      <c r="AU360">
        <f t="shared" si="314"/>
        <v>-2388.2244376784288</v>
      </c>
      <c r="AV360">
        <f t="shared" si="302"/>
        <v>-2.8347464083227849</v>
      </c>
      <c r="AW360">
        <f t="shared" si="303"/>
        <v>-318.18815898131982</v>
      </c>
      <c r="AX360">
        <f t="shared" si="304"/>
        <v>-4951.0359470691164</v>
      </c>
      <c r="AY360">
        <f t="shared" si="312"/>
        <v>-1.6349750521572728</v>
      </c>
      <c r="BA360">
        <f t="shared" si="289"/>
        <v>1.5936754304476084</v>
      </c>
      <c r="BB360">
        <f t="shared" si="305"/>
        <v>4.047997544231662</v>
      </c>
      <c r="BC360">
        <f t="shared" si="306"/>
        <v>-1.1997713561655121</v>
      </c>
      <c r="BD360">
        <f t="shared" si="290"/>
        <v>-248.74183516751992</v>
      </c>
      <c r="BF360">
        <f t="shared" si="291"/>
        <v>-47.950923254000116</v>
      </c>
      <c r="BG360">
        <f t="shared" si="292"/>
        <v>-238.47551917695483</v>
      </c>
      <c r="BH360">
        <f t="shared" si="307"/>
        <v>-58.475519176954833</v>
      </c>
      <c r="BI360">
        <f t="shared" si="308"/>
        <v>-58.475519176954833</v>
      </c>
      <c r="BJ360">
        <f t="shared" si="293"/>
        <v>0</v>
      </c>
      <c r="BK360">
        <f t="shared" si="309"/>
        <v>0</v>
      </c>
      <c r="BM360">
        <f t="shared" si="310"/>
        <v>-51.998920798231779</v>
      </c>
      <c r="BN360">
        <f t="shared" si="294"/>
        <v>-169.73368400943491</v>
      </c>
      <c r="BQ360" s="56">
        <f t="shared" si="311"/>
        <v>20.949958344516801</v>
      </c>
      <c r="BR360" s="59"/>
      <c r="BS360" s="59"/>
      <c r="BT360" s="59">
        <v>316227.766</v>
      </c>
      <c r="BU360" s="59">
        <v>15.331799999999999</v>
      </c>
      <c r="BV360" s="59">
        <v>-189.75</v>
      </c>
      <c r="BW360" s="61"/>
      <c r="BY360" s="59"/>
      <c r="BZ360" s="59"/>
      <c r="CA360" s="59"/>
      <c r="CC360" s="59"/>
    </row>
    <row r="361" spans="1:81" x14ac:dyDescent="0.2">
      <c r="A361">
        <f t="shared" si="263"/>
        <v>735000</v>
      </c>
      <c r="B361">
        <f t="shared" si="295"/>
        <v>735</v>
      </c>
      <c r="C361">
        <f t="shared" si="264"/>
        <v>1.0156024209647478</v>
      </c>
      <c r="D361">
        <f t="shared" si="265"/>
        <v>0.17551195264027861</v>
      </c>
      <c r="F361">
        <f t="shared" si="266"/>
        <v>1.6270424861155691E-4</v>
      </c>
      <c r="G361">
        <f t="shared" si="267"/>
        <v>4.8059673311612967E-3</v>
      </c>
      <c r="H361">
        <f t="shared" si="268"/>
        <v>-3.1367866826688391</v>
      </c>
      <c r="J361">
        <f t="shared" si="269"/>
        <v>15</v>
      </c>
      <c r="M361">
        <f t="shared" si="270"/>
        <v>3.0704063551049808E-4</v>
      </c>
      <c r="N361">
        <f t="shared" si="271"/>
        <v>-1.5707963250000001</v>
      </c>
      <c r="O361">
        <f t="shared" si="272"/>
        <v>689.81247520688896</v>
      </c>
      <c r="P361">
        <f t="shared" si="273"/>
        <v>1.5693466569408434</v>
      </c>
      <c r="Q361">
        <f t="shared" si="274"/>
        <v>102.65506603287481</v>
      </c>
      <c r="R361">
        <f t="shared" si="275"/>
        <v>1.5610548122744243</v>
      </c>
      <c r="S361">
        <f t="shared" si="276"/>
        <v>0.32615699056102532</v>
      </c>
      <c r="T361">
        <f t="shared" si="277"/>
        <v>-1.2385609368486805</v>
      </c>
      <c r="U361">
        <f t="shared" si="278"/>
        <v>0.30091938212740005</v>
      </c>
      <c r="V361">
        <f t="shared" si="279"/>
        <v>-1.2651397521859702</v>
      </c>
      <c r="X361">
        <f t="shared" si="296"/>
        <v>-45.532039599226124</v>
      </c>
      <c r="Y361">
        <f t="shared" si="280"/>
        <v>-223.76123444031793</v>
      </c>
      <c r="Z361">
        <f t="shared" si="297"/>
        <v>-43.761234440317935</v>
      </c>
      <c r="AC361">
        <v>1</v>
      </c>
      <c r="AD361">
        <f t="shared" si="281"/>
        <v>689.81175037183493</v>
      </c>
      <c r="AE361">
        <f t="shared" si="282"/>
        <v>-0.5734166510757841</v>
      </c>
      <c r="AF361">
        <f t="shared" si="283"/>
        <v>0.18093877203969</v>
      </c>
      <c r="AG361">
        <f t="shared" si="315"/>
        <v>343.63662701458287</v>
      </c>
      <c r="AH361">
        <f t="shared" si="316"/>
        <v>-1094.5523815439494</v>
      </c>
      <c r="AJ361">
        <f t="shared" si="284"/>
        <v>18000</v>
      </c>
      <c r="AK361">
        <f t="shared" si="285"/>
        <v>52170.217457324397</v>
      </c>
      <c r="AL361">
        <v>1</v>
      </c>
      <c r="AM361">
        <f t="shared" si="286"/>
        <v>102.6501952370958</v>
      </c>
      <c r="AN361">
        <f t="shared" si="317"/>
        <v>509.89287315726381</v>
      </c>
      <c r="AO361">
        <f t="shared" si="318"/>
        <v>-170.38552227246177</v>
      </c>
      <c r="AQ361">
        <f t="shared" si="287"/>
        <v>4.627699279143283E-3</v>
      </c>
      <c r="AR361">
        <f t="shared" si="288"/>
        <v>-6.8027179403406262</v>
      </c>
      <c r="AT361">
        <f t="shared" si="313"/>
        <v>-7444.3408756004601</v>
      </c>
      <c r="AU361">
        <f t="shared" si="314"/>
        <v>-2342.7283068172983</v>
      </c>
      <c r="AV361">
        <f t="shared" si="302"/>
        <v>-2.8367054768310127</v>
      </c>
      <c r="AW361">
        <f t="shared" si="303"/>
        <v>-306.56325781209193</v>
      </c>
      <c r="AX361">
        <f t="shared" si="304"/>
        <v>-4918.5238765907889</v>
      </c>
      <c r="AY361">
        <f t="shared" si="312"/>
        <v>-1.6330441083384699</v>
      </c>
      <c r="BA361">
        <f t="shared" si="289"/>
        <v>1.583636142216488</v>
      </c>
      <c r="BB361">
        <f t="shared" si="305"/>
        <v>3.9931080958300336</v>
      </c>
      <c r="BC361">
        <f t="shared" si="306"/>
        <v>-1.2036613684925428</v>
      </c>
      <c r="BD361">
        <f t="shared" si="290"/>
        <v>-248.96471645636734</v>
      </c>
      <c r="BF361">
        <f t="shared" si="291"/>
        <v>-48.122614301991987</v>
      </c>
      <c r="BG361">
        <f t="shared" si="292"/>
        <v>-238.63326065962067</v>
      </c>
      <c r="BH361">
        <f t="shared" si="307"/>
        <v>-58.633260659620674</v>
      </c>
      <c r="BI361">
        <f t="shared" si="308"/>
        <v>-58.633260659620674</v>
      </c>
      <c r="BJ361">
        <f t="shared" si="293"/>
        <v>0</v>
      </c>
      <c r="BK361">
        <f t="shared" si="309"/>
        <v>0</v>
      </c>
      <c r="BM361">
        <f t="shared" si="310"/>
        <v>-52.115722397822012</v>
      </c>
      <c r="BN361">
        <f t="shared" si="294"/>
        <v>-169.66854420325336</v>
      </c>
      <c r="BQ361" s="56">
        <f t="shared" si="311"/>
        <v>20.89506889611517</v>
      </c>
      <c r="BR361" s="59"/>
      <c r="BS361" s="59"/>
      <c r="BT361" s="59">
        <v>323593.65700000001</v>
      </c>
      <c r="BU361" s="59">
        <v>15.3347</v>
      </c>
      <c r="BV361" s="59">
        <v>-192.398</v>
      </c>
      <c r="BW361" s="61"/>
      <c r="BY361" s="59"/>
      <c r="BZ361" s="59"/>
      <c r="CA361" s="59"/>
      <c r="CC361" s="59"/>
    </row>
    <row r="362" spans="1:81" x14ac:dyDescent="0.2">
      <c r="A362">
        <f t="shared" si="263"/>
        <v>740000</v>
      </c>
      <c r="B362">
        <f t="shared" si="295"/>
        <v>740</v>
      </c>
      <c r="C362">
        <f t="shared" si="264"/>
        <v>1.0158137627156434</v>
      </c>
      <c r="D362">
        <f t="shared" si="265"/>
        <v>0.17668129955877432</v>
      </c>
      <c r="F362">
        <f t="shared" si="266"/>
        <v>1.6051264044441205E-4</v>
      </c>
      <c r="G362">
        <f t="shared" si="267"/>
        <v>4.7734845125635798E-3</v>
      </c>
      <c r="H362">
        <f t="shared" si="268"/>
        <v>-3.1368191654874367</v>
      </c>
      <c r="J362">
        <f t="shared" si="269"/>
        <v>15</v>
      </c>
      <c r="M362">
        <f t="shared" si="270"/>
        <v>3.0496603662191361E-4</v>
      </c>
      <c r="N362">
        <f t="shared" si="271"/>
        <v>-1.5707963250000001</v>
      </c>
      <c r="O362">
        <f t="shared" si="272"/>
        <v>694.50506725066487</v>
      </c>
      <c r="P362">
        <f t="shared" si="273"/>
        <v>1.5693564519938406</v>
      </c>
      <c r="Q362">
        <f t="shared" si="274"/>
        <v>103.35333377150968</v>
      </c>
      <c r="R362">
        <f t="shared" si="275"/>
        <v>1.5611206291965147</v>
      </c>
      <c r="S362">
        <f t="shared" si="276"/>
        <v>0.32418553889857138</v>
      </c>
      <c r="T362">
        <f t="shared" si="277"/>
        <v>-1.2406456842977638</v>
      </c>
      <c r="U362">
        <f t="shared" si="278"/>
        <v>0.29906856293135836</v>
      </c>
      <c r="V362">
        <f t="shared" si="279"/>
        <v>-1.26707993442404</v>
      </c>
      <c r="X362">
        <f t="shared" si="296"/>
        <v>-45.69539246252716</v>
      </c>
      <c r="Y362">
        <f t="shared" si="280"/>
        <v>-223.92237616255559</v>
      </c>
      <c r="Z362">
        <f t="shared" si="297"/>
        <v>-43.922376162555594</v>
      </c>
      <c r="AC362">
        <v>1</v>
      </c>
      <c r="AD362">
        <f t="shared" si="281"/>
        <v>694.50434731313999</v>
      </c>
      <c r="AE362">
        <f t="shared" si="282"/>
        <v>-0.58124477417575893</v>
      </c>
      <c r="AF362">
        <f t="shared" si="283"/>
        <v>0.18216964803996</v>
      </c>
      <c r="AG362">
        <f t="shared" si="315"/>
        <v>339.42251918009919</v>
      </c>
      <c r="AH362">
        <f t="shared" si="316"/>
        <v>-1088.4775133753808</v>
      </c>
      <c r="AJ362">
        <f t="shared" si="284"/>
        <v>18000</v>
      </c>
      <c r="AK362">
        <f t="shared" si="285"/>
        <v>52525.116895809602</v>
      </c>
      <c r="AL362">
        <v>1</v>
      </c>
      <c r="AM362">
        <f t="shared" si="286"/>
        <v>103.34849588496721</v>
      </c>
      <c r="AN362">
        <f t="shared" si="317"/>
        <v>509.8705204136707</v>
      </c>
      <c r="AO362">
        <f t="shared" si="318"/>
        <v>-169.2344850287308</v>
      </c>
      <c r="AQ362">
        <f t="shared" si="287"/>
        <v>4.5653741027327872E-3</v>
      </c>
      <c r="AR362">
        <f t="shared" si="288"/>
        <v>-6.7567536720445256</v>
      </c>
      <c r="AT362">
        <f t="shared" si="313"/>
        <v>-7353.024844658049</v>
      </c>
      <c r="AU362">
        <f t="shared" si="314"/>
        <v>-2298.3636598957096</v>
      </c>
      <c r="AV362">
        <f t="shared" si="302"/>
        <v>-2.8386404604471407</v>
      </c>
      <c r="AW362">
        <f t="shared" si="303"/>
        <v>-295.18337627102278</v>
      </c>
      <c r="AX362">
        <f t="shared" si="304"/>
        <v>-4886.4309159344994</v>
      </c>
      <c r="AY362">
        <f t="shared" si="312"/>
        <v>-1.6311317950072992</v>
      </c>
      <c r="BA362">
        <f t="shared" si="289"/>
        <v>1.5737132798577134</v>
      </c>
      <c r="BB362">
        <f t="shared" si="305"/>
        <v>3.9385121930097649</v>
      </c>
      <c r="BC362">
        <f t="shared" si="306"/>
        <v>-1.2075086654398415</v>
      </c>
      <c r="BD362">
        <f t="shared" si="290"/>
        <v>-249.18515033423301</v>
      </c>
      <c r="BF362">
        <f t="shared" si="291"/>
        <v>-48.293195995204741</v>
      </c>
      <c r="BG362">
        <f t="shared" si="292"/>
        <v>-238.78855702260785</v>
      </c>
      <c r="BH362">
        <f t="shared" si="307"/>
        <v>-58.788557022607847</v>
      </c>
      <c r="BI362">
        <f t="shared" si="308"/>
        <v>-58.788557022607847</v>
      </c>
      <c r="BJ362">
        <f t="shared" si="293"/>
        <v>0</v>
      </c>
      <c r="BK362">
        <f t="shared" si="309"/>
        <v>0</v>
      </c>
      <c r="BM362">
        <f t="shared" si="310"/>
        <v>-52.231708188214505</v>
      </c>
      <c r="BN362">
        <f t="shared" si="294"/>
        <v>-169.60340668837483</v>
      </c>
      <c r="BQ362" s="56">
        <f t="shared" si="311"/>
        <v>20.840472993294902</v>
      </c>
      <c r="BR362" s="59"/>
      <c r="BS362" s="59"/>
      <c r="BT362" s="59">
        <v>331131.12099999998</v>
      </c>
      <c r="BU362" s="59">
        <v>15.331</v>
      </c>
      <c r="BV362" s="59">
        <v>-194.60300000000001</v>
      </c>
      <c r="BW362" s="61"/>
      <c r="BY362" s="59"/>
      <c r="BZ362" s="59"/>
      <c r="CA362" s="59"/>
      <c r="CC362" s="59"/>
    </row>
    <row r="363" spans="1:81" x14ac:dyDescent="0.2">
      <c r="A363">
        <f t="shared" si="263"/>
        <v>745000</v>
      </c>
      <c r="B363">
        <f t="shared" si="295"/>
        <v>745</v>
      </c>
      <c r="C363">
        <f t="shared" si="264"/>
        <v>1.0160264928831018</v>
      </c>
      <c r="D363">
        <f t="shared" si="265"/>
        <v>0.17785015841183047</v>
      </c>
      <c r="F363">
        <f t="shared" si="266"/>
        <v>1.583650191202593E-4</v>
      </c>
      <c r="G363">
        <f t="shared" si="267"/>
        <v>4.7414379056344366E-3</v>
      </c>
      <c r="H363">
        <f t="shared" si="268"/>
        <v>-3.1368512120943657</v>
      </c>
      <c r="J363">
        <f t="shared" si="269"/>
        <v>15</v>
      </c>
      <c r="M363">
        <f t="shared" si="270"/>
        <v>3.0291928469827664E-4</v>
      </c>
      <c r="N363">
        <f t="shared" si="271"/>
        <v>-1.5707963250000001</v>
      </c>
      <c r="O363">
        <f t="shared" si="272"/>
        <v>699.19765936017939</v>
      </c>
      <c r="P363">
        <f t="shared" si="273"/>
        <v>1.5693661155698868</v>
      </c>
      <c r="Q363">
        <f t="shared" si="274"/>
        <v>104.05160195184847</v>
      </c>
      <c r="R363">
        <f t="shared" si="275"/>
        <v>1.5611855627521392</v>
      </c>
      <c r="S363">
        <f t="shared" si="276"/>
        <v>0.32223640152274313</v>
      </c>
      <c r="T363">
        <f t="shared" si="277"/>
        <v>-1.2427053718834642</v>
      </c>
      <c r="U363">
        <f t="shared" si="278"/>
        <v>0.297239273205052</v>
      </c>
      <c r="V363">
        <f t="shared" si="279"/>
        <v>-1.2689963890753044</v>
      </c>
      <c r="X363">
        <f t="shared" si="296"/>
        <v>-45.857760040186903</v>
      </c>
      <c r="Y363">
        <f t="shared" si="280"/>
        <v>-224.08078368704804</v>
      </c>
      <c r="Z363">
        <f t="shared" si="297"/>
        <v>-44.08078368704804</v>
      </c>
      <c r="AC363">
        <v>1</v>
      </c>
      <c r="AD363">
        <f t="shared" si="281"/>
        <v>699.19694425444504</v>
      </c>
      <c r="AE363">
        <f t="shared" si="282"/>
        <v>-0.58912596929675054</v>
      </c>
      <c r="AF363">
        <f t="shared" si="283"/>
        <v>0.18340052404023</v>
      </c>
      <c r="AG363">
        <f t="shared" si="315"/>
        <v>335.28297867506376</v>
      </c>
      <c r="AH363">
        <f t="shared" si="316"/>
        <v>-1082.4609735417184</v>
      </c>
      <c r="AJ363">
        <f t="shared" si="284"/>
        <v>18000</v>
      </c>
      <c r="AK363">
        <f t="shared" si="285"/>
        <v>52880.0163342948</v>
      </c>
      <c r="AL363">
        <v>1</v>
      </c>
      <c r="AM363">
        <f t="shared" si="286"/>
        <v>104.0467965328386</v>
      </c>
      <c r="AN363">
        <f t="shared" si="317"/>
        <v>509.84861615793216</v>
      </c>
      <c r="AO363">
        <f t="shared" si="318"/>
        <v>-168.09889363890156</v>
      </c>
      <c r="AQ363">
        <f t="shared" si="287"/>
        <v>4.50429957916329E-3</v>
      </c>
      <c r="AR363">
        <f t="shared" si="288"/>
        <v>-6.7114063729533022</v>
      </c>
      <c r="AT363">
        <f t="shared" si="313"/>
        <v>-7263.3252613213781</v>
      </c>
      <c r="AU363">
        <f t="shared" si="314"/>
        <v>-2255.0960483301733</v>
      </c>
      <c r="AV363">
        <f t="shared" si="302"/>
        <v>-2.8405517862563805</v>
      </c>
      <c r="AW363">
        <f t="shared" si="303"/>
        <v>-284.04165783180923</v>
      </c>
      <c r="AX363">
        <f t="shared" si="304"/>
        <v>-4854.7490704898973</v>
      </c>
      <c r="AY363">
        <f t="shared" si="312"/>
        <v>-1.6292377021644586</v>
      </c>
      <c r="BA363">
        <f t="shared" si="289"/>
        <v>1.5639049877400704</v>
      </c>
      <c r="BB363">
        <f t="shared" si="305"/>
        <v>3.8842072947628452</v>
      </c>
      <c r="BC363">
        <f t="shared" si="306"/>
        <v>-1.2113140840919219</v>
      </c>
      <c r="BD363">
        <f t="shared" si="290"/>
        <v>-249.40318476252673</v>
      </c>
      <c r="BF363">
        <f t="shared" si="291"/>
        <v>-48.462681726674965</v>
      </c>
      <c r="BG363">
        <f t="shared" si="292"/>
        <v>-238.94145690702524</v>
      </c>
      <c r="BH363">
        <f t="shared" si="307"/>
        <v>-58.941456907025241</v>
      </c>
      <c r="BI363">
        <f t="shared" si="308"/>
        <v>-58.941456907025241</v>
      </c>
      <c r="BJ363">
        <f t="shared" si="293"/>
        <v>0</v>
      </c>
      <c r="BK363">
        <f t="shared" si="309"/>
        <v>0</v>
      </c>
      <c r="BM363">
        <f t="shared" si="310"/>
        <v>-52.346889021437811</v>
      </c>
      <c r="BN363">
        <f t="shared" si="294"/>
        <v>-169.53827214449851</v>
      </c>
      <c r="BQ363" s="56">
        <f t="shared" si="311"/>
        <v>20.78616809504798</v>
      </c>
      <c r="BR363" s="59"/>
      <c r="BS363" s="59"/>
      <c r="BT363" s="59">
        <v>338844.15600000002</v>
      </c>
      <c r="BU363" s="59">
        <v>15.2844</v>
      </c>
      <c r="BV363" s="59">
        <v>-197.85300000000001</v>
      </c>
      <c r="BW363" s="61"/>
      <c r="BY363" s="59"/>
      <c r="BZ363" s="59"/>
      <c r="CA363" s="59"/>
      <c r="CC363" s="59"/>
    </row>
    <row r="364" spans="1:81" x14ac:dyDescent="0.2">
      <c r="A364">
        <f t="shared" ref="A364:A427" si="319">A363+5000</f>
        <v>750000</v>
      </c>
      <c r="B364">
        <f t="shared" si="295"/>
        <v>750</v>
      </c>
      <c r="C364">
        <f t="shared" si="264"/>
        <v>1.01624061059521</v>
      </c>
      <c r="D364">
        <f t="shared" si="265"/>
        <v>0.17901852631309353</v>
      </c>
      <c r="F364">
        <f t="shared" si="266"/>
        <v>1.5626021528764551E-4</v>
      </c>
      <c r="G364">
        <f t="shared" si="267"/>
        <v>4.7098187808411766E-3</v>
      </c>
      <c r="H364">
        <f t="shared" si="268"/>
        <v>-3.1368828312191592</v>
      </c>
      <c r="J364">
        <f t="shared" si="269"/>
        <v>15</v>
      </c>
      <c r="M364">
        <f t="shared" si="270"/>
        <v>3.0089982280028811E-4</v>
      </c>
      <c r="N364">
        <f t="shared" si="271"/>
        <v>-1.5707963250000001</v>
      </c>
      <c r="O364">
        <f t="shared" si="272"/>
        <v>703.89025153411762</v>
      </c>
      <c r="P364">
        <f t="shared" si="273"/>
        <v>1.5693756502985146</v>
      </c>
      <c r="Q364">
        <f t="shared" si="274"/>
        <v>104.7498705650579</v>
      </c>
      <c r="R364">
        <f t="shared" si="275"/>
        <v>1.561249630606458</v>
      </c>
      <c r="S364">
        <f t="shared" si="276"/>
        <v>0.32030922752572288</v>
      </c>
      <c r="T364">
        <f t="shared" si="277"/>
        <v>-1.2447404315923978</v>
      </c>
      <c r="U364">
        <f t="shared" si="278"/>
        <v>0.29543116023690497</v>
      </c>
      <c r="V364">
        <f t="shared" si="279"/>
        <v>-1.2708895349387006</v>
      </c>
      <c r="X364">
        <f t="shared" si="296"/>
        <v>-46.019152979008055</v>
      </c>
      <c r="Y364">
        <f t="shared" si="280"/>
        <v>-224.23650526295773</v>
      </c>
      <c r="Z364">
        <f t="shared" si="297"/>
        <v>-44.236505262957735</v>
      </c>
      <c r="AC364">
        <v>1</v>
      </c>
      <c r="AD364">
        <f t="shared" si="281"/>
        <v>703.88954119574998</v>
      </c>
      <c r="AE364">
        <f t="shared" si="282"/>
        <v>-0.59706023643875894</v>
      </c>
      <c r="AF364">
        <f t="shared" si="283"/>
        <v>0.18463140004049999</v>
      </c>
      <c r="AG364">
        <f t="shared" si="315"/>
        <v>331.21631788964481</v>
      </c>
      <c r="AH364">
        <f t="shared" si="316"/>
        <v>-1076.5021173428147</v>
      </c>
      <c r="AJ364">
        <f t="shared" si="284"/>
        <v>18000</v>
      </c>
      <c r="AK364">
        <f t="shared" si="285"/>
        <v>53234.915772779997</v>
      </c>
      <c r="AL364">
        <v>1</v>
      </c>
      <c r="AM364">
        <f t="shared" si="286"/>
        <v>104.74509718071</v>
      </c>
      <c r="AN364">
        <f t="shared" si="317"/>
        <v>509.82714847215044</v>
      </c>
      <c r="AO364">
        <f t="shared" si="318"/>
        <v>-166.97843929967598</v>
      </c>
      <c r="AQ364">
        <f t="shared" si="287"/>
        <v>4.4444424691366807E-3</v>
      </c>
      <c r="AR364">
        <f t="shared" si="288"/>
        <v>-6.6666637037050203</v>
      </c>
      <c r="AT364">
        <f t="shared" si="313"/>
        <v>-7175.2055207812455</v>
      </c>
      <c r="AU364">
        <f t="shared" si="314"/>
        <v>-2212.8922562781527</v>
      </c>
      <c r="AV364">
        <f t="shared" si="302"/>
        <v>-2.8424398716620778</v>
      </c>
      <c r="AW364">
        <f t="shared" si="303"/>
        <v>-273.13148415559061</v>
      </c>
      <c r="AX364">
        <f t="shared" si="304"/>
        <v>-4823.4705474225339</v>
      </c>
      <c r="AY364">
        <f t="shared" si="312"/>
        <v>-1.6273614316245641</v>
      </c>
      <c r="BA364">
        <f t="shared" si="289"/>
        <v>1.5542094438668033</v>
      </c>
      <c r="BB364">
        <f t="shared" si="305"/>
        <v>3.8301908708484964</v>
      </c>
      <c r="BC364">
        <f t="shared" si="306"/>
        <v>-1.2150784400375136</v>
      </c>
      <c r="BD364">
        <f t="shared" si="290"/>
        <v>-249.61886647104055</v>
      </c>
      <c r="BF364">
        <f t="shared" si="291"/>
        <v>-48.631084661145785</v>
      </c>
      <c r="BG364">
        <f t="shared" si="292"/>
        <v>-239.0920077082063</v>
      </c>
      <c r="BH364">
        <f t="shared" si="307"/>
        <v>-59.092007708206296</v>
      </c>
      <c r="BI364">
        <f t="shared" si="308"/>
        <v>-59.092007708206296</v>
      </c>
      <c r="BJ364">
        <f t="shared" si="293"/>
        <v>0</v>
      </c>
      <c r="BK364">
        <f t="shared" si="309"/>
        <v>0</v>
      </c>
      <c r="BM364">
        <f t="shared" si="310"/>
        <v>-52.461275531994282</v>
      </c>
      <c r="BN364">
        <f t="shared" si="294"/>
        <v>-169.47314123716575</v>
      </c>
      <c r="BQ364" s="56">
        <f t="shared" si="311"/>
        <v>20.732151671133636</v>
      </c>
      <c r="BR364" s="59"/>
      <c r="BS364" s="59"/>
      <c r="BT364" s="59">
        <v>346736.85</v>
      </c>
      <c r="BU364" s="59">
        <v>15.295400000000001</v>
      </c>
      <c r="BV364" s="59">
        <v>-200.482</v>
      </c>
      <c r="BW364" s="61"/>
      <c r="BY364" s="59"/>
      <c r="BZ364" s="59"/>
      <c r="CA364" s="59"/>
      <c r="CC364" s="59"/>
    </row>
    <row r="365" spans="1:81" x14ac:dyDescent="0.2">
      <c r="A365">
        <f t="shared" si="319"/>
        <v>755000</v>
      </c>
      <c r="B365">
        <f t="shared" si="295"/>
        <v>755</v>
      </c>
      <c r="C365">
        <f t="shared" si="264"/>
        <v>1.0164561149751032</v>
      </c>
      <c r="D365">
        <f t="shared" si="265"/>
        <v>0.18018640038399555</v>
      </c>
      <c r="F365">
        <f t="shared" si="266"/>
        <v>1.5419709819800367E-4</v>
      </c>
      <c r="G365">
        <f t="shared" si="267"/>
        <v>4.6786186400707905E-3</v>
      </c>
      <c r="H365">
        <f t="shared" si="268"/>
        <v>-3.1369140313599293</v>
      </c>
      <c r="J365">
        <f t="shared" si="269"/>
        <v>15</v>
      </c>
      <c r="M365">
        <f t="shared" si="270"/>
        <v>2.9890710874200808E-4</v>
      </c>
      <c r="N365">
        <f t="shared" si="271"/>
        <v>-1.5707963250000001</v>
      </c>
      <c r="O365">
        <f t="shared" si="272"/>
        <v>708.5828437711998</v>
      </c>
      <c r="P365">
        <f t="shared" si="273"/>
        <v>1.5693850587395988</v>
      </c>
      <c r="Q365">
        <f t="shared" si="274"/>
        <v>105.44813960253869</v>
      </c>
      <c r="R365">
        <f t="shared" si="275"/>
        <v>1.5613128499567521</v>
      </c>
      <c r="S365">
        <f t="shared" si="276"/>
        <v>0.31840367265342795</v>
      </c>
      <c r="T365">
        <f t="shared" si="277"/>
        <v>-1.2467512859581842</v>
      </c>
      <c r="U365">
        <f t="shared" si="278"/>
        <v>0.29364387844183693</v>
      </c>
      <c r="V365">
        <f t="shared" si="279"/>
        <v>-1.2727597813560221</v>
      </c>
      <c r="X365">
        <f t="shared" si="296"/>
        <v>-46.179581766759114</v>
      </c>
      <c r="Y365">
        <f t="shared" si="280"/>
        <v>-224.38958807306923</v>
      </c>
      <c r="Z365">
        <f t="shared" si="297"/>
        <v>-44.389588073069234</v>
      </c>
      <c r="AC365">
        <v>1</v>
      </c>
      <c r="AD365">
        <f t="shared" si="281"/>
        <v>708.58213813705493</v>
      </c>
      <c r="AE365">
        <f t="shared" si="282"/>
        <v>-0.60504757560178413</v>
      </c>
      <c r="AF365">
        <f t="shared" si="283"/>
        <v>0.18586227604076999</v>
      </c>
      <c r="AG365">
        <f t="shared" si="315"/>
        <v>327.22089478341928</v>
      </c>
      <c r="AH365">
        <f t="shared" si="316"/>
        <v>-1070.6003031583773</v>
      </c>
      <c r="AJ365">
        <f t="shared" si="284"/>
        <v>18000</v>
      </c>
      <c r="AK365">
        <f t="shared" si="285"/>
        <v>53589.815211265195</v>
      </c>
      <c r="AL365">
        <v>1</v>
      </c>
      <c r="AM365">
        <f t="shared" si="286"/>
        <v>105.44339782858141</v>
      </c>
      <c r="AN365">
        <f t="shared" si="317"/>
        <v>509.80610583167737</v>
      </c>
      <c r="AO365">
        <f t="shared" si="318"/>
        <v>-165.87282138424641</v>
      </c>
      <c r="AQ365">
        <f t="shared" si="287"/>
        <v>4.3857706303361121E-3</v>
      </c>
      <c r="AR365">
        <f t="shared" si="288"/>
        <v>-6.6225136518075294</v>
      </c>
      <c r="AT365">
        <f t="shared" si="313"/>
        <v>-7088.6300075056597</v>
      </c>
      <c r="AU365">
        <f t="shared" si="314"/>
        <v>-2171.7202502262903</v>
      </c>
      <c r="AV365">
        <f t="shared" si="302"/>
        <v>-2.8443051246474034</v>
      </c>
      <c r="AW365">
        <f t="shared" si="303"/>
        <v>-262.44646525011058</v>
      </c>
      <c r="AX365">
        <f t="shared" si="304"/>
        <v>-4792.5877493154903</v>
      </c>
      <c r="AY365">
        <f t="shared" si="312"/>
        <v>-1.6255025966061245</v>
      </c>
      <c r="BA365">
        <f t="shared" si="289"/>
        <v>1.5446248593674212</v>
      </c>
      <c r="BB365">
        <f t="shared" si="305"/>
        <v>3.7764604028635231</v>
      </c>
      <c r="BC365">
        <f t="shared" si="306"/>
        <v>-1.2188025280412789</v>
      </c>
      <c r="BD365">
        <f t="shared" si="290"/>
        <v>-249.83224099643542</v>
      </c>
      <c r="BF365">
        <f t="shared" si="291"/>
        <v>-48.79841773978405</v>
      </c>
      <c r="BG365">
        <f t="shared" si="292"/>
        <v>-239.24025561464759</v>
      </c>
      <c r="BH365">
        <f t="shared" si="307"/>
        <v>-59.240255614647594</v>
      </c>
      <c r="BI365">
        <f t="shared" si="308"/>
        <v>-59.240255614647594</v>
      </c>
      <c r="BJ365">
        <f t="shared" si="293"/>
        <v>0</v>
      </c>
      <c r="BK365">
        <f t="shared" si="309"/>
        <v>0</v>
      </c>
      <c r="BM365">
        <f t="shared" si="310"/>
        <v>-52.57487814264757</v>
      </c>
      <c r="BN365">
        <f t="shared" si="294"/>
        <v>-169.40801461821221</v>
      </c>
      <c r="BQ365" s="56">
        <f t="shared" si="311"/>
        <v>20.678421203148659</v>
      </c>
      <c r="BR365" s="59"/>
      <c r="BS365" s="59"/>
      <c r="BT365" s="59">
        <v>354813.38900000002</v>
      </c>
      <c r="BU365" s="59">
        <v>15.3028</v>
      </c>
      <c r="BV365" s="59">
        <v>-203.33199999999999</v>
      </c>
      <c r="BW365" s="61"/>
      <c r="BY365" s="59"/>
      <c r="BZ365" s="59"/>
      <c r="CA365" s="59"/>
      <c r="CC365" s="59"/>
    </row>
    <row r="366" spans="1:81" x14ac:dyDescent="0.2">
      <c r="A366">
        <f t="shared" si="319"/>
        <v>760000</v>
      </c>
      <c r="B366">
        <f t="shared" si="295"/>
        <v>760</v>
      </c>
      <c r="C366">
        <f t="shared" si="264"/>
        <v>1.0166730051409856</v>
      </c>
      <c r="D366">
        <f t="shared" si="265"/>
        <v>0.18135377775378986</v>
      </c>
      <c r="F366">
        <f t="shared" si="266"/>
        <v>1.52174574186377E-4</v>
      </c>
      <c r="G366">
        <f t="shared" si="267"/>
        <v>4.6478292090106673E-3</v>
      </c>
      <c r="H366">
        <f t="shared" si="268"/>
        <v>-3.1369448207909896</v>
      </c>
      <c r="J366">
        <f t="shared" si="269"/>
        <v>15</v>
      </c>
      <c r="M366">
        <f t="shared" si="270"/>
        <v>2.9694061460554749E-4</v>
      </c>
      <c r="N366">
        <f t="shared" si="271"/>
        <v>-1.5707963250000001</v>
      </c>
      <c r="O366">
        <f t="shared" si="272"/>
        <v>713.27543607017935</v>
      </c>
      <c r="P366">
        <f t="shared" si="273"/>
        <v>1.5693943433856508</v>
      </c>
      <c r="Q366">
        <f t="shared" si="274"/>
        <v>106.14640905591779</v>
      </c>
      <c r="R366">
        <f t="shared" si="275"/>
        <v>1.5613752375478096</v>
      </c>
      <c r="S366">
        <f t="shared" si="276"/>
        <v>0.31651939917096178</v>
      </c>
      <c r="T366">
        <f t="shared" si="277"/>
        <v>-1.2487383483057333</v>
      </c>
      <c r="U366">
        <f t="shared" si="278"/>
        <v>0.29187708920004968</v>
      </c>
      <c r="V366">
        <f t="shared" si="279"/>
        <v>-1.2746075284668084</v>
      </c>
      <c r="X366">
        <f t="shared" si="296"/>
        <v>-46.339056734992099</v>
      </c>
      <c r="Y366">
        <f t="shared" si="280"/>
        <v>-224.54007826181109</v>
      </c>
      <c r="Z366">
        <f t="shared" si="297"/>
        <v>-44.54007826181109</v>
      </c>
      <c r="AC366">
        <v>1</v>
      </c>
      <c r="AD366">
        <f t="shared" si="281"/>
        <v>713.27473507835998</v>
      </c>
      <c r="AE366">
        <f t="shared" si="282"/>
        <v>-0.6130879867858261</v>
      </c>
      <c r="AF366">
        <f t="shared" si="283"/>
        <v>0.18709315204104002</v>
      </c>
      <c r="AG366">
        <f t="shared" si="315"/>
        <v>323.29511148823792</v>
      </c>
      <c r="AH366">
        <f t="shared" si="316"/>
        <v>-1064.7548927730152</v>
      </c>
      <c r="AJ366">
        <f t="shared" si="284"/>
        <v>18000</v>
      </c>
      <c r="AK366">
        <f t="shared" si="285"/>
        <v>53944.7146497504</v>
      </c>
      <c r="AL366">
        <v>1</v>
      </c>
      <c r="AM366">
        <f t="shared" si="286"/>
        <v>106.14169847645282</v>
      </c>
      <c r="AN366">
        <f t="shared" si="317"/>
        <v>509.78547708964624</v>
      </c>
      <c r="AO366">
        <f t="shared" si="318"/>
        <v>-164.78174717347773</v>
      </c>
      <c r="AQ366">
        <f t="shared" si="287"/>
        <v>4.3282529742672375E-3</v>
      </c>
      <c r="AR366">
        <f t="shared" si="288"/>
        <v>-6.5789445208862007</v>
      </c>
      <c r="AT366">
        <f t="shared" si="313"/>
        <v>-7003.5640648679373</v>
      </c>
      <c r="AU366">
        <f t="shared" si="314"/>
        <v>-2131.5491308863466</v>
      </c>
      <c r="AV366">
        <f t="shared" si="302"/>
        <v>-2.8461479440290263</v>
      </c>
      <c r="AW366">
        <f t="shared" si="303"/>
        <v>-251.98043009832494</v>
      </c>
      <c r="AX366">
        <f t="shared" si="304"/>
        <v>-4762.0932680527167</v>
      </c>
      <c r="AY366">
        <f t="shared" si="312"/>
        <v>-1.6236608213378738</v>
      </c>
      <c r="BA366">
        <f t="shared" si="289"/>
        <v>1.5351494779832324</v>
      </c>
      <c r="BB366">
        <f t="shared" si="305"/>
        <v>3.7230133852239033</v>
      </c>
      <c r="BC366">
        <f t="shared" si="306"/>
        <v>-1.2224871226911525</v>
      </c>
      <c r="BD366">
        <f t="shared" si="290"/>
        <v>-250.04335271933087</v>
      </c>
      <c r="BF366">
        <f t="shared" si="291"/>
        <v>-48.964693684795066</v>
      </c>
      <c r="BG366">
        <f t="shared" si="292"/>
        <v>-239.38624564553373</v>
      </c>
      <c r="BH366">
        <f t="shared" si="307"/>
        <v>-59.386245645533734</v>
      </c>
      <c r="BI366">
        <f t="shared" si="308"/>
        <v>-59.386245645533734</v>
      </c>
      <c r="BJ366">
        <f t="shared" si="293"/>
        <v>0</v>
      </c>
      <c r="BK366">
        <f t="shared" si="309"/>
        <v>0</v>
      </c>
      <c r="BM366">
        <f t="shared" si="310"/>
        <v>-52.687707070018959</v>
      </c>
      <c r="BN366">
        <f t="shared" si="294"/>
        <v>-169.34289292620286</v>
      </c>
      <c r="BQ366" s="56">
        <f t="shared" si="311"/>
        <v>20.624974185509043</v>
      </c>
      <c r="BR366" s="59"/>
      <c r="BS366" s="59"/>
      <c r="BT366" s="59">
        <v>363078.05499999999</v>
      </c>
      <c r="BU366" s="59">
        <v>15.049200000000001</v>
      </c>
      <c r="BV366" s="59">
        <v>-205.19499999999999</v>
      </c>
      <c r="BW366" s="61"/>
      <c r="BY366" s="59"/>
      <c r="BZ366" s="59"/>
      <c r="CA366" s="59"/>
      <c r="CC366" s="59"/>
    </row>
    <row r="367" spans="1:81" x14ac:dyDescent="0.2">
      <c r="A367">
        <f t="shared" si="319"/>
        <v>765000</v>
      </c>
      <c r="B367">
        <f t="shared" si="295"/>
        <v>765</v>
      </c>
      <c r="C367">
        <f t="shared" si="264"/>
        <v>1.0168912802061443</v>
      </c>
      <c r="D367">
        <f t="shared" si="265"/>
        <v>0.18252065555958616</v>
      </c>
      <c r="F367">
        <f t="shared" si="266"/>
        <v>1.5019158522144995E-4</v>
      </c>
      <c r="G367">
        <f t="shared" si="267"/>
        <v>4.6174424298284092E-3</v>
      </c>
      <c r="H367">
        <f t="shared" si="268"/>
        <v>-3.1369752075701718</v>
      </c>
      <c r="J367">
        <f t="shared" si="269"/>
        <v>15</v>
      </c>
      <c r="M367">
        <f t="shared" si="270"/>
        <v>2.9499982627479229E-4</v>
      </c>
      <c r="N367">
        <f t="shared" si="271"/>
        <v>-1.5707963250000001</v>
      </c>
      <c r="O367">
        <f t="shared" si="272"/>
        <v>717.96802842984312</v>
      </c>
      <c r="P367">
        <f t="shared" si="273"/>
        <v>1.5694035066640175</v>
      </c>
      <c r="Q367">
        <f t="shared" si="274"/>
        <v>106.84467891704105</v>
      </c>
      <c r="R367">
        <f t="shared" si="275"/>
        <v>1.5614368096867111</v>
      </c>
      <c r="S367">
        <f t="shared" si="276"/>
        <v>0.31465607573034399</v>
      </c>
      <c r="T367">
        <f t="shared" si="277"/>
        <v>-1.2507020229884789</v>
      </c>
      <c r="U367">
        <f t="shared" si="278"/>
        <v>0.29013046069941756</v>
      </c>
      <c r="V367">
        <f t="shared" si="279"/>
        <v>-1.2764331674554259</v>
      </c>
      <c r="X367">
        <f t="shared" si="296"/>
        <v>-46.497588061808806</v>
      </c>
      <c r="Y367">
        <f t="shared" si="280"/>
        <v>-224.68802096244943</v>
      </c>
      <c r="Z367">
        <f t="shared" si="297"/>
        <v>-44.688020962449428</v>
      </c>
      <c r="AC367">
        <v>1</v>
      </c>
      <c r="AD367">
        <f t="shared" si="281"/>
        <v>717.96733201966492</v>
      </c>
      <c r="AE367">
        <f t="shared" si="282"/>
        <v>-0.62118146999088486</v>
      </c>
      <c r="AF367">
        <f t="shared" si="283"/>
        <v>0.18832402804130999</v>
      </c>
      <c r="AG367">
        <f t="shared" si="315"/>
        <v>319.43741295763294</v>
      </c>
      <c r="AH367">
        <f t="shared" si="316"/>
        <v>-1058.9652516744275</v>
      </c>
      <c r="AJ367">
        <f t="shared" si="284"/>
        <v>18000</v>
      </c>
      <c r="AK367">
        <f t="shared" si="285"/>
        <v>54299.614088235605</v>
      </c>
      <c r="AL367">
        <v>1</v>
      </c>
      <c r="AM367">
        <f t="shared" si="286"/>
        <v>106.83999912432421</v>
      </c>
      <c r="AN367">
        <f t="shared" si="317"/>
        <v>509.76525146220814</v>
      </c>
      <c r="AO367">
        <f t="shared" si="318"/>
        <v>-163.70493159762484</v>
      </c>
      <c r="AQ367">
        <f t="shared" si="287"/>
        <v>4.2718594250675274E-3</v>
      </c>
      <c r="AR367">
        <f t="shared" si="288"/>
        <v>-6.5359449203533169</v>
      </c>
      <c r="AT367">
        <f t="shared" si="313"/>
        <v>-6919.9739657888831</v>
      </c>
      <c r="AU367">
        <f t="shared" si="314"/>
        <v>-2092.3490872824304</v>
      </c>
      <c r="AV367">
        <f t="shared" si="302"/>
        <v>-2.8479687197030286</v>
      </c>
      <c r="AW367">
        <f t="shared" si="303"/>
        <v>-241.72741773114802</v>
      </c>
      <c r="AX367">
        <f t="shared" si="304"/>
        <v>-4731.9798789332644</v>
      </c>
      <c r="AY367">
        <f t="shared" si="312"/>
        <v>-1.6218357406807375</v>
      </c>
      <c r="BA367">
        <f t="shared" si="289"/>
        <v>1.5257815755481519</v>
      </c>
      <c r="BB367">
        <f t="shared" si="305"/>
        <v>3.6698473260634286</v>
      </c>
      <c r="BC367">
        <f t="shared" si="306"/>
        <v>-1.226132979022291</v>
      </c>
      <c r="BD367">
        <f t="shared" si="290"/>
        <v>-250.25224490005488</v>
      </c>
      <c r="BF367">
        <f t="shared" si="291"/>
        <v>-49.129925003936592</v>
      </c>
      <c r="BG367">
        <f t="shared" si="292"/>
        <v>-239.53002168690386</v>
      </c>
      <c r="BH367">
        <f t="shared" si="307"/>
        <v>-59.530021686903865</v>
      </c>
      <c r="BI367">
        <f t="shared" si="308"/>
        <v>-59.530021686903865</v>
      </c>
      <c r="BJ367">
        <f t="shared" si="293"/>
        <v>0</v>
      </c>
      <c r="BK367">
        <f t="shared" si="309"/>
        <v>0</v>
      </c>
      <c r="BM367">
        <f t="shared" si="310"/>
        <v>-52.799772330000025</v>
      </c>
      <c r="BN367">
        <f t="shared" si="294"/>
        <v>-169.27777678684899</v>
      </c>
      <c r="BQ367" s="56">
        <f t="shared" si="311"/>
        <v>20.571808126348564</v>
      </c>
      <c r="BR367" s="59"/>
      <c r="BS367" s="59"/>
      <c r="BT367" s="59">
        <v>371535.22899999999</v>
      </c>
      <c r="BU367" s="59">
        <v>14.9002</v>
      </c>
      <c r="BV367" s="59">
        <v>-207.41</v>
      </c>
      <c r="BW367" s="61"/>
      <c r="BY367" s="59"/>
      <c r="BZ367" s="59"/>
      <c r="CA367" s="59"/>
      <c r="CC367" s="59"/>
    </row>
    <row r="368" spans="1:81" x14ac:dyDescent="0.2">
      <c r="A368">
        <f t="shared" si="319"/>
        <v>770000</v>
      </c>
      <c r="B368">
        <f t="shared" si="295"/>
        <v>770</v>
      </c>
      <c r="C368">
        <f t="shared" si="264"/>
        <v>1.0171109392789688</v>
      </c>
      <c r="D368">
        <f t="shared" si="265"/>
        <v>0.18368703094638561</v>
      </c>
      <c r="F368">
        <f t="shared" si="266"/>
        <v>1.4824710752129697E-4</v>
      </c>
      <c r="G368">
        <f t="shared" si="267"/>
        <v>4.5874504541371514E-3</v>
      </c>
      <c r="H368">
        <f t="shared" si="268"/>
        <v>-3.1370051995458632</v>
      </c>
      <c r="J368">
        <f t="shared" si="269"/>
        <v>15</v>
      </c>
      <c r="M368">
        <f t="shared" si="270"/>
        <v>2.9308424298729363E-4</v>
      </c>
      <c r="N368">
        <f t="shared" si="271"/>
        <v>-1.5707963250000001</v>
      </c>
      <c r="O368">
        <f t="shared" si="272"/>
        <v>722.6606208490083</v>
      </c>
      <c r="P368">
        <f t="shared" si="273"/>
        <v>1.5694125509389982</v>
      </c>
      <c r="Q368">
        <f t="shared" si="274"/>
        <v>107.54294917796614</v>
      </c>
      <c r="R368">
        <f t="shared" si="275"/>
        <v>1.5614975822570389</v>
      </c>
      <c r="S368">
        <f t="shared" si="276"/>
        <v>0.31281337724052982</v>
      </c>
      <c r="T368">
        <f t="shared" si="277"/>
        <v>-1.2526427056187692</v>
      </c>
      <c r="U368">
        <f t="shared" si="278"/>
        <v>0.28840366778143017</v>
      </c>
      <c r="V368">
        <f t="shared" si="279"/>
        <v>-1.2782370807906089</v>
      </c>
      <c r="X368">
        <f t="shared" si="296"/>
        <v>-46.65518577457614</v>
      </c>
      <c r="Y368">
        <f t="shared" si="280"/>
        <v>-224.83346032347868</v>
      </c>
      <c r="Z368">
        <f t="shared" si="297"/>
        <v>-44.833460323478675</v>
      </c>
      <c r="AC368">
        <v>1</v>
      </c>
      <c r="AD368">
        <f t="shared" si="281"/>
        <v>722.65992896096998</v>
      </c>
      <c r="AE368">
        <f t="shared" si="282"/>
        <v>-0.62932802521696007</v>
      </c>
      <c r="AF368">
        <f t="shared" si="283"/>
        <v>0.18955490404157999</v>
      </c>
      <c r="AG368">
        <f t="shared" si="315"/>
        <v>315.64628566117233</v>
      </c>
      <c r="AH368">
        <f t="shared" si="316"/>
        <v>-1053.2307493264364</v>
      </c>
      <c r="AJ368">
        <f t="shared" si="284"/>
        <v>18000</v>
      </c>
      <c r="AK368">
        <f t="shared" si="285"/>
        <v>54654.513526720802</v>
      </c>
      <c r="AL368">
        <v>1</v>
      </c>
      <c r="AM368">
        <f t="shared" si="286"/>
        <v>107.53829977219561</v>
      </c>
      <c r="AN368">
        <f t="shared" si="317"/>
        <v>509.74541851443757</v>
      </c>
      <c r="AO368">
        <f t="shared" si="318"/>
        <v>-162.64209698810697</v>
      </c>
      <c r="AQ368">
        <f t="shared" si="287"/>
        <v>4.2165608801817845E-3</v>
      </c>
      <c r="AR368">
        <f t="shared" si="288"/>
        <v>-6.4935037554799475</v>
      </c>
      <c r="AT368">
        <f t="shared" si="313"/>
        <v>-6837.82688435808</v>
      </c>
      <c r="AU368">
        <f t="shared" si="314"/>
        <v>-2054.0913529195332</v>
      </c>
      <c r="AV368">
        <f t="shared" si="302"/>
        <v>-2.8497678328833205</v>
      </c>
      <c r="AW368">
        <f t="shared" si="303"/>
        <v>-231.68166872054772</v>
      </c>
      <c r="AX368">
        <f t="shared" si="304"/>
        <v>-4702.2405350061163</v>
      </c>
      <c r="AY368">
        <f t="shared" si="312"/>
        <v>-1.6200269997647481</v>
      </c>
      <c r="BA368">
        <f t="shared" si="289"/>
        <v>1.5165194594662026</v>
      </c>
      <c r="BB368">
        <f t="shared" si="305"/>
        <v>3.6169597480549287</v>
      </c>
      <c r="BC368">
        <f t="shared" si="306"/>
        <v>-1.2297408331185724</v>
      </c>
      <c r="BD368">
        <f t="shared" si="290"/>
        <v>-250.45895971310699</v>
      </c>
      <c r="BF368">
        <f t="shared" si="291"/>
        <v>-49.294123994933841</v>
      </c>
      <c r="BG368">
        <f t="shared" si="292"/>
        <v>-239.67162652651638</v>
      </c>
      <c r="BH368">
        <f t="shared" si="307"/>
        <v>-59.671626526516377</v>
      </c>
      <c r="BI368">
        <f t="shared" si="308"/>
        <v>-59.671626526516377</v>
      </c>
      <c r="BJ368">
        <f t="shared" si="293"/>
        <v>0</v>
      </c>
      <c r="BK368">
        <f t="shared" si="309"/>
        <v>0</v>
      </c>
      <c r="BM368">
        <f t="shared" si="310"/>
        <v>-52.911083742988779</v>
      </c>
      <c r="BN368">
        <f t="shared" si="294"/>
        <v>-169.21266681340944</v>
      </c>
      <c r="BQ368" s="56">
        <f t="shared" si="311"/>
        <v>20.518920548340066</v>
      </c>
      <c r="BR368" s="59"/>
      <c r="BS368" s="59"/>
      <c r="BT368" s="59">
        <v>380189.39600000001</v>
      </c>
      <c r="BU368" s="59">
        <v>14.938000000000001</v>
      </c>
      <c r="BV368" s="59">
        <v>-210.39400000000001</v>
      </c>
      <c r="BW368" s="61"/>
      <c r="BY368" s="59"/>
      <c r="BZ368" s="59"/>
      <c r="CA368" s="59"/>
      <c r="CC368" s="59"/>
    </row>
    <row r="369" spans="1:81" x14ac:dyDescent="0.2">
      <c r="A369">
        <f t="shared" si="319"/>
        <v>775000</v>
      </c>
      <c r="B369">
        <f t="shared" si="295"/>
        <v>775</v>
      </c>
      <c r="C369">
        <f t="shared" si="264"/>
        <v>1.0173319814629675</v>
      </c>
      <c r="D369">
        <f t="shared" si="265"/>
        <v>0.18485290106711541</v>
      </c>
      <c r="F369">
        <f t="shared" si="266"/>
        <v>1.4634015023146579E-4</v>
      </c>
      <c r="G369">
        <f t="shared" si="267"/>
        <v>4.5578456362334527E-3</v>
      </c>
      <c r="H369">
        <f t="shared" si="268"/>
        <v>-3.1370348043637666</v>
      </c>
      <c r="J369">
        <f t="shared" si="269"/>
        <v>15</v>
      </c>
      <c r="M369">
        <f t="shared" si="270"/>
        <v>2.9119337690350464E-4</v>
      </c>
      <c r="N369">
        <f t="shared" si="271"/>
        <v>-1.5707963250000001</v>
      </c>
      <c r="O369">
        <f t="shared" si="272"/>
        <v>727.35321332652381</v>
      </c>
      <c r="P369">
        <f t="shared" si="273"/>
        <v>1.5694214785138789</v>
      </c>
      <c r="Q369">
        <f t="shared" si="274"/>
        <v>108.24121983095559</v>
      </c>
      <c r="R369">
        <f t="shared" si="275"/>
        <v>1.5615575707325355</v>
      </c>
      <c r="S369">
        <f t="shared" si="276"/>
        <v>0.31099098473972736</v>
      </c>
      <c r="T369">
        <f t="shared" si="277"/>
        <v>-1.2545607832916263</v>
      </c>
      <c r="U369">
        <f t="shared" si="278"/>
        <v>0.2866963917906305</v>
      </c>
      <c r="V369">
        <f t="shared" si="279"/>
        <v>-1.2800196424577035</v>
      </c>
      <c r="X369">
        <f t="shared" si="296"/>
        <v>-46.811859752591246</v>
      </c>
      <c r="Y369">
        <f t="shared" si="280"/>
        <v>-224.97643953423491</v>
      </c>
      <c r="Z369">
        <f t="shared" si="297"/>
        <v>-44.976439534234913</v>
      </c>
      <c r="AC369">
        <v>1</v>
      </c>
      <c r="AD369">
        <f t="shared" si="281"/>
        <v>727.35252590227503</v>
      </c>
      <c r="AE369">
        <f t="shared" si="282"/>
        <v>-0.63752765246405241</v>
      </c>
      <c r="AF369">
        <f t="shared" si="283"/>
        <v>0.19078578004185001</v>
      </c>
      <c r="AG369">
        <f t="shared" si="315"/>
        <v>311.92025632220981</v>
      </c>
      <c r="AH369">
        <f t="shared" si="316"/>
        <v>-1047.5507594184637</v>
      </c>
      <c r="AJ369">
        <f t="shared" si="284"/>
        <v>18000</v>
      </c>
      <c r="AK369">
        <f t="shared" si="285"/>
        <v>55009.412965205993</v>
      </c>
      <c r="AL369">
        <v>1</v>
      </c>
      <c r="AM369">
        <f t="shared" si="286"/>
        <v>108.23660042006702</v>
      </c>
      <c r="AN369">
        <f t="shared" si="317"/>
        <v>509.72596814687273</v>
      </c>
      <c r="AO369">
        <f t="shared" si="318"/>
        <v>-161.59297283888489</v>
      </c>
      <c r="AQ369">
        <f t="shared" si="287"/>
        <v>4.1623291728078368E-3</v>
      </c>
      <c r="AR369">
        <f t="shared" si="288"/>
        <v>-6.4516102178521466</v>
      </c>
      <c r="AT369">
        <f t="shared" si="313"/>
        <v>-6757.0908684004562</v>
      </c>
      <c r="AU369">
        <f t="shared" si="314"/>
        <v>-2016.748163929354</v>
      </c>
      <c r="AV369">
        <f t="shared" si="302"/>
        <v>-2.8515456563328074</v>
      </c>
      <c r="AW369">
        <f t="shared" si="303"/>
        <v>-221.83761707061944</v>
      </c>
      <c r="AX369">
        <f t="shared" si="304"/>
        <v>-4672.8683616158951</v>
      </c>
      <c r="AY369">
        <f t="shared" si="312"/>
        <v>-1.6182342536402459</v>
      </c>
      <c r="BA369">
        <f t="shared" si="289"/>
        <v>1.5073614681869776</v>
      </c>
      <c r="BB369">
        <f t="shared" si="305"/>
        <v>3.5643481891591726</v>
      </c>
      <c r="BC369">
        <f t="shared" si="306"/>
        <v>-1.2333114026925616</v>
      </c>
      <c r="BD369">
        <f t="shared" si="290"/>
        <v>-250.66353828038814</v>
      </c>
      <c r="BF369">
        <f t="shared" si="291"/>
        <v>-49.457302749797151</v>
      </c>
      <c r="BG369">
        <f t="shared" si="292"/>
        <v>-239.81110188746405</v>
      </c>
      <c r="BH369">
        <f t="shared" si="307"/>
        <v>-59.811101887464048</v>
      </c>
      <c r="BI369">
        <f t="shared" si="308"/>
        <v>-59.811101887464048</v>
      </c>
      <c r="BJ369">
        <f t="shared" si="293"/>
        <v>0</v>
      </c>
      <c r="BK369">
        <f t="shared" si="309"/>
        <v>0</v>
      </c>
      <c r="BM369">
        <f t="shared" si="310"/>
        <v>-53.02165093895632</v>
      </c>
      <c r="BN369">
        <f t="shared" si="294"/>
        <v>-169.14756360707591</v>
      </c>
      <c r="BQ369" s="56">
        <f t="shared" si="311"/>
        <v>20.466308989444308</v>
      </c>
      <c r="BR369" s="59"/>
      <c r="BS369" s="59"/>
      <c r="BT369" s="59">
        <v>389045.14500000002</v>
      </c>
      <c r="BU369" s="59">
        <v>14.7561</v>
      </c>
      <c r="BV369" s="59">
        <v>-213.04300000000001</v>
      </c>
      <c r="BW369" s="61"/>
      <c r="BY369" s="59"/>
      <c r="BZ369" s="59"/>
      <c r="CA369" s="59"/>
      <c r="CC369" s="59"/>
    </row>
    <row r="370" spans="1:81" x14ac:dyDescent="0.2">
      <c r="A370">
        <f t="shared" si="319"/>
        <v>780000</v>
      </c>
      <c r="B370">
        <f t="shared" si="295"/>
        <v>780</v>
      </c>
      <c r="C370">
        <f t="shared" si="264"/>
        <v>1.0175544058567856</v>
      </c>
      <c r="D370">
        <f t="shared" si="265"/>
        <v>0.18601826308266306</v>
      </c>
      <c r="F370">
        <f t="shared" si="266"/>
        <v>1.4446975416220864E-4</v>
      </c>
      <c r="G370">
        <f t="shared" si="267"/>
        <v>4.5286205265955238E-3</v>
      </c>
      <c r="H370">
        <f t="shared" si="268"/>
        <v>-3.1370640294734047</v>
      </c>
      <c r="J370">
        <f t="shared" si="269"/>
        <v>15</v>
      </c>
      <c r="M370">
        <f t="shared" si="270"/>
        <v>2.8932675269258471E-4</v>
      </c>
      <c r="N370">
        <f t="shared" si="271"/>
        <v>-1.5707963250000001</v>
      </c>
      <c r="O370">
        <f t="shared" si="272"/>
        <v>732.04580586126724</v>
      </c>
      <c r="P370">
        <f t="shared" si="273"/>
        <v>1.5694302916328862</v>
      </c>
      <c r="Q370">
        <f t="shared" si="274"/>
        <v>108.93949086847033</v>
      </c>
      <c r="R370">
        <f t="shared" si="275"/>
        <v>1.5616167901902369</v>
      </c>
      <c r="S370">
        <f t="shared" si="276"/>
        <v>0.3091885852700112</v>
      </c>
      <c r="T370">
        <f t="shared" si="277"/>
        <v>-1.2564566348020749</v>
      </c>
      <c r="U370">
        <f t="shared" si="278"/>
        <v>0.28500832042749241</v>
      </c>
      <c r="V370">
        <f t="shared" si="279"/>
        <v>-1.2817812181838635</v>
      </c>
      <c r="X370">
        <f t="shared" si="296"/>
        <v>-46.96761972969729</v>
      </c>
      <c r="Y370">
        <f t="shared" si="280"/>
        <v>-225.11700084975695</v>
      </c>
      <c r="Z370">
        <f t="shared" si="297"/>
        <v>-45.117000849756948</v>
      </c>
      <c r="AC370">
        <v>1</v>
      </c>
      <c r="AD370">
        <f t="shared" si="281"/>
        <v>732.04512284357997</v>
      </c>
      <c r="AE370">
        <f t="shared" si="282"/>
        <v>-0.64578035173216164</v>
      </c>
      <c r="AF370">
        <f t="shared" si="283"/>
        <v>0.19201665604212001</v>
      </c>
      <c r="AG370">
        <f t="shared" si="315"/>
        <v>308.25789069754006</v>
      </c>
      <c r="AH370">
        <f t="shared" si="316"/>
        <v>-1041.9246600929544</v>
      </c>
      <c r="AJ370">
        <f t="shared" si="284"/>
        <v>18000</v>
      </c>
      <c r="AK370">
        <f t="shared" si="285"/>
        <v>55364.312403691198</v>
      </c>
      <c r="AL370">
        <v>1</v>
      </c>
      <c r="AM370">
        <f t="shared" si="286"/>
        <v>108.9349010679384</v>
      </c>
      <c r="AN370">
        <f t="shared" si="317"/>
        <v>509.70689058265674</v>
      </c>
      <c r="AO370">
        <f t="shared" si="318"/>
        <v>-160.55729557701017</v>
      </c>
      <c r="AQ370">
        <f t="shared" si="287"/>
        <v>4.1091370360219282E-3</v>
      </c>
      <c r="AR370">
        <f t="shared" si="288"/>
        <v>-6.4102537761942076</v>
      </c>
      <c r="AT370">
        <f t="shared" si="313"/>
        <v>-6677.7348129554157</v>
      </c>
      <c r="AU370">
        <f t="shared" si="314"/>
        <v>-1980.2927190951</v>
      </c>
      <c r="AV370">
        <f t="shared" si="302"/>
        <v>-2.8533025545875468</v>
      </c>
      <c r="AW370">
        <f t="shared" si="303"/>
        <v>-212.18988248558591</v>
      </c>
      <c r="AX370">
        <f t="shared" si="304"/>
        <v>-4643.8566511501804</v>
      </c>
      <c r="AY370">
        <f t="shared" si="312"/>
        <v>-1.6164571669427465</v>
      </c>
      <c r="BA370">
        <f t="shared" si="289"/>
        <v>1.4983059706802266</v>
      </c>
      <c r="BB370">
        <f t="shared" si="305"/>
        <v>3.512010203306311</v>
      </c>
      <c r="BC370">
        <f t="shared" si="306"/>
        <v>-1.2368453876448002</v>
      </c>
      <c r="BD370">
        <f t="shared" si="290"/>
        <v>-250.86602070324554</v>
      </c>
      <c r="BF370">
        <f t="shared" si="291"/>
        <v>-49.619473159043963</v>
      </c>
      <c r="BG370">
        <f t="shared" si="292"/>
        <v>-239.9484884605894</v>
      </c>
      <c r="BH370">
        <f t="shared" si="307"/>
        <v>-59.948488460589402</v>
      </c>
      <c r="BI370">
        <f t="shared" si="308"/>
        <v>-59.948488460589402</v>
      </c>
      <c r="BJ370">
        <f t="shared" si="293"/>
        <v>0</v>
      </c>
      <c r="BK370">
        <f t="shared" si="309"/>
        <v>0</v>
      </c>
      <c r="BM370">
        <f t="shared" si="310"/>
        <v>-53.131483362350274</v>
      </c>
      <c r="BN370">
        <f t="shared" si="294"/>
        <v>-169.08246775734386</v>
      </c>
      <c r="BQ370" s="56">
        <f t="shared" si="311"/>
        <v>20.413971003591449</v>
      </c>
      <c r="BR370" s="59"/>
      <c r="BS370" s="59"/>
      <c r="BT370" s="59">
        <v>398107.17099999997</v>
      </c>
      <c r="BU370" s="59">
        <v>14.525499999999999</v>
      </c>
      <c r="BV370" s="59">
        <v>-214.58500000000001</v>
      </c>
      <c r="BW370" s="61"/>
      <c r="BY370" s="59"/>
      <c r="BZ370" s="59"/>
      <c r="CA370" s="59"/>
      <c r="CC370" s="59"/>
    </row>
    <row r="371" spans="1:81" x14ac:dyDescent="0.2">
      <c r="A371">
        <f t="shared" si="319"/>
        <v>785000</v>
      </c>
      <c r="B371">
        <f t="shared" si="295"/>
        <v>785</v>
      </c>
      <c r="C371">
        <f t="shared" si="264"/>
        <v>1.0177782115542218</v>
      </c>
      <c r="D371">
        <f t="shared" si="265"/>
        <v>0.18718311416191052</v>
      </c>
      <c r="F371">
        <f t="shared" si="266"/>
        <v>1.4263499058185465E-4</v>
      </c>
      <c r="G371">
        <f t="shared" si="267"/>
        <v>4.4997678656301934E-3</v>
      </c>
      <c r="H371">
        <f t="shared" si="268"/>
        <v>-3.13709288213437</v>
      </c>
      <c r="J371">
        <f t="shared" si="269"/>
        <v>15</v>
      </c>
      <c r="M371">
        <f t="shared" si="270"/>
        <v>2.874839071340332E-4</v>
      </c>
      <c r="N371">
        <f t="shared" si="271"/>
        <v>-1.5707963250000001</v>
      </c>
      <c r="O371">
        <f t="shared" si="272"/>
        <v>736.73839845214513</v>
      </c>
      <c r="P371">
        <f t="shared" si="273"/>
        <v>1.5694389924830698</v>
      </c>
      <c r="Q371">
        <f t="shared" si="274"/>
        <v>109.6377622831634</v>
      </c>
      <c r="R371">
        <f t="shared" si="275"/>
        <v>1.5616752553231048</v>
      </c>
      <c r="S371">
        <f t="shared" si="276"/>
        <v>0.30740587175423312</v>
      </c>
      <c r="T371">
        <f t="shared" si="277"/>
        <v>-1.2583306308562399</v>
      </c>
      <c r="U371">
        <f t="shared" si="278"/>
        <v>0.28333914760467777</v>
      </c>
      <c r="V371">
        <f t="shared" si="279"/>
        <v>-1.2835221656564268</v>
      </c>
      <c r="X371">
        <f t="shared" si="296"/>
        <v>-47.122475296850638</v>
      </c>
      <c r="Y371">
        <f t="shared" si="280"/>
        <v>-225.25518561491771</v>
      </c>
      <c r="Z371">
        <f t="shared" si="297"/>
        <v>-45.255185614917707</v>
      </c>
      <c r="AC371">
        <v>1</v>
      </c>
      <c r="AD371">
        <f t="shared" si="281"/>
        <v>736.73771978488503</v>
      </c>
      <c r="AE371">
        <f t="shared" si="282"/>
        <v>-0.65408612302128744</v>
      </c>
      <c r="AF371">
        <f t="shared" si="283"/>
        <v>0.19324753204238998</v>
      </c>
      <c r="AG371">
        <f t="shared" si="315"/>
        <v>304.6577923975052</v>
      </c>
      <c r="AH371">
        <f t="shared" si="316"/>
        <v>-1036.3518341521565</v>
      </c>
      <c r="AJ371">
        <f t="shared" si="284"/>
        <v>18000</v>
      </c>
      <c r="AK371">
        <f t="shared" si="285"/>
        <v>55719.211842176403</v>
      </c>
      <c r="AL371">
        <v>1</v>
      </c>
      <c r="AM371">
        <f t="shared" si="286"/>
        <v>109.6332017158098</v>
      </c>
      <c r="AN371">
        <f t="shared" si="317"/>
        <v>509.68817635524977</v>
      </c>
      <c r="AO371">
        <f t="shared" si="318"/>
        <v>-159.53480834193803</v>
      </c>
      <c r="AQ371">
        <f t="shared" si="287"/>
        <v>4.056958068498491E-3</v>
      </c>
      <c r="AR371">
        <f t="shared" si="288"/>
        <v>-6.3694241675426317</v>
      </c>
      <c r="AT371">
        <f t="shared" si="313"/>
        <v>-6599.7284346368806</v>
      </c>
      <c r="AU371">
        <f t="shared" si="314"/>
        <v>-1944.6991416622222</v>
      </c>
      <c r="AV371">
        <f t="shared" si="302"/>
        <v>-2.8550388841741259</v>
      </c>
      <c r="AW371">
        <f t="shared" si="303"/>
        <v>-202.73326299491711</v>
      </c>
      <c r="AX371">
        <f t="shared" si="304"/>
        <v>-4615.1988579796689</v>
      </c>
      <c r="AY371">
        <f t="shared" si="312"/>
        <v>-1.6146954135708731</v>
      </c>
      <c r="BA371">
        <f t="shared" si="289"/>
        <v>1.4893513659106026</v>
      </c>
      <c r="BB371">
        <f t="shared" si="305"/>
        <v>3.4599433610143309</v>
      </c>
      <c r="BC371">
        <f t="shared" si="306"/>
        <v>-1.2403434706032528</v>
      </c>
      <c r="BD371">
        <f t="shared" si="290"/>
        <v>-251.06644609338053</v>
      </c>
      <c r="BF371">
        <f t="shared" si="291"/>
        <v>-49.780646915827191</v>
      </c>
      <c r="BG371">
        <f t="shared" si="292"/>
        <v>-240.08382593574891</v>
      </c>
      <c r="BH371">
        <f t="shared" si="307"/>
        <v>-60.083825935748905</v>
      </c>
      <c r="BI371">
        <f t="shared" si="308"/>
        <v>-60.083825935748905</v>
      </c>
      <c r="BJ371">
        <f t="shared" si="293"/>
        <v>0</v>
      </c>
      <c r="BK371">
        <f t="shared" si="309"/>
        <v>0</v>
      </c>
      <c r="BM371">
        <f t="shared" si="310"/>
        <v>-53.240590276841516</v>
      </c>
      <c r="BN371">
        <f t="shared" si="294"/>
        <v>-169.0173798423684</v>
      </c>
      <c r="BQ371" s="56">
        <f t="shared" si="311"/>
        <v>20.361904161299471</v>
      </c>
      <c r="BR371" s="59"/>
      <c r="BS371" s="59"/>
      <c r="BT371" s="59">
        <v>407380.27799999999</v>
      </c>
      <c r="BU371" s="59">
        <v>14.4298</v>
      </c>
      <c r="BV371" s="59">
        <v>-217.34299999999999</v>
      </c>
      <c r="BW371" s="61"/>
      <c r="BY371" s="59"/>
      <c r="BZ371" s="59"/>
      <c r="CA371" s="59"/>
      <c r="CC371" s="59"/>
    </row>
    <row r="372" spans="1:81" x14ac:dyDescent="0.2">
      <c r="A372">
        <f t="shared" si="319"/>
        <v>790000</v>
      </c>
      <c r="B372">
        <f t="shared" si="295"/>
        <v>790</v>
      </c>
      <c r="C372">
        <f t="shared" si="264"/>
        <v>1.0180033976442471</v>
      </c>
      <c r="D372">
        <f t="shared" si="265"/>
        <v>0.18834745148176801</v>
      </c>
      <c r="F372">
        <f t="shared" si="266"/>
        <v>1.4083496006349011E-4</v>
      </c>
      <c r="G372">
        <f t="shared" si="267"/>
        <v>4.4712805776575314E-3</v>
      </c>
      <c r="H372">
        <f t="shared" si="268"/>
        <v>-3.1371213694223425</v>
      </c>
      <c r="J372">
        <f t="shared" si="269"/>
        <v>15</v>
      </c>
      <c r="M372">
        <f t="shared" si="270"/>
        <v>2.8566438873445075E-4</v>
      </c>
      <c r="N372">
        <f t="shared" si="271"/>
        <v>-1.5707963250000001</v>
      </c>
      <c r="O372">
        <f t="shared" si="272"/>
        <v>741.43099109809157</v>
      </c>
      <c r="P372">
        <f t="shared" si="273"/>
        <v>1.5694475831961108</v>
      </c>
      <c r="Q372">
        <f t="shared" si="274"/>
        <v>110.33603406787374</v>
      </c>
      <c r="R372">
        <f t="shared" si="275"/>
        <v>1.5617329804521791</v>
      </c>
      <c r="S372">
        <f t="shared" si="276"/>
        <v>0.30564254287522014</v>
      </c>
      <c r="T372">
        <f t="shared" si="277"/>
        <v>-1.2601831342764005</v>
      </c>
      <c r="U372">
        <f t="shared" si="278"/>
        <v>0.28168857330661451</v>
      </c>
      <c r="V372">
        <f t="shared" si="279"/>
        <v>-1.2852428347347018</v>
      </c>
      <c r="X372">
        <f t="shared" si="296"/>
        <v>-47.276435904639953</v>
      </c>
      <c r="Y372">
        <f t="shared" si="280"/>
        <v>-225.39103428785066</v>
      </c>
      <c r="Z372">
        <f t="shared" si="297"/>
        <v>-45.391034287850658</v>
      </c>
      <c r="AC372">
        <v>1</v>
      </c>
      <c r="AD372">
        <f t="shared" si="281"/>
        <v>741.43031672618997</v>
      </c>
      <c r="AE372">
        <f t="shared" si="282"/>
        <v>-0.66244496633143013</v>
      </c>
      <c r="AF372">
        <f t="shared" si="283"/>
        <v>0.19447840804266001</v>
      </c>
      <c r="AG372">
        <f t="shared" si="315"/>
        <v>301.11860174515755</v>
      </c>
      <c r="AH372">
        <f t="shared" si="316"/>
        <v>-1030.8316692455799</v>
      </c>
      <c r="AJ372">
        <f t="shared" si="284"/>
        <v>18000</v>
      </c>
      <c r="AK372">
        <f t="shared" si="285"/>
        <v>56074.1112806616</v>
      </c>
      <c r="AL372">
        <v>1</v>
      </c>
      <c r="AM372">
        <f t="shared" si="286"/>
        <v>110.33150236368121</v>
      </c>
      <c r="AN372">
        <f t="shared" si="317"/>
        <v>509.66981629668629</v>
      </c>
      <c r="AO372">
        <f t="shared" si="318"/>
        <v>-158.52526077321647</v>
      </c>
      <c r="AQ372">
        <f t="shared" si="287"/>
        <v>4.0057667017438306E-3</v>
      </c>
      <c r="AR372">
        <f t="shared" si="288"/>
        <v>-6.3291113887552521</v>
      </c>
      <c r="AT372">
        <f t="shared" si="313"/>
        <v>-6523.04224684364</v>
      </c>
      <c r="AU372">
        <f t="shared" si="314"/>
        <v>-1909.9424428471007</v>
      </c>
      <c r="AV372">
        <f t="shared" si="302"/>
        <v>-2.856754993820489</v>
      </c>
      <c r="AW372">
        <f t="shared" si="303"/>
        <v>-193.46272791691911</v>
      </c>
      <c r="AX372">
        <f t="shared" si="304"/>
        <v>-4586.8885935828594</v>
      </c>
      <c r="AY372">
        <f t="shared" si="312"/>
        <v>-1.6129486763767904</v>
      </c>
      <c r="BA372">
        <f t="shared" si="289"/>
        <v>1.4804960823134861</v>
      </c>
      <c r="BB372">
        <f t="shared" si="305"/>
        <v>3.4081452499486291</v>
      </c>
      <c r="BC372">
        <f t="shared" si="306"/>
        <v>-1.2438063174436986</v>
      </c>
      <c r="BD372">
        <f t="shared" si="290"/>
        <v>-251.264852602665</v>
      </c>
      <c r="BF372">
        <f t="shared" si="291"/>
        <v>-49.940835519971422</v>
      </c>
      <c r="BG372">
        <f t="shared" si="292"/>
        <v>-240.2171530319722</v>
      </c>
      <c r="BH372">
        <f t="shared" si="307"/>
        <v>-60.217153031972202</v>
      </c>
      <c r="BI372">
        <f t="shared" si="308"/>
        <v>-60.217153031972202</v>
      </c>
      <c r="BJ372">
        <f t="shared" si="293"/>
        <v>0</v>
      </c>
      <c r="BK372">
        <f t="shared" si="309"/>
        <v>0</v>
      </c>
      <c r="BM372">
        <f t="shared" si="310"/>
        <v>-53.348980769920047</v>
      </c>
      <c r="BN372">
        <f t="shared" si="294"/>
        <v>-168.9523004293072</v>
      </c>
      <c r="BQ372" s="56">
        <f t="shared" si="311"/>
        <v>20.310106050233763</v>
      </c>
      <c r="BR372" s="59"/>
      <c r="BS372" s="59"/>
      <c r="BT372" s="59">
        <v>416869.38299999997</v>
      </c>
      <c r="BU372" s="59">
        <v>14.126799999999999</v>
      </c>
      <c r="BV372" s="59">
        <v>-219.017</v>
      </c>
      <c r="BW372" s="61"/>
      <c r="BY372" s="59"/>
      <c r="BZ372" s="59"/>
      <c r="CA372" s="59"/>
      <c r="CC372" s="59"/>
    </row>
    <row r="373" spans="1:81" x14ac:dyDescent="0.2">
      <c r="A373">
        <f t="shared" si="319"/>
        <v>795000</v>
      </c>
      <c r="B373">
        <f t="shared" si="295"/>
        <v>795</v>
      </c>
      <c r="C373">
        <f t="shared" si="264"/>
        <v>1.0182299632110217</v>
      </c>
      <c r="D373">
        <f t="shared" si="265"/>
        <v>0.18951127222720726</v>
      </c>
      <c r="F373">
        <f t="shared" si="266"/>
        <v>1.3906879138227062E-4</v>
      </c>
      <c r="G373">
        <f t="shared" si="267"/>
        <v>4.4431517651227119E-3</v>
      </c>
      <c r="H373">
        <f t="shared" si="268"/>
        <v>-3.1371494982348773</v>
      </c>
      <c r="J373">
        <f t="shared" si="269"/>
        <v>15</v>
      </c>
      <c r="M373">
        <f t="shared" si="270"/>
        <v>2.8386775735876239E-4</v>
      </c>
      <c r="N373">
        <f t="shared" si="271"/>
        <v>-1.5707963250000001</v>
      </c>
      <c r="O373">
        <f t="shared" si="272"/>
        <v>746.12358379806778</v>
      </c>
      <c r="P373">
        <f t="shared" si="273"/>
        <v>1.5694560658500638</v>
      </c>
      <c r="Q373">
        <f t="shared" si="274"/>
        <v>111.03430621562049</v>
      </c>
      <c r="R373">
        <f t="shared" si="275"/>
        <v>1.5617899795382706</v>
      </c>
      <c r="S373">
        <f t="shared" si="276"/>
        <v>0.30389830295725323</v>
      </c>
      <c r="T373">
        <f t="shared" si="277"/>
        <v>-1.2620145002001886</v>
      </c>
      <c r="U373">
        <f t="shared" si="278"/>
        <v>0.28005630345233462</v>
      </c>
      <c r="V373">
        <f t="shared" si="279"/>
        <v>-1.2869435676553802</v>
      </c>
      <c r="X373">
        <f t="shared" si="296"/>
        <v>-47.429510865758303</v>
      </c>
      <c r="Y373">
        <f t="shared" si="280"/>
        <v>-225.52458646269199</v>
      </c>
      <c r="Z373">
        <f t="shared" si="297"/>
        <v>-45.524586462691985</v>
      </c>
      <c r="AC373">
        <v>1</v>
      </c>
      <c r="AD373">
        <f t="shared" si="281"/>
        <v>746.12291366749491</v>
      </c>
      <c r="AE373">
        <f t="shared" si="282"/>
        <v>-0.6708568816625895</v>
      </c>
      <c r="AF373">
        <f t="shared" si="283"/>
        <v>0.19570928404293</v>
      </c>
      <c r="AG373">
        <f t="shared" si="315"/>
        <v>297.63899467312348</v>
      </c>
      <c r="AH373">
        <f t="shared" si="316"/>
        <v>-1025.3635580393868</v>
      </c>
      <c r="AJ373">
        <f t="shared" si="284"/>
        <v>18000</v>
      </c>
      <c r="AK373">
        <f t="shared" si="285"/>
        <v>56429.010719146805</v>
      </c>
      <c r="AL373">
        <v>1</v>
      </c>
      <c r="AM373">
        <f t="shared" si="286"/>
        <v>111.0298030115526</v>
      </c>
      <c r="AN373">
        <f t="shared" si="317"/>
        <v>509.65180152634491</v>
      </c>
      <c r="AO373">
        <f t="shared" si="318"/>
        <v>-157.52840880618143</v>
      </c>
      <c r="AQ373">
        <f t="shared" si="287"/>
        <v>3.9555381687677825E-3</v>
      </c>
      <c r="AR373">
        <f t="shared" si="288"/>
        <v>-6.2893056883407743</v>
      </c>
      <c r="AT373">
        <f t="shared" si="313"/>
        <v>-6447.6475357905074</v>
      </c>
      <c r="AU373">
        <f t="shared" si="314"/>
        <v>-1875.9984869603934</v>
      </c>
      <c r="AV373">
        <f t="shared" si="302"/>
        <v>-2.858451224660425</v>
      </c>
      <c r="AW373">
        <f t="shared" si="303"/>
        <v>-184.37341114321791</v>
      </c>
      <c r="AX373">
        <f t="shared" si="304"/>
        <v>-4558.9196218473217</v>
      </c>
      <c r="AY373">
        <f t="shared" si="312"/>
        <v>-1.611216646868596</v>
      </c>
      <c r="BA373">
        <f t="shared" si="289"/>
        <v>1.4717385772727511</v>
      </c>
      <c r="BB373">
        <f t="shared" si="305"/>
        <v>3.3566134754267676</v>
      </c>
      <c r="BC373">
        <f t="shared" si="306"/>
        <v>-1.247234577791829</v>
      </c>
      <c r="BD373">
        <f t="shared" si="290"/>
        <v>-251.46127745190938</v>
      </c>
      <c r="BF373">
        <f t="shared" si="291"/>
        <v>-50.100050281918946</v>
      </c>
      <c r="BG373">
        <f t="shared" si="292"/>
        <v>-240.34850752655973</v>
      </c>
      <c r="BH373">
        <f t="shared" si="307"/>
        <v>-60.348507526559729</v>
      </c>
      <c r="BI373">
        <f t="shared" si="308"/>
        <v>-60.348507526559729</v>
      </c>
      <c r="BJ373">
        <f t="shared" si="293"/>
        <v>0</v>
      </c>
      <c r="BK373">
        <f t="shared" si="309"/>
        <v>0</v>
      </c>
      <c r="BM373">
        <f t="shared" si="310"/>
        <v>-53.456663757345709</v>
      </c>
      <c r="BN373">
        <f t="shared" si="294"/>
        <v>-168.88723007465038</v>
      </c>
      <c r="BQ373" s="56">
        <f t="shared" si="311"/>
        <v>20.258574275711901</v>
      </c>
      <c r="BR373" s="59"/>
      <c r="BS373" s="59"/>
      <c r="BT373" s="59">
        <v>426579.51899999997</v>
      </c>
      <c r="BU373" s="59">
        <v>14.106299999999999</v>
      </c>
      <c r="BV373" s="59">
        <v>-221.39400000000001</v>
      </c>
      <c r="BW373" s="61"/>
      <c r="BY373" s="59"/>
      <c r="BZ373" s="59"/>
      <c r="CA373" s="59"/>
      <c r="CC373" s="59"/>
    </row>
    <row r="374" spans="1:81" x14ac:dyDescent="0.2">
      <c r="A374">
        <f t="shared" si="319"/>
        <v>800000</v>
      </c>
      <c r="B374">
        <f t="shared" si="295"/>
        <v>800</v>
      </c>
      <c r="C374">
        <f t="shared" si="264"/>
        <v>1.0184579073339126</v>
      </c>
      <c r="D374">
        <f t="shared" si="265"/>
        <v>0.19067457359129492</v>
      </c>
      <c r="F374">
        <f t="shared" si="266"/>
        <v>1.3733564046084163E-4</v>
      </c>
      <c r="G374">
        <f t="shared" si="267"/>
        <v>4.4153747030251135E-3</v>
      </c>
      <c r="H374">
        <f t="shared" si="268"/>
        <v>-3.1371772752969749</v>
      </c>
      <c r="J374">
        <f t="shared" si="269"/>
        <v>15</v>
      </c>
      <c r="M374">
        <f t="shared" si="270"/>
        <v>2.820935838752701E-4</v>
      </c>
      <c r="N374">
        <f t="shared" si="271"/>
        <v>-1.5707963250000001</v>
      </c>
      <c r="O374">
        <f t="shared" si="272"/>
        <v>750.81617655106027</v>
      </c>
      <c r="P374">
        <f t="shared" si="273"/>
        <v>1.5694644424710316</v>
      </c>
      <c r="Q374">
        <f t="shared" si="274"/>
        <v>111.73257871959726</v>
      </c>
      <c r="R374">
        <f t="shared" si="275"/>
        <v>1.561846266193218</v>
      </c>
      <c r="S374">
        <f t="shared" si="276"/>
        <v>0.3021728618498099</v>
      </c>
      <c r="T374">
        <f t="shared" si="277"/>
        <v>-1.2638250762741086</v>
      </c>
      <c r="U374">
        <f t="shared" si="278"/>
        <v>0.27844204976151032</v>
      </c>
      <c r="V374">
        <f t="shared" si="279"/>
        <v>-1.2886246992317869</v>
      </c>
      <c r="X374">
        <f t="shared" si="296"/>
        <v>-47.581709357428821</v>
      </c>
      <c r="Y374">
        <f t="shared" si="280"/>
        <v>-225.6558808916613</v>
      </c>
      <c r="Z374">
        <f t="shared" si="297"/>
        <v>-45.655880891661297</v>
      </c>
      <c r="AC374">
        <v>1</v>
      </c>
      <c r="AD374">
        <f t="shared" si="281"/>
        <v>750.81551060879997</v>
      </c>
      <c r="AE374">
        <f t="shared" si="282"/>
        <v>-0.67932186901476566</v>
      </c>
      <c r="AF374">
        <f t="shared" si="283"/>
        <v>0.1969401600432</v>
      </c>
      <c r="AG374">
        <f t="shared" si="315"/>
        <v>294.21768165686353</v>
      </c>
      <c r="AH374">
        <f t="shared" si="316"/>
        <v>-1019.946898368876</v>
      </c>
      <c r="AJ374">
        <f t="shared" si="284"/>
        <v>18000</v>
      </c>
      <c r="AK374">
        <f t="shared" si="285"/>
        <v>56783.910157631995</v>
      </c>
      <c r="AL374">
        <v>1</v>
      </c>
      <c r="AM374">
        <f t="shared" si="286"/>
        <v>111.72810365942401</v>
      </c>
      <c r="AN374">
        <f t="shared" si="317"/>
        <v>509.6341234402085</v>
      </c>
      <c r="AO374">
        <f t="shared" si="318"/>
        <v>-156.54401447530987</v>
      </c>
      <c r="AQ374">
        <f t="shared" si="287"/>
        <v>3.90624847412169E-3</v>
      </c>
      <c r="AR374">
        <f t="shared" si="288"/>
        <v>-6.2499975585947034</v>
      </c>
      <c r="AT374">
        <f t="shared" si="313"/>
        <v>-6373.5163373316827</v>
      </c>
      <c r="AU374">
        <f t="shared" si="314"/>
        <v>-1842.8439580662293</v>
      </c>
      <c r="AV374">
        <f t="shared" si="302"/>
        <v>-2.8601279104319288</v>
      </c>
      <c r="AW374">
        <f t="shared" si="303"/>
        <v>-175.46060472759271</v>
      </c>
      <c r="AX374">
        <f t="shared" si="304"/>
        <v>-4531.2858545400268</v>
      </c>
      <c r="AY374">
        <f t="shared" si="312"/>
        <v>-1.6094990249241532</v>
      </c>
      <c r="BA374">
        <f t="shared" si="289"/>
        <v>1.4630773366012098</v>
      </c>
      <c r="BB374">
        <f t="shared" si="305"/>
        <v>3.3053456608720038</v>
      </c>
      <c r="BC374">
        <f t="shared" si="306"/>
        <v>-1.2506288855077756</v>
      </c>
      <c r="BD374">
        <f t="shared" si="290"/>
        <v>-251.65575695862401</v>
      </c>
      <c r="BF374">
        <f t="shared" si="291"/>
        <v>-50.258302326587341</v>
      </c>
      <c r="BG374">
        <f t="shared" si="292"/>
        <v>-240.47792628316145</v>
      </c>
      <c r="BH374">
        <f t="shared" si="307"/>
        <v>-60.477926283161452</v>
      </c>
      <c r="BI374">
        <f t="shared" si="308"/>
        <v>-60.477926283161452</v>
      </c>
      <c r="BJ374">
        <f t="shared" si="293"/>
        <v>0</v>
      </c>
      <c r="BK374">
        <f t="shared" si="309"/>
        <v>0</v>
      </c>
      <c r="BM374">
        <f t="shared" si="310"/>
        <v>-53.563647987459355</v>
      </c>
      <c r="BN374">
        <f t="shared" si="294"/>
        <v>-168.82216932453744</v>
      </c>
      <c r="BQ374" s="56">
        <f t="shared" si="311"/>
        <v>20.207306461157142</v>
      </c>
      <c r="BR374" s="59"/>
      <c r="BS374" s="59"/>
      <c r="BT374" s="59">
        <v>436515.83199999999</v>
      </c>
      <c r="BU374" s="59">
        <v>13.8226</v>
      </c>
      <c r="BV374" s="59">
        <v>-223.214</v>
      </c>
      <c r="BW374" s="61"/>
      <c r="BY374" s="59"/>
      <c r="BZ374" s="59"/>
      <c r="CA374" s="59"/>
      <c r="CC374" s="59"/>
    </row>
    <row r="375" spans="1:81" x14ac:dyDescent="0.2">
      <c r="A375">
        <f t="shared" si="319"/>
        <v>805000</v>
      </c>
      <c r="B375">
        <f t="shared" si="295"/>
        <v>805</v>
      </c>
      <c r="C375">
        <f t="shared" si="264"/>
        <v>1.018687229087512</v>
      </c>
      <c r="D375">
        <f t="shared" si="265"/>
        <v>0.19183735277522507</v>
      </c>
      <c r="F375">
        <f t="shared" si="266"/>
        <v>1.356346893604822E-4</v>
      </c>
      <c r="G375">
        <f t="shared" si="267"/>
        <v>4.3879428335552428E-3</v>
      </c>
      <c r="H375">
        <f t="shared" si="268"/>
        <v>-3.1372047071664451</v>
      </c>
      <c r="J375">
        <f t="shared" si="269"/>
        <v>15</v>
      </c>
      <c r="M375">
        <f t="shared" si="270"/>
        <v>2.8034144981393304E-4</v>
      </c>
      <c r="N375">
        <f t="shared" si="271"/>
        <v>-1.5707963250000001</v>
      </c>
      <c r="O375">
        <f t="shared" si="272"/>
        <v>755.50876935608164</v>
      </c>
      <c r="P375">
        <f t="shared" si="273"/>
        <v>1.5694727150347794</v>
      </c>
      <c r="Q375">
        <f t="shared" si="274"/>
        <v>112.43085157316675</v>
      </c>
      <c r="R375">
        <f t="shared" si="275"/>
        <v>1.5619018536907219</v>
      </c>
      <c r="S375">
        <f t="shared" si="276"/>
        <v>0.30046593481355849</v>
      </c>
      <c r="T375">
        <f t="shared" si="277"/>
        <v>-1.2656152028415535</v>
      </c>
      <c r="U375">
        <f t="shared" si="278"/>
        <v>0.27684552962362813</v>
      </c>
      <c r="V375">
        <f t="shared" si="279"/>
        <v>-1.2902865570471693</v>
      </c>
      <c r="X375">
        <f t="shared" si="296"/>
        <v>-47.733040423784615</v>
      </c>
      <c r="Y375">
        <f t="shared" si="280"/>
        <v>-225.78495550650064</v>
      </c>
      <c r="Z375">
        <f t="shared" si="297"/>
        <v>-45.784955506500637</v>
      </c>
      <c r="AC375">
        <v>1</v>
      </c>
      <c r="AD375">
        <f t="shared" si="281"/>
        <v>755.50810755010502</v>
      </c>
      <c r="AE375">
        <f t="shared" si="282"/>
        <v>-0.6878399283879586</v>
      </c>
      <c r="AF375">
        <f t="shared" si="283"/>
        <v>0.19817103604346997</v>
      </c>
      <c r="AG375">
        <f t="shared" si="315"/>
        <v>290.85340668306435</v>
      </c>
      <c r="AH375">
        <f t="shared" si="316"/>
        <v>-1014.5810933751638</v>
      </c>
      <c r="AJ375">
        <f t="shared" si="284"/>
        <v>18000</v>
      </c>
      <c r="AK375">
        <f t="shared" si="285"/>
        <v>57138.8095961172</v>
      </c>
      <c r="AL375">
        <v>1</v>
      </c>
      <c r="AM375">
        <f t="shared" si="286"/>
        <v>112.42640430729541</v>
      </c>
      <c r="AN375">
        <f t="shared" si="317"/>
        <v>509.61677370059084</v>
      </c>
      <c r="AO375">
        <f t="shared" si="318"/>
        <v>-155.57184572489658</v>
      </c>
      <c r="AQ375">
        <f t="shared" si="287"/>
        <v>3.8578743652349966E-3</v>
      </c>
      <c r="AR375">
        <f t="shared" si="288"/>
        <v>-6.2111777280283444</v>
      </c>
      <c r="AT375">
        <f t="shared" si="313"/>
        <v>-6300.6214145487793</v>
      </c>
      <c r="AU375">
        <f t="shared" si="314"/>
        <v>-1810.4563281026039</v>
      </c>
      <c r="AV375">
        <f t="shared" si="302"/>
        <v>-2.8617853776696336</v>
      </c>
      <c r="AW375">
        <f t="shared" si="303"/>
        <v>-166.71975276354516</v>
      </c>
      <c r="AX375">
        <f t="shared" si="304"/>
        <v>-4503.9813469396186</v>
      </c>
      <c r="AY375">
        <f t="shared" si="312"/>
        <v>-1.6077955185158761</v>
      </c>
      <c r="BA375">
        <f t="shared" si="289"/>
        <v>1.4545108740244059</v>
      </c>
      <c r="BB375">
        <f t="shared" si="305"/>
        <v>3.2543394482190373</v>
      </c>
      <c r="BC375">
        <f t="shared" si="306"/>
        <v>-1.2539898591537575</v>
      </c>
      <c r="BD375">
        <f t="shared" si="290"/>
        <v>-251.84832656381354</v>
      </c>
      <c r="BF375">
        <f t="shared" si="291"/>
        <v>-50.415602597140435</v>
      </c>
      <c r="BG375">
        <f t="shared" si="292"/>
        <v>-240.60544527887657</v>
      </c>
      <c r="BH375">
        <f t="shared" si="307"/>
        <v>-60.605445278876573</v>
      </c>
      <c r="BI375">
        <f t="shared" si="308"/>
        <v>-60.605445278876573</v>
      </c>
      <c r="BJ375">
        <f t="shared" si="293"/>
        <v>0</v>
      </c>
      <c r="BK375">
        <f t="shared" si="309"/>
        <v>0</v>
      </c>
      <c r="BM375">
        <f t="shared" si="310"/>
        <v>-53.669942045359477</v>
      </c>
      <c r="BN375">
        <f t="shared" si="294"/>
        <v>-168.75711871506309</v>
      </c>
      <c r="BQ375" s="56">
        <f t="shared" si="311"/>
        <v>20.156300248504174</v>
      </c>
      <c r="BR375" s="59"/>
      <c r="BS375" s="59"/>
      <c r="BT375" s="59">
        <v>446683.592</v>
      </c>
      <c r="BU375" s="59">
        <v>13.599500000000001</v>
      </c>
      <c r="BV375" s="59">
        <v>-225.053</v>
      </c>
      <c r="BW375" s="61"/>
      <c r="BY375" s="59"/>
      <c r="BZ375" s="59"/>
      <c r="CA375" s="59"/>
      <c r="CC375" s="59"/>
    </row>
    <row r="376" spans="1:81" x14ac:dyDescent="0.2">
      <c r="A376">
        <f t="shared" si="319"/>
        <v>810000</v>
      </c>
      <c r="B376">
        <f t="shared" si="295"/>
        <v>810</v>
      </c>
      <c r="C376">
        <f t="shared" si="264"/>
        <v>1.0189179275416542</v>
      </c>
      <c r="D376">
        <f t="shared" si="265"/>
        <v>0.19299960698835222</v>
      </c>
      <c r="F376">
        <f t="shared" si="266"/>
        <v>1.3396514531572153E-4</v>
      </c>
      <c r="G376">
        <f t="shared" si="267"/>
        <v>4.3608497609304549E-3</v>
      </c>
      <c r="H376">
        <f t="shared" si="268"/>
        <v>-3.1372318002390696</v>
      </c>
      <c r="J376">
        <f t="shared" si="269"/>
        <v>15</v>
      </c>
      <c r="M376">
        <f t="shared" si="270"/>
        <v>2.7861094703730382E-4</v>
      </c>
      <c r="N376">
        <f t="shared" si="271"/>
        <v>-1.5707963250000001</v>
      </c>
      <c r="O376">
        <f t="shared" si="272"/>
        <v>760.20136221216808</v>
      </c>
      <c r="P376">
        <f t="shared" si="273"/>
        <v>1.5694808854682885</v>
      </c>
      <c r="Q376">
        <f t="shared" si="274"/>
        <v>113.12912476985555</v>
      </c>
      <c r="R376">
        <f t="shared" si="275"/>
        <v>1.561956754976781</v>
      </c>
      <c r="S376">
        <f t="shared" si="276"/>
        <v>0.29877724240858172</v>
      </c>
      <c r="T376">
        <f t="shared" si="277"/>
        <v>-1.2673852131254859</v>
      </c>
      <c r="U376">
        <f t="shared" si="278"/>
        <v>0.27526646597023713</v>
      </c>
      <c r="V376">
        <f t="shared" si="279"/>
        <v>-1.2919294616422246</v>
      </c>
      <c r="X376">
        <f t="shared" si="296"/>
        <v>-47.883512978203939</v>
      </c>
      <c r="Y376">
        <f t="shared" si="280"/>
        <v>-225.91184743929307</v>
      </c>
      <c r="Z376">
        <f t="shared" si="297"/>
        <v>-45.911847439293069</v>
      </c>
      <c r="AC376">
        <v>1</v>
      </c>
      <c r="AD376">
        <f t="shared" si="281"/>
        <v>760.20070449140997</v>
      </c>
      <c r="AE376">
        <f t="shared" si="282"/>
        <v>-0.69641105978216833</v>
      </c>
      <c r="AF376">
        <f t="shared" si="283"/>
        <v>0.19940191204373997</v>
      </c>
      <c r="AG376">
        <f t="shared" si="315"/>
        <v>287.54494625194286</v>
      </c>
      <c r="AH376">
        <f t="shared" si="316"/>
        <v>-1009.2655516270923</v>
      </c>
      <c r="AJ376">
        <f t="shared" si="284"/>
        <v>18000</v>
      </c>
      <c r="AK376">
        <f t="shared" si="285"/>
        <v>57493.709034602398</v>
      </c>
      <c r="AL376">
        <v>1</v>
      </c>
      <c r="AM376">
        <f t="shared" si="286"/>
        <v>113.12470495516682</v>
      </c>
      <c r="AN376">
        <f t="shared" si="317"/>
        <v>509.59974422630421</v>
      </c>
      <c r="AO376">
        <f t="shared" si="318"/>
        <v>-154.61167622673958</v>
      </c>
      <c r="AQ376">
        <f t="shared" si="287"/>
        <v>3.8103933049865473E-3</v>
      </c>
      <c r="AR376">
        <f t="shared" si="288"/>
        <v>-6.1728371540782065</v>
      </c>
      <c r="AT376">
        <f t="shared" si="313"/>
        <v>-6228.93623607687</v>
      </c>
      <c r="AU376">
        <f t="shared" si="314"/>
        <v>-1778.8138263922874</v>
      </c>
      <c r="AV376">
        <f t="shared" si="302"/>
        <v>-2.8634239458915149</v>
      </c>
      <c r="AW376">
        <f t="shared" si="303"/>
        <v>-158.1464455359054</v>
      </c>
      <c r="AX376">
        <f t="shared" si="304"/>
        <v>-4477.0002936237743</v>
      </c>
      <c r="AY376">
        <f t="shared" si="312"/>
        <v>-1.6061058434459949</v>
      </c>
      <c r="BA376">
        <f t="shared" si="289"/>
        <v>1.4460377306683616</v>
      </c>
      <c r="BB376">
        <f t="shared" si="305"/>
        <v>3.2035924982751891</v>
      </c>
      <c r="BC376">
        <f t="shared" si="306"/>
        <v>-1.25731810244552</v>
      </c>
      <c r="BD376">
        <f t="shared" si="290"/>
        <v>-252.03902085784216</v>
      </c>
      <c r="BF376">
        <f t="shared" si="291"/>
        <v>-50.571961858674321</v>
      </c>
      <c r="BG376">
        <f t="shared" si="292"/>
        <v>-240.73109963041281</v>
      </c>
      <c r="BH376">
        <f t="shared" si="307"/>
        <v>-60.731099630412814</v>
      </c>
      <c r="BI376">
        <f t="shared" si="308"/>
        <v>-60.731099630412814</v>
      </c>
      <c r="BJ376">
        <f t="shared" si="293"/>
        <v>0</v>
      </c>
      <c r="BK376">
        <f t="shared" si="309"/>
        <v>0</v>
      </c>
      <c r="BM376">
        <f t="shared" si="310"/>
        <v>-53.775554356949513</v>
      </c>
      <c r="BN376">
        <f t="shared" si="294"/>
        <v>-168.69207877257068</v>
      </c>
      <c r="BQ376" s="56">
        <f t="shared" si="311"/>
        <v>20.105553298560324</v>
      </c>
      <c r="BR376" s="59"/>
      <c r="BS376" s="59"/>
      <c r="BT376" s="59">
        <v>457088.19</v>
      </c>
      <c r="BU376" s="59">
        <v>13.3674</v>
      </c>
      <c r="BV376" s="59">
        <v>-226.50200000000001</v>
      </c>
      <c r="BW376" s="61"/>
      <c r="BY376" s="59"/>
      <c r="BZ376" s="59"/>
      <c r="CA376" s="59"/>
      <c r="CC376" s="59"/>
    </row>
    <row r="377" spans="1:81" x14ac:dyDescent="0.2">
      <c r="A377">
        <f t="shared" si="319"/>
        <v>815000</v>
      </c>
      <c r="B377">
        <f t="shared" si="295"/>
        <v>815</v>
      </c>
      <c r="C377">
        <f t="shared" si="264"/>
        <v>1.019150001761435</v>
      </c>
      <c r="D377">
        <f t="shared" si="265"/>
        <v>0.19416133344822314</v>
      </c>
      <c r="F377">
        <f t="shared" si="266"/>
        <v>1.323262398102993E-4</v>
      </c>
      <c r="G377">
        <f t="shared" si="267"/>
        <v>4.3340892464209567E-3</v>
      </c>
      <c r="H377">
        <f t="shared" si="268"/>
        <v>-3.1372585607535792</v>
      </c>
      <c r="J377">
        <f t="shared" si="269"/>
        <v>15</v>
      </c>
      <c r="M377">
        <f t="shared" si="270"/>
        <v>2.7690167742357803E-4</v>
      </c>
      <c r="N377">
        <f t="shared" si="271"/>
        <v>-1.5707963250000001</v>
      </c>
      <c r="O377">
        <f t="shared" si="272"/>
        <v>764.89395511837995</v>
      </c>
      <c r="P377">
        <f t="shared" si="273"/>
        <v>1.5694889556512521</v>
      </c>
      <c r="Q377">
        <f t="shared" si="274"/>
        <v>113.82739830334904</v>
      </c>
      <c r="R377">
        <f t="shared" si="275"/>
        <v>1.5620109826797419</v>
      </c>
      <c r="S377">
        <f t="shared" si="276"/>
        <v>0.29710651038481284</v>
      </c>
      <c r="T377">
        <f t="shared" si="277"/>
        <v>-1.2691354334059473</v>
      </c>
      <c r="U377">
        <f t="shared" si="278"/>
        <v>0.27370458715021062</v>
      </c>
      <c r="V377">
        <f t="shared" si="279"/>
        <v>-1.2935537266970518</v>
      </c>
      <c r="X377">
        <f t="shared" si="296"/>
        <v>-48.033135805601106</v>
      </c>
      <c r="Y377">
        <f t="shared" si="280"/>
        <v>-226.03659304268012</v>
      </c>
      <c r="Z377">
        <f t="shared" si="297"/>
        <v>-46.036593042680124</v>
      </c>
      <c r="AC377">
        <v>1</v>
      </c>
      <c r="AD377">
        <f t="shared" si="281"/>
        <v>764.89330143271502</v>
      </c>
      <c r="AE377">
        <f t="shared" si="282"/>
        <v>-0.70503526319739485</v>
      </c>
      <c r="AF377">
        <f t="shared" si="283"/>
        <v>0.20063278804401002</v>
      </c>
      <c r="AG377">
        <f t="shared" si="315"/>
        <v>284.29110841228641</v>
      </c>
      <c r="AH377">
        <f t="shared" si="316"/>
        <v>-1003.9996872293345</v>
      </c>
      <c r="AJ377">
        <f t="shared" si="284"/>
        <v>18000</v>
      </c>
      <c r="AK377">
        <f t="shared" si="285"/>
        <v>57848.608473087603</v>
      </c>
      <c r="AL377">
        <v>1</v>
      </c>
      <c r="AM377">
        <f t="shared" si="286"/>
        <v>113.82300560303821</v>
      </c>
      <c r="AN377">
        <f t="shared" si="317"/>
        <v>509.58302718324904</v>
      </c>
      <c r="AO377">
        <f t="shared" si="318"/>
        <v>-153.6632852045324</v>
      </c>
      <c r="AQ377">
        <f t="shared" si="287"/>
        <v>3.7637834454501691E-3</v>
      </c>
      <c r="AR377">
        <f t="shared" si="288"/>
        <v>-6.1349670160837757</v>
      </c>
      <c r="AT377">
        <f t="shared" si="313"/>
        <v>-6158.4349551428631</v>
      </c>
      <c r="AU377">
        <f t="shared" si="314"/>
        <v>-1747.8954104773047</v>
      </c>
      <c r="AV377">
        <f t="shared" si="302"/>
        <v>-2.8650439277800461</v>
      </c>
      <c r="AW377">
        <f t="shared" si="303"/>
        <v>-149.73641393258239</v>
      </c>
      <c r="AX377">
        <f t="shared" si="304"/>
        <v>-4450.3370244052239</v>
      </c>
      <c r="AY377">
        <f t="shared" si="312"/>
        <v>-1.6044297230918592</v>
      </c>
      <c r="BA377">
        <f t="shared" si="289"/>
        <v>1.4376564745518039</v>
      </c>
      <c r="BB377">
        <f t="shared" si="305"/>
        <v>3.1531024910400349</v>
      </c>
      <c r="BC377">
        <f t="shared" si="306"/>
        <v>-1.260614204688187</v>
      </c>
      <c r="BD377">
        <f t="shared" si="290"/>
        <v>-252.22787360540636</v>
      </c>
      <c r="BF377">
        <f t="shared" si="291"/>
        <v>-50.727390701820397</v>
      </c>
      <c r="BG377">
        <f t="shared" si="292"/>
        <v>-240.85492361934249</v>
      </c>
      <c r="BH377">
        <f t="shared" si="307"/>
        <v>-60.854923619342486</v>
      </c>
      <c r="BI377">
        <f t="shared" si="308"/>
        <v>-60.854923619342486</v>
      </c>
      <c r="BJ377">
        <f t="shared" si="293"/>
        <v>0</v>
      </c>
      <c r="BK377">
        <f t="shared" si="309"/>
        <v>0</v>
      </c>
      <c r="BM377">
        <f t="shared" si="310"/>
        <v>-53.880493192860435</v>
      </c>
      <c r="BN377">
        <f t="shared" si="294"/>
        <v>-168.6270500139361</v>
      </c>
      <c r="BQ377" s="56">
        <f t="shared" si="311"/>
        <v>20.055063291325173</v>
      </c>
      <c r="BR377" s="59"/>
      <c r="BS377" s="59"/>
      <c r="BT377" s="59">
        <v>467735.141</v>
      </c>
      <c r="BU377" s="59">
        <v>13.1959</v>
      </c>
      <c r="BV377" s="59">
        <v>131.81700000000001</v>
      </c>
      <c r="BY377" s="59"/>
      <c r="BZ377" s="59"/>
      <c r="CA377" s="59"/>
      <c r="CC377" s="59"/>
    </row>
    <row r="378" spans="1:81" x14ac:dyDescent="0.2">
      <c r="A378">
        <f t="shared" si="319"/>
        <v>820000</v>
      </c>
      <c r="B378">
        <f t="shared" si="295"/>
        <v>820</v>
      </c>
      <c r="C378">
        <f t="shared" si="264"/>
        <v>1.0193834508072284</v>
      </c>
      <c r="D378">
        <f t="shared" si="265"/>
        <v>0.19532252938060904</v>
      </c>
      <c r="F378">
        <f t="shared" si="266"/>
        <v>1.3071722769245905E-4</v>
      </c>
      <c r="G378">
        <f t="shared" si="267"/>
        <v>4.3076552035579427E-3</v>
      </c>
      <c r="H378">
        <f t="shared" si="268"/>
        <v>-3.1372849947964423</v>
      </c>
      <c r="J378">
        <f t="shared" si="269"/>
        <v>15</v>
      </c>
      <c r="M378">
        <f t="shared" si="270"/>
        <v>2.7521325256123913E-4</v>
      </c>
      <c r="N378">
        <f t="shared" si="271"/>
        <v>-1.5707963250000001</v>
      </c>
      <c r="O378">
        <f t="shared" si="272"/>
        <v>769.58654807380003</v>
      </c>
      <c r="P378">
        <f t="shared" si="273"/>
        <v>1.5694969274175175</v>
      </c>
      <c r="Q378">
        <f t="shared" si="274"/>
        <v>114.52567216748666</v>
      </c>
      <c r="R378">
        <f t="shared" si="275"/>
        <v>1.5620645491199825</v>
      </c>
      <c r="S378">
        <f t="shared" si="276"/>
        <v>0.2954534695746579</v>
      </c>
      <c r="T378">
        <f t="shared" si="277"/>
        <v>-1.2708661831925521</v>
      </c>
      <c r="U378">
        <f t="shared" si="278"/>
        <v>0.27215962680795908</v>
      </c>
      <c r="V378">
        <f t="shared" si="279"/>
        <v>-1.2951596592077115</v>
      </c>
      <c r="X378">
        <f t="shared" si="296"/>
        <v>-48.181917564674059</v>
      </c>
      <c r="Y378">
        <f t="shared" si="280"/>
        <v>-226.15922790949594</v>
      </c>
      <c r="Z378">
        <f t="shared" si="297"/>
        <v>-46.159227909495939</v>
      </c>
      <c r="AC378">
        <v>1</v>
      </c>
      <c r="AD378">
        <f t="shared" si="281"/>
        <v>769.58589837401996</v>
      </c>
      <c r="AE378">
        <f t="shared" si="282"/>
        <v>-0.71371253863363826</v>
      </c>
      <c r="AF378">
        <f t="shared" si="283"/>
        <v>0.20186366404428002</v>
      </c>
      <c r="AG378">
        <f t="shared" si="315"/>
        <v>281.09073182808953</v>
      </c>
      <c r="AH378">
        <f t="shared" si="316"/>
        <v>-998.78291991760761</v>
      </c>
      <c r="AJ378">
        <f t="shared" si="284"/>
        <v>18000</v>
      </c>
      <c r="AK378">
        <f t="shared" si="285"/>
        <v>58203.507911572808</v>
      </c>
      <c r="AL378">
        <v>1</v>
      </c>
      <c r="AM378">
        <f t="shared" si="286"/>
        <v>114.5213062509096</v>
      </c>
      <c r="AN378">
        <f t="shared" si="317"/>
        <v>509.56661497540318</v>
      </c>
      <c r="AO378">
        <f t="shared" si="318"/>
        <v>-152.72645726467755</v>
      </c>
      <c r="AQ378">
        <f t="shared" si="287"/>
        <v>3.7180236027574351E-3</v>
      </c>
      <c r="AR378">
        <f t="shared" si="288"/>
        <v>-6.0975587085221932</v>
      </c>
      <c r="AT378">
        <f t="shared" si="313"/>
        <v>-6089.0923892913797</v>
      </c>
      <c r="AU378">
        <f t="shared" si="314"/>
        <v>-1717.6807382135282</v>
      </c>
      <c r="AV378">
        <f t="shared" si="302"/>
        <v>-2.8666456293579956</v>
      </c>
      <c r="AW378">
        <f t="shared" si="303"/>
        <v>-141.48552410337172</v>
      </c>
      <c r="AX378">
        <f t="shared" si="304"/>
        <v>-4423.9860004102393</v>
      </c>
      <c r="AY378">
        <f t="shared" si="312"/>
        <v>-1.6027668881608454</v>
      </c>
      <c r="BA378">
        <f t="shared" si="289"/>
        <v>1.429365700083342</v>
      </c>
      <c r="BB378">
        <f t="shared" si="305"/>
        <v>3.1028671259862906</v>
      </c>
      <c r="BC378">
        <f t="shared" si="306"/>
        <v>-1.2638787411971502</v>
      </c>
      <c r="BD378">
        <f t="shared" si="290"/>
        <v>-252.41491776965006</v>
      </c>
      <c r="BF378">
        <f t="shared" si="291"/>
        <v>-50.881899546267036</v>
      </c>
      <c r="BG378">
        <f t="shared" si="292"/>
        <v>-240.97695071648988</v>
      </c>
      <c r="BH378">
        <f t="shared" si="307"/>
        <v>-60.976950716489881</v>
      </c>
      <c r="BI378">
        <f t="shared" si="308"/>
        <v>-60.976950716489881</v>
      </c>
      <c r="BJ378">
        <f t="shared" si="293"/>
        <v>0</v>
      </c>
      <c r="BK378">
        <f t="shared" si="309"/>
        <v>0</v>
      </c>
      <c r="BM378">
        <f t="shared" si="310"/>
        <v>-53.984766672253322</v>
      </c>
      <c r="BN378">
        <f t="shared" si="294"/>
        <v>-168.56203294683985</v>
      </c>
      <c r="BQ378" s="56">
        <f t="shared" si="311"/>
        <v>20.004827926271428</v>
      </c>
      <c r="BR378" s="59"/>
      <c r="BS378" s="59"/>
      <c r="BT378" s="59">
        <v>478630.092</v>
      </c>
      <c r="BU378" s="59">
        <v>13.0069</v>
      </c>
      <c r="BV378" s="59">
        <v>129.95699999999999</v>
      </c>
      <c r="BY378" s="59"/>
      <c r="BZ378" s="59"/>
      <c r="CA378" s="59"/>
      <c r="CC378" s="59"/>
    </row>
    <row r="379" spans="1:81" x14ac:dyDescent="0.2">
      <c r="A379">
        <f t="shared" si="319"/>
        <v>825000</v>
      </c>
      <c r="B379">
        <f t="shared" si="295"/>
        <v>825</v>
      </c>
      <c r="C379">
        <f t="shared" si="264"/>
        <v>1.0196182737347048</v>
      </c>
      <c r="D379">
        <f t="shared" si="265"/>
        <v>0.19648319201953712</v>
      </c>
      <c r="F379">
        <f t="shared" si="266"/>
        <v>1.2913738632767266E-4</v>
      </c>
      <c r="G379">
        <f t="shared" si="267"/>
        <v>4.2815416935161315E-3</v>
      </c>
      <c r="H379">
        <f t="shared" si="268"/>
        <v>-3.1373111083064842</v>
      </c>
      <c r="J379">
        <f t="shared" si="269"/>
        <v>15</v>
      </c>
      <c r="M379">
        <f t="shared" si="270"/>
        <v>2.7354529345480737E-4</v>
      </c>
      <c r="N379">
        <f t="shared" si="271"/>
        <v>-1.5707963250000001</v>
      </c>
      <c r="O379">
        <f t="shared" si="272"/>
        <v>774.27914107753395</v>
      </c>
      <c r="P379">
        <f t="shared" si="273"/>
        <v>1.5695048025564751</v>
      </c>
      <c r="Q379">
        <f t="shared" si="274"/>
        <v>115.22394635625714</v>
      </c>
      <c r="R379">
        <f t="shared" si="275"/>
        <v>1.5621174663192428</v>
      </c>
      <c r="S379">
        <f t="shared" si="276"/>
        <v>0.29381785578778247</v>
      </c>
      <c r="T379">
        <f t="shared" si="277"/>
        <v>-1.2725777753921217</v>
      </c>
      <c r="U379">
        <f t="shared" si="278"/>
        <v>0.27063132376453153</v>
      </c>
      <c r="V379">
        <f t="shared" si="279"/>
        <v>-1.2967475596575717</v>
      </c>
      <c r="X379">
        <f t="shared" si="296"/>
        <v>-48.329866790109236</v>
      </c>
      <c r="Y379">
        <f t="shared" si="280"/>
        <v>-226.27978689183846</v>
      </c>
      <c r="Z379">
        <f t="shared" si="297"/>
        <v>-46.279786891838455</v>
      </c>
      <c r="AC379">
        <v>1</v>
      </c>
      <c r="AD379">
        <f t="shared" si="281"/>
        <v>774.2784953153249</v>
      </c>
      <c r="AE379">
        <f t="shared" si="282"/>
        <v>-0.72244288609089835</v>
      </c>
      <c r="AF379">
        <f t="shared" si="283"/>
        <v>0.20309454004454999</v>
      </c>
      <c r="AG379">
        <f t="shared" si="315"/>
        <v>277.94268487569343</v>
      </c>
      <c r="AH379">
        <f t="shared" si="316"/>
        <v>-993.61467514185028</v>
      </c>
      <c r="AJ379">
        <f t="shared" si="284"/>
        <v>18000</v>
      </c>
      <c r="AK379">
        <f t="shared" si="285"/>
        <v>58558.407350057998</v>
      </c>
      <c r="AL379">
        <v>1</v>
      </c>
      <c r="AM379">
        <f t="shared" si="286"/>
        <v>115.219606898781</v>
      </c>
      <c r="AN379">
        <f t="shared" si="317"/>
        <v>509.55050023619197</v>
      </c>
      <c r="AO379">
        <f t="shared" si="318"/>
        <v>-151.80098223324916</v>
      </c>
      <c r="AQ379">
        <f t="shared" si="287"/>
        <v>3.6730932330236057E-3</v>
      </c>
      <c r="AR379">
        <f t="shared" si="288"/>
        <v>-6.0606038344889495</v>
      </c>
      <c r="AT379">
        <f t="shared" si="313"/>
        <v>-6020.8840007742047</v>
      </c>
      <c r="AU379">
        <f t="shared" si="314"/>
        <v>-1688.1501410652777</v>
      </c>
      <c r="AV379">
        <f t="shared" si="302"/>
        <v>-2.8682293501590328</v>
      </c>
      <c r="AW379">
        <f t="shared" si="303"/>
        <v>-133.38977235345467</v>
      </c>
      <c r="AX379">
        <f t="shared" si="304"/>
        <v>-4397.9418102937452</v>
      </c>
      <c r="AY379">
        <f t="shared" si="312"/>
        <v>-1.6011170764544715</v>
      </c>
      <c r="BA379">
        <f t="shared" si="289"/>
        <v>1.4211640275640081</v>
      </c>
      <c r="BB379">
        <f t="shared" si="305"/>
        <v>3.0528841223045755</v>
      </c>
      <c r="BC379">
        <f t="shared" si="306"/>
        <v>-1.2671122737045613</v>
      </c>
      <c r="BD379">
        <f t="shared" si="290"/>
        <v>-252.60018553545478</v>
      </c>
      <c r="BF379">
        <f t="shared" si="291"/>
        <v>-51.035498644201652</v>
      </c>
      <c r="BG379">
        <f t="shared" si="292"/>
        <v>-241.09721360548494</v>
      </c>
      <c r="BH379">
        <f t="shared" si="307"/>
        <v>-61.097213605484939</v>
      </c>
      <c r="BI379">
        <f t="shared" si="308"/>
        <v>-61.097213605484939</v>
      </c>
      <c r="BJ379">
        <f t="shared" si="293"/>
        <v>0</v>
      </c>
      <c r="BK379">
        <f t="shared" si="309"/>
        <v>0</v>
      </c>
      <c r="BM379">
        <f t="shared" si="310"/>
        <v>-54.088382766506228</v>
      </c>
      <c r="BN379">
        <f t="shared" si="294"/>
        <v>-168.49702807003018</v>
      </c>
      <c r="BQ379" s="56">
        <f t="shared" si="311"/>
        <v>19.954844922589711</v>
      </c>
      <c r="BR379" s="59"/>
      <c r="BS379" s="59"/>
      <c r="BT379" s="59">
        <v>489778.81900000002</v>
      </c>
      <c r="BU379" s="59">
        <v>12.7394</v>
      </c>
      <c r="BV379" s="59">
        <v>126.41800000000001</v>
      </c>
      <c r="BY379" s="59"/>
      <c r="BZ379" s="59"/>
      <c r="CA379" s="59"/>
      <c r="CC379" s="59"/>
    </row>
    <row r="380" spans="1:81" x14ac:dyDescent="0.2">
      <c r="A380">
        <f t="shared" si="319"/>
        <v>830000</v>
      </c>
      <c r="B380">
        <f t="shared" si="295"/>
        <v>830</v>
      </c>
      <c r="C380">
        <f t="shared" si="264"/>
        <v>1.0198544695948497</v>
      </c>
      <c r="D380">
        <f t="shared" si="265"/>
        <v>0.19764331860732201</v>
      </c>
      <c r="F380">
        <f t="shared" si="266"/>
        <v>1.2758601478699645E-4</v>
      </c>
      <c r="G380">
        <f t="shared" si="267"/>
        <v>4.2557429206633527E-3</v>
      </c>
      <c r="H380">
        <f t="shared" si="268"/>
        <v>-3.1373369070793369</v>
      </c>
      <c r="J380">
        <f t="shared" si="269"/>
        <v>15</v>
      </c>
      <c r="M380">
        <f t="shared" si="270"/>
        <v>2.7189743024122421E-4</v>
      </c>
      <c r="N380">
        <f t="shared" si="271"/>
        <v>-1.5707963250000001</v>
      </c>
      <c r="O380">
        <f t="shared" si="272"/>
        <v>778.97173412870836</v>
      </c>
      <c r="P380">
        <f t="shared" si="273"/>
        <v>1.5695125828143976</v>
      </c>
      <c r="Q380">
        <f t="shared" si="274"/>
        <v>115.92222086379408</v>
      </c>
      <c r="R380">
        <f t="shared" si="275"/>
        <v>1.5621697460096187</v>
      </c>
      <c r="S380">
        <f t="shared" si="276"/>
        <v>0.29219940970803482</v>
      </c>
      <c r="T380">
        <f t="shared" si="277"/>
        <v>-1.2742705164716084</v>
      </c>
      <c r="U380">
        <f t="shared" si="278"/>
        <v>0.26911942190154542</v>
      </c>
      <c r="V380">
        <f t="shared" si="279"/>
        <v>-1.298317722183608</v>
      </c>
      <c r="X380">
        <f t="shared" si="296"/>
        <v>-48.476991894744629</v>
      </c>
      <c r="Y380">
        <f t="shared" si="280"/>
        <v>-226.39830411959318</v>
      </c>
      <c r="Z380">
        <f t="shared" si="297"/>
        <v>-46.398304119593178</v>
      </c>
      <c r="AC380">
        <v>1</v>
      </c>
      <c r="AD380">
        <f t="shared" si="281"/>
        <v>778.97109225662996</v>
      </c>
      <c r="AE380">
        <f t="shared" si="282"/>
        <v>-0.73122630556917523</v>
      </c>
      <c r="AF380">
        <f t="shared" si="283"/>
        <v>0.20432541604481999</v>
      </c>
      <c r="AG380">
        <f t="shared" si="315"/>
        <v>274.84586477036419</v>
      </c>
      <c r="AH380">
        <f t="shared" si="316"/>
        <v>-988.49438413816415</v>
      </c>
      <c r="AJ380">
        <f t="shared" si="284"/>
        <v>18000</v>
      </c>
      <c r="AK380">
        <f t="shared" si="285"/>
        <v>58913.306788543196</v>
      </c>
      <c r="AL380">
        <v>1</v>
      </c>
      <c r="AM380">
        <f t="shared" si="286"/>
        <v>115.9179075466524</v>
      </c>
      <c r="AN380">
        <f t="shared" si="317"/>
        <v>509.53467582022239</v>
      </c>
      <c r="AO380">
        <f t="shared" si="318"/>
        <v>-150.88665499884524</v>
      </c>
      <c r="AQ380">
        <f t="shared" si="287"/>
        <v>3.6289724092856694E-3</v>
      </c>
      <c r="AR380">
        <f t="shared" si="288"/>
        <v>-6.0240941994142112</v>
      </c>
      <c r="AT380">
        <f t="shared" si="313"/>
        <v>-5953.7858775801797</v>
      </c>
      <c r="AU380">
        <f t="shared" si="314"/>
        <v>-1659.2845985429049</v>
      </c>
      <c r="AV380">
        <f t="shared" si="302"/>
        <v>-2.8697953833933201</v>
      </c>
      <c r="AW380">
        <f t="shared" si="303"/>
        <v>-125.44528025991792</v>
      </c>
      <c r="AX380">
        <f t="shared" si="304"/>
        <v>-4372.1991665854512</v>
      </c>
      <c r="AY380">
        <f t="shared" si="312"/>
        <v>-1.5994800326413225</v>
      </c>
      <c r="BA380">
        <f t="shared" si="289"/>
        <v>1.4130501026955267</v>
      </c>
      <c r="BB380">
        <f t="shared" si="305"/>
        <v>3.0031512191145495</v>
      </c>
      <c r="BC380">
        <f t="shared" si="306"/>
        <v>-1.2703153507519975</v>
      </c>
      <c r="BD380">
        <f t="shared" si="290"/>
        <v>-252.78370833193782</v>
      </c>
      <c r="BF380">
        <f t="shared" si="291"/>
        <v>-51.188198083675005</v>
      </c>
      <c r="BG380">
        <f t="shared" si="292"/>
        <v>-241.21574420551377</v>
      </c>
      <c r="BH380">
        <f t="shared" si="307"/>
        <v>-61.215744205513772</v>
      </c>
      <c r="BI380">
        <f t="shared" si="308"/>
        <v>-61.215744205513772</v>
      </c>
      <c r="BJ380">
        <f t="shared" si="293"/>
        <v>0</v>
      </c>
      <c r="BK380">
        <f t="shared" si="309"/>
        <v>0</v>
      </c>
      <c r="BM380">
        <f t="shared" si="310"/>
        <v>-54.191349302789547</v>
      </c>
      <c r="BN380">
        <f t="shared" si="294"/>
        <v>-168.43203587357596</v>
      </c>
      <c r="BQ380" s="56">
        <f t="shared" si="311"/>
        <v>19.905112019399688</v>
      </c>
      <c r="BR380" s="59"/>
      <c r="BS380" s="59"/>
      <c r="BT380" s="59">
        <v>501187.234</v>
      </c>
      <c r="BU380" s="59">
        <v>12.4757</v>
      </c>
      <c r="BV380" s="59">
        <v>125.40900000000001</v>
      </c>
      <c r="BY380" s="59"/>
      <c r="BZ380" s="59"/>
      <c r="CA380" s="59"/>
      <c r="CC380" s="59"/>
    </row>
    <row r="381" spans="1:81" x14ac:dyDescent="0.2">
      <c r="A381">
        <f t="shared" si="319"/>
        <v>835000</v>
      </c>
      <c r="B381">
        <f t="shared" si="295"/>
        <v>835</v>
      </c>
      <c r="C381">
        <f t="shared" si="264"/>
        <v>1.0200920374339815</v>
      </c>
      <c r="D381">
        <f t="shared" si="265"/>
        <v>0.19880290639459663</v>
      </c>
      <c r="F381">
        <f t="shared" si="266"/>
        <v>1.2606243306935691E-4</v>
      </c>
      <c r="G381">
        <f t="shared" si="267"/>
        <v>4.2302532282701569E-3</v>
      </c>
      <c r="H381">
        <f t="shared" si="268"/>
        <v>-3.1373623967717301</v>
      </c>
      <c r="J381">
        <f t="shared" si="269"/>
        <v>15</v>
      </c>
      <c r="M381">
        <f t="shared" si="270"/>
        <v>2.7026930191642649E-4</v>
      </c>
      <c r="N381">
        <f t="shared" si="271"/>
        <v>-1.5707963250000001</v>
      </c>
      <c r="O381">
        <f t="shared" si="272"/>
        <v>783.66432722647119</v>
      </c>
      <c r="P381">
        <f t="shared" si="273"/>
        <v>1.5695202698957316</v>
      </c>
      <c r="Q381">
        <f t="shared" si="274"/>
        <v>116.62049568437156</v>
      </c>
      <c r="R381">
        <f t="shared" si="275"/>
        <v>1.5622213996422325</v>
      </c>
      <c r="S381">
        <f t="shared" si="276"/>
        <v>0.29059787679248</v>
      </c>
      <c r="T381">
        <f t="shared" si="277"/>
        <v>-1.2759447066164469</v>
      </c>
      <c r="U381">
        <f t="shared" si="278"/>
        <v>0.26762367004788223</v>
      </c>
      <c r="V381">
        <f t="shared" si="279"/>
        <v>-1.2998704347378227</v>
      </c>
      <c r="X381">
        <f t="shared" si="296"/>
        <v>-48.623301171691523</v>
      </c>
      <c r="Y381">
        <f t="shared" si="280"/>
        <v>-226.51481301842836</v>
      </c>
      <c r="Z381">
        <f t="shared" si="297"/>
        <v>-46.514813018428356</v>
      </c>
      <c r="AC381">
        <v>1</v>
      </c>
      <c r="AD381">
        <f t="shared" si="281"/>
        <v>783.66368919793501</v>
      </c>
      <c r="AE381">
        <f t="shared" si="282"/>
        <v>-0.74006279706846889</v>
      </c>
      <c r="AF381">
        <f t="shared" si="283"/>
        <v>0.20555629204508999</v>
      </c>
      <c r="AG381">
        <f t="shared" si="315"/>
        <v>271.79919672129165</v>
      </c>
      <c r="AH381">
        <f t="shared" si="316"/>
        <v>-983.42148399028167</v>
      </c>
      <c r="AJ381">
        <f t="shared" si="284"/>
        <v>18000</v>
      </c>
      <c r="AK381">
        <f t="shared" si="285"/>
        <v>59268.2062270284</v>
      </c>
      <c r="AL381">
        <v>1</v>
      </c>
      <c r="AM381">
        <f t="shared" si="286"/>
        <v>116.61620819452381</v>
      </c>
      <c r="AN381">
        <f t="shared" si="317"/>
        <v>509.51913479536125</v>
      </c>
      <c r="AO381">
        <f t="shared" si="318"/>
        <v>-149.98327536108295</v>
      </c>
      <c r="AQ381">
        <f t="shared" si="287"/>
        <v>3.585641799404138E-3</v>
      </c>
      <c r="AR381">
        <f t="shared" si="288"/>
        <v>-5.9880218050049105</v>
      </c>
      <c r="AT381">
        <f t="shared" si="313"/>
        <v>-5887.7747150832865</v>
      </c>
      <c r="AU381">
        <f t="shared" si="314"/>
        <v>-1631.065713729341</v>
      </c>
      <c r="AV381">
        <f t="shared" si="302"/>
        <v>-2.8713440161082446</v>
      </c>
      <c r="AW381">
        <f t="shared" si="303"/>
        <v>-117.64829000026245</v>
      </c>
      <c r="AX381">
        <f t="shared" si="304"/>
        <v>-4346.7529021617001</v>
      </c>
      <c r="AY381">
        <f t="shared" si="312"/>
        <v>-1.5978555080384236</v>
      </c>
      <c r="BA381">
        <f t="shared" si="289"/>
        <v>1.4050225960946245</v>
      </c>
      <c r="BB381">
        <f t="shared" si="305"/>
        <v>2.9536661756447002</v>
      </c>
      <c r="BC381">
        <f t="shared" si="306"/>
        <v>-1.2734885080698211</v>
      </c>
      <c r="BD381">
        <f t="shared" si="290"/>
        <v>-252.96551685418788</v>
      </c>
      <c r="BF381">
        <f t="shared" si="291"/>
        <v>-51.340007791889306</v>
      </c>
      <c r="BG381">
        <f t="shared" si="292"/>
        <v>-241.33257369329908</v>
      </c>
      <c r="BH381">
        <f t="shared" si="307"/>
        <v>-61.332573693299082</v>
      </c>
      <c r="BI381">
        <f t="shared" si="308"/>
        <v>-61.332573693299082</v>
      </c>
      <c r="BJ381">
        <f t="shared" si="293"/>
        <v>0</v>
      </c>
      <c r="BK381">
        <f t="shared" si="309"/>
        <v>0</v>
      </c>
      <c r="BM381">
        <f t="shared" si="310"/>
        <v>-54.293673967534005</v>
      </c>
      <c r="BN381">
        <f t="shared" si="294"/>
        <v>-168.3670568391112</v>
      </c>
      <c r="BQ381" s="56">
        <f t="shared" si="311"/>
        <v>19.855626975929837</v>
      </c>
      <c r="BR381" s="59"/>
      <c r="BS381" s="59"/>
      <c r="BT381" s="59">
        <v>512861.38400000002</v>
      </c>
      <c r="BU381" s="59">
        <v>12.1639</v>
      </c>
      <c r="BV381" s="59">
        <v>124.027</v>
      </c>
      <c r="BY381" s="59"/>
      <c r="BZ381" s="59"/>
      <c r="CA381" s="59"/>
      <c r="CC381" s="59"/>
    </row>
    <row r="382" spans="1:81" x14ac:dyDescent="0.2">
      <c r="A382">
        <f t="shared" si="319"/>
        <v>840000</v>
      </c>
      <c r="B382">
        <f t="shared" si="295"/>
        <v>840</v>
      </c>
      <c r="C382">
        <f t="shared" si="264"/>
        <v>1.0203309762937698</v>
      </c>
      <c r="D382">
        <f t="shared" si="265"/>
        <v>0.19996195264034314</v>
      </c>
      <c r="F382">
        <f t="shared" si="266"/>
        <v>1.2456598135615453E-4</v>
      </c>
      <c r="G382">
        <f t="shared" si="267"/>
        <v>4.205067094372795E-3</v>
      </c>
      <c r="H382">
        <f t="shared" si="268"/>
        <v>-3.1373875829056272</v>
      </c>
      <c r="J382">
        <f t="shared" si="269"/>
        <v>15</v>
      </c>
      <c r="M382">
        <f t="shared" si="270"/>
        <v>2.6866055607168581E-4</v>
      </c>
      <c r="N382">
        <f t="shared" si="271"/>
        <v>-1.5707963250000001</v>
      </c>
      <c r="O382">
        <f t="shared" si="272"/>
        <v>788.35692036999023</v>
      </c>
      <c r="P382">
        <f t="shared" si="273"/>
        <v>1.5695278654643403</v>
      </c>
      <c r="Q382">
        <f t="shared" si="274"/>
        <v>117.31877081239995</v>
      </c>
      <c r="R382">
        <f t="shared" si="275"/>
        <v>1.5622724383955944</v>
      </c>
      <c r="S382">
        <f t="shared" si="276"/>
        <v>0.2890130071725141</v>
      </c>
      <c r="T382">
        <f t="shared" si="277"/>
        <v>-1.2776006398844806</v>
      </c>
      <c r="U382">
        <f t="shared" si="278"/>
        <v>0.26614382186908953</v>
      </c>
      <c r="V382">
        <f t="shared" si="279"/>
        <v>-1.3014059792439432</v>
      </c>
      <c r="X382">
        <f t="shared" si="296"/>
        <v>-48.768802796415933</v>
      </c>
      <c r="Y382">
        <f t="shared" si="280"/>
        <v>-226.62934632727743</v>
      </c>
      <c r="Z382">
        <f t="shared" si="297"/>
        <v>-46.629346327277432</v>
      </c>
      <c r="AC382">
        <v>1</v>
      </c>
      <c r="AD382">
        <f t="shared" si="281"/>
        <v>788.35628613923996</v>
      </c>
      <c r="AE382">
        <f t="shared" si="282"/>
        <v>-0.74895236058877934</v>
      </c>
      <c r="AF382">
        <f t="shared" si="283"/>
        <v>0.20678716804535999</v>
      </c>
      <c r="AG382">
        <f t="shared" si="315"/>
        <v>268.8016331140206</v>
      </c>
      <c r="AH382">
        <f t="shared" si="316"/>
        <v>-978.39541768125912</v>
      </c>
      <c r="AJ382">
        <f t="shared" si="284"/>
        <v>18000</v>
      </c>
      <c r="AK382">
        <f t="shared" si="285"/>
        <v>59623.105665513605</v>
      </c>
      <c r="AL382">
        <v>1</v>
      </c>
      <c r="AM382">
        <f t="shared" si="286"/>
        <v>117.31450884239521</v>
      </c>
      <c r="AN382">
        <f t="shared" si="317"/>
        <v>509.50387043514252</v>
      </c>
      <c r="AO382">
        <f t="shared" si="318"/>
        <v>-149.09064788450215</v>
      </c>
      <c r="AQ382">
        <f t="shared" si="287"/>
        <v>3.5430826448828497E-3</v>
      </c>
      <c r="AR382">
        <f t="shared" si="288"/>
        <v>-5.9523788434031877</v>
      </c>
      <c r="AT382">
        <f t="shared" si="313"/>
        <v>-5822.8277982873497</v>
      </c>
      <c r="AU382">
        <f t="shared" si="314"/>
        <v>-1603.4756898443413</v>
      </c>
      <c r="AV382">
        <f t="shared" si="302"/>
        <v>-2.8728755293444572</v>
      </c>
      <c r="AW382">
        <f t="shared" si="303"/>
        <v>-109.99515988249057</v>
      </c>
      <c r="AX382">
        <f t="shared" si="304"/>
        <v>-4321.5979668379314</v>
      </c>
      <c r="AY382">
        <f t="shared" si="312"/>
        <v>-1.5962432604007029</v>
      </c>
      <c r="BA382">
        <f t="shared" si="289"/>
        <v>1.397080202813656</v>
      </c>
      <c r="BB382">
        <f t="shared" si="305"/>
        <v>2.9044267713829504</v>
      </c>
      <c r="BC382">
        <f t="shared" si="306"/>
        <v>-1.2766322689437544</v>
      </c>
      <c r="BD382">
        <f t="shared" si="290"/>
        <v>-253.14564108426845</v>
      </c>
      <c r="BF382">
        <f t="shared" si="291"/>
        <v>-51.49093753841197</v>
      </c>
      <c r="BG382">
        <f t="shared" si="292"/>
        <v>-241.44773252433819</v>
      </c>
      <c r="BH382">
        <f t="shared" si="307"/>
        <v>-61.447732524338193</v>
      </c>
      <c r="BI382">
        <f t="shared" si="308"/>
        <v>-61.447732524338193</v>
      </c>
      <c r="BJ382">
        <f t="shared" si="293"/>
        <v>0</v>
      </c>
      <c r="BK382">
        <f t="shared" si="309"/>
        <v>0</v>
      </c>
      <c r="BM382">
        <f t="shared" si="310"/>
        <v>-54.395364309794928</v>
      </c>
      <c r="BN382">
        <f t="shared" si="294"/>
        <v>-168.30209144006974</v>
      </c>
      <c r="BQ382" s="56">
        <f t="shared" si="311"/>
        <v>19.806387571668086</v>
      </c>
      <c r="BR382" s="59"/>
      <c r="BS382" s="59"/>
      <c r="BT382" s="59">
        <v>524807.46</v>
      </c>
      <c r="BU382" s="59">
        <v>11.9579</v>
      </c>
      <c r="BV382" s="59">
        <v>122.795</v>
      </c>
      <c r="BY382" s="59"/>
      <c r="BZ382" s="59"/>
      <c r="CA382" s="59"/>
      <c r="CC382" s="59"/>
    </row>
    <row r="383" spans="1:81" x14ac:dyDescent="0.2">
      <c r="A383">
        <f t="shared" si="319"/>
        <v>845000</v>
      </c>
      <c r="B383">
        <f t="shared" si="295"/>
        <v>845</v>
      </c>
      <c r="C383">
        <f t="shared" si="264"/>
        <v>1.0205712852112534</v>
      </c>
      <c r="D383">
        <f t="shared" si="265"/>
        <v>0.20112045461192313</v>
      </c>
      <c r="F383">
        <f t="shared" si="266"/>
        <v>1.2309601929665976E-4</v>
      </c>
      <c r="G383">
        <f t="shared" si="267"/>
        <v>4.1801791277831929E-3</v>
      </c>
      <c r="H383">
        <f t="shared" si="268"/>
        <v>-3.1374124708722171</v>
      </c>
      <c r="J383">
        <f t="shared" si="269"/>
        <v>15</v>
      </c>
      <c r="M383">
        <f t="shared" si="270"/>
        <v>2.6707084863930895E-4</v>
      </c>
      <c r="N383">
        <f t="shared" si="271"/>
        <v>-1.5707963250000001</v>
      </c>
      <c r="O383">
        <f t="shared" si="272"/>
        <v>793.04951355845367</v>
      </c>
      <c r="P383">
        <f t="shared" si="273"/>
        <v>1.5695353711447071</v>
      </c>
      <c r="Q383">
        <f t="shared" si="274"/>
        <v>118.01704624242196</v>
      </c>
      <c r="R383">
        <f t="shared" si="275"/>
        <v>1.5623228731836662</v>
      </c>
      <c r="S383">
        <f t="shared" si="276"/>
        <v>0.2874445555570313</v>
      </c>
      <c r="T383">
        <f t="shared" si="277"/>
        <v>-1.2792386043555928</v>
      </c>
      <c r="U383">
        <f t="shared" si="278"/>
        <v>0.26467963575942854</v>
      </c>
      <c r="V383">
        <f t="shared" si="279"/>
        <v>-1.3029246317495489</v>
      </c>
      <c r="X383">
        <f t="shared" si="296"/>
        <v>-48.913504828780219</v>
      </c>
      <c r="Y383">
        <f t="shared" si="280"/>
        <v>-226.74193611532391</v>
      </c>
      <c r="Z383">
        <f t="shared" si="297"/>
        <v>-46.741936115323909</v>
      </c>
      <c r="AC383">
        <v>1</v>
      </c>
      <c r="AD383">
        <f t="shared" si="281"/>
        <v>793.04888308054501</v>
      </c>
      <c r="AE383">
        <f t="shared" si="282"/>
        <v>-0.75789499613010647</v>
      </c>
      <c r="AF383">
        <f t="shared" si="283"/>
        <v>0.20801804404563001</v>
      </c>
      <c r="AG383">
        <f t="shared" si="315"/>
        <v>265.85215271936306</v>
      </c>
      <c r="AH383">
        <f t="shared" si="316"/>
        <v>-973.41563413607128</v>
      </c>
      <c r="AJ383">
        <f t="shared" si="284"/>
        <v>18000</v>
      </c>
      <c r="AK383">
        <f t="shared" si="285"/>
        <v>59978.005103998796</v>
      </c>
      <c r="AL383">
        <v>1</v>
      </c>
      <c r="AM383">
        <f t="shared" si="286"/>
        <v>118.0128094902666</v>
      </c>
      <c r="AN383">
        <f t="shared" si="317"/>
        <v>509.48887621148879</v>
      </c>
      <c r="AO383">
        <f t="shared" si="318"/>
        <v>-148.20858175765304</v>
      </c>
      <c r="AQ383">
        <f t="shared" si="287"/>
        <v>3.5012767405634463E-3</v>
      </c>
      <c r="AR383">
        <f t="shared" si="288"/>
        <v>-5.9171576915522248</v>
      </c>
      <c r="AT383">
        <f t="shared" si="313"/>
        <v>-5758.922984646696</v>
      </c>
      <c r="AU383">
        <f t="shared" si="314"/>
        <v>-1576.4973077977972</v>
      </c>
      <c r="AV383">
        <f t="shared" si="302"/>
        <v>-2.8743901982873625</v>
      </c>
      <c r="AW383">
        <f t="shared" si="303"/>
        <v>-102.48236006691096</v>
      </c>
      <c r="AX383">
        <f t="shared" si="304"/>
        <v>-4296.7294240769552</v>
      </c>
      <c r="AY383">
        <f t="shared" si="312"/>
        <v>-1.5946430537182108</v>
      </c>
      <c r="BA383">
        <f t="shared" si="289"/>
        <v>1.3892216418677796</v>
      </c>
      <c r="BB383">
        <f t="shared" si="305"/>
        <v>2.8554308062001215</v>
      </c>
      <c r="BC383">
        <f t="shared" si="306"/>
        <v>-1.2797471445691517</v>
      </c>
      <c r="BD383">
        <f t="shared" si="290"/>
        <v>-253.32411031151582</v>
      </c>
      <c r="BF383">
        <f t="shared" si="291"/>
        <v>-51.640996938316526</v>
      </c>
      <c r="BG383">
        <f t="shared" si="292"/>
        <v>-241.56125045342853</v>
      </c>
      <c r="BH383">
        <f t="shared" si="307"/>
        <v>-61.561250453428528</v>
      </c>
      <c r="BI383">
        <f t="shared" si="308"/>
        <v>-61.561250453428528</v>
      </c>
      <c r="BJ383">
        <f t="shared" si="293"/>
        <v>0</v>
      </c>
      <c r="BK383">
        <f t="shared" si="309"/>
        <v>0</v>
      </c>
      <c r="BM383">
        <f t="shared" si="310"/>
        <v>-54.496427744516652</v>
      </c>
      <c r="BN383">
        <f t="shared" si="294"/>
        <v>-168.23714014191268</v>
      </c>
      <c r="BQ383" s="56">
        <f t="shared" si="311"/>
        <v>19.75739160648526</v>
      </c>
      <c r="BR383" s="59"/>
      <c r="BS383" s="59"/>
      <c r="BT383" s="59">
        <v>537031.79599999997</v>
      </c>
      <c r="BU383" s="59">
        <v>11.690200000000001</v>
      </c>
      <c r="BV383" s="59">
        <v>121.76300000000001</v>
      </c>
      <c r="BY383" s="59"/>
      <c r="BZ383" s="59"/>
      <c r="CA383" s="59"/>
      <c r="CC383" s="59"/>
    </row>
    <row r="384" spans="1:81" x14ac:dyDescent="0.2">
      <c r="A384">
        <f t="shared" si="319"/>
        <v>850000</v>
      </c>
      <c r="B384">
        <f t="shared" si="295"/>
        <v>850</v>
      </c>
      <c r="C384">
        <f t="shared" si="264"/>
        <v>1.0208129632188592</v>
      </c>
      <c r="D384">
        <f t="shared" si="265"/>
        <v>0.20227840958510801</v>
      </c>
      <c r="F384">
        <f t="shared" si="266"/>
        <v>1.2165192532275594E-4</v>
      </c>
      <c r="G384">
        <f t="shared" si="267"/>
        <v>4.1555840642398629E-3</v>
      </c>
      <c r="H384">
        <f t="shared" si="268"/>
        <v>-3.1374370659357602</v>
      </c>
      <c r="J384">
        <f t="shared" si="269"/>
        <v>15</v>
      </c>
      <c r="M384">
        <f t="shared" si="270"/>
        <v>2.6549984364731302E-4</v>
      </c>
      <c r="N384">
        <f t="shared" si="271"/>
        <v>-1.5707963250000001</v>
      </c>
      <c r="O384">
        <f t="shared" si="272"/>
        <v>797.74210679106795</v>
      </c>
      <c r="P384">
        <f t="shared" si="273"/>
        <v>1.5695427885230915</v>
      </c>
      <c r="Q384">
        <f t="shared" si="274"/>
        <v>118.71532196910866</v>
      </c>
      <c r="R384">
        <f t="shared" si="275"/>
        <v>1.5623727146636419</v>
      </c>
      <c r="S384">
        <f t="shared" si="276"/>
        <v>0.28589228113761167</v>
      </c>
      <c r="T384">
        <f t="shared" si="277"/>
        <v>-1.2808588822771723</v>
      </c>
      <c r="U384">
        <f t="shared" si="278"/>
        <v>0.26323087473650791</v>
      </c>
      <c r="V384">
        <f t="shared" si="279"/>
        <v>-1.3044266625737806</v>
      </c>
      <c r="X384">
        <f t="shared" si="296"/>
        <v>-49.057415215045793</v>
      </c>
      <c r="Y384">
        <f t="shared" si="280"/>
        <v>-226.85261379850658</v>
      </c>
      <c r="Z384">
        <f t="shared" si="297"/>
        <v>-46.852613798506582</v>
      </c>
      <c r="AC384">
        <v>1</v>
      </c>
      <c r="AD384">
        <f t="shared" si="281"/>
        <v>797.74148002184995</v>
      </c>
      <c r="AE384">
        <f t="shared" si="282"/>
        <v>-0.76689070369245038</v>
      </c>
      <c r="AF384">
        <f t="shared" si="283"/>
        <v>0.20924892004590001</v>
      </c>
      <c r="AG384">
        <f t="shared" si="315"/>
        <v>262.94975992787391</v>
      </c>
      <c r="AH384">
        <f t="shared" si="316"/>
        <v>-968.4815882557233</v>
      </c>
      <c r="AJ384">
        <f t="shared" si="284"/>
        <v>18000</v>
      </c>
      <c r="AK384">
        <f t="shared" si="285"/>
        <v>60332.904542483993</v>
      </c>
      <c r="AL384">
        <v>1</v>
      </c>
      <c r="AM384">
        <f t="shared" si="286"/>
        <v>118.71111013813801</v>
      </c>
      <c r="AN384">
        <f t="shared" si="317"/>
        <v>509.47414578773129</v>
      </c>
      <c r="AO384">
        <f t="shared" si="318"/>
        <v>-147.33689065715453</v>
      </c>
      <c r="AQ384">
        <f t="shared" si="287"/>
        <v>3.4602064151534897E-3</v>
      </c>
      <c r="AR384">
        <f t="shared" si="288"/>
        <v>-5.8823509057609327</v>
      </c>
      <c r="AT384">
        <f t="shared" si="313"/>
        <v>-5696.0386874426758</v>
      </c>
      <c r="AU384">
        <f t="shared" si="314"/>
        <v>-1550.1139046859896</v>
      </c>
      <c r="AV384">
        <f t="shared" si="302"/>
        <v>-2.8758882924142117</v>
      </c>
      <c r="AW384">
        <f t="shared" si="303"/>
        <v>-95.106468470357456</v>
      </c>
      <c r="AX384">
        <f t="shared" si="304"/>
        <v>-4272.1424478083954</v>
      </c>
      <c r="AY384">
        <f t="shared" si="312"/>
        <v>-1.5930546580207727</v>
      </c>
      <c r="BA384">
        <f t="shared" si="289"/>
        <v>1.3814456557688768</v>
      </c>
      <c r="BB384">
        <f t="shared" si="305"/>
        <v>2.8066761004481018</v>
      </c>
      <c r="BC384">
        <f t="shared" si="306"/>
        <v>-1.282833634393439</v>
      </c>
      <c r="BD384">
        <f t="shared" si="290"/>
        <v>-253.50095315215964</v>
      </c>
      <c r="BF384">
        <f t="shared" si="291"/>
        <v>-51.790195455252473</v>
      </c>
      <c r="BG384">
        <f t="shared" si="292"/>
        <v>-241.67315655450633</v>
      </c>
      <c r="BH384">
        <f t="shared" si="307"/>
        <v>-61.673156554506335</v>
      </c>
      <c r="BI384">
        <f t="shared" si="308"/>
        <v>-61.673156554506335</v>
      </c>
      <c r="BJ384">
        <f t="shared" si="293"/>
        <v>0</v>
      </c>
      <c r="BK384">
        <f t="shared" si="309"/>
        <v>0</v>
      </c>
      <c r="BM384">
        <f t="shared" si="310"/>
        <v>-54.596871555700581</v>
      </c>
      <c r="BN384">
        <f t="shared" si="294"/>
        <v>-168.1722034023467</v>
      </c>
      <c r="BQ384" s="56">
        <f t="shared" si="311"/>
        <v>19.708636900733239</v>
      </c>
      <c r="BR384" s="59"/>
      <c r="BS384" s="59"/>
      <c r="BT384" s="59">
        <v>549540.87399999995</v>
      </c>
      <c r="BU384" s="59">
        <v>11.575799999999999</v>
      </c>
      <c r="BV384" s="59">
        <v>121.762</v>
      </c>
      <c r="BY384" s="59"/>
      <c r="BZ384" s="59"/>
      <c r="CA384" s="59"/>
      <c r="CC384" s="59"/>
    </row>
    <row r="385" spans="1:81" x14ac:dyDescent="0.2">
      <c r="A385">
        <f t="shared" si="319"/>
        <v>855000</v>
      </c>
      <c r="B385">
        <f t="shared" si="295"/>
        <v>855</v>
      </c>
      <c r="C385">
        <f t="shared" si="264"/>
        <v>1.0210560093444205</v>
      </c>
      <c r="D385">
        <f t="shared" si="265"/>
        <v>0.20343581484410855</v>
      </c>
      <c r="F385">
        <f t="shared" si="266"/>
        <v>1.2023309599165989E-4</v>
      </c>
      <c r="G385">
        <f t="shared" si="267"/>
        <v>4.1312767626939936E-3</v>
      </c>
      <c r="H385">
        <f t="shared" si="268"/>
        <v>-3.137461373237306</v>
      </c>
      <c r="J385">
        <f t="shared" si="269"/>
        <v>15</v>
      </c>
      <c r="M385">
        <f t="shared" si="270"/>
        <v>2.6394721298270889E-4</v>
      </c>
      <c r="N385">
        <f t="shared" si="271"/>
        <v>-1.5707963250000001</v>
      </c>
      <c r="O385">
        <f t="shared" si="272"/>
        <v>802.43470006705877</v>
      </c>
      <c r="P385">
        <f t="shared" si="273"/>
        <v>1.5695501191486478</v>
      </c>
      <c r="Q385">
        <f t="shared" si="274"/>
        <v>119.4135979872558</v>
      </c>
      <c r="R385">
        <f t="shared" si="275"/>
        <v>1.5624219732434532</v>
      </c>
      <c r="S385">
        <f t="shared" si="276"/>
        <v>0.28435594749569915</v>
      </c>
      <c r="T385">
        <f t="shared" si="277"/>
        <v>-1.2824617502055464</v>
      </c>
      <c r="U385">
        <f t="shared" si="278"/>
        <v>0.26179730633844545</v>
      </c>
      <c r="V385">
        <f t="shared" si="279"/>
        <v>-1.3059123364507679</v>
      </c>
      <c r="X385">
        <f t="shared" si="296"/>
        <v>-49.200541789837409</v>
      </c>
      <c r="Y385">
        <f t="shared" si="280"/>
        <v>-226.96141015555719</v>
      </c>
      <c r="Z385">
        <f t="shared" si="297"/>
        <v>-46.961410155557189</v>
      </c>
      <c r="AC385">
        <v>1</v>
      </c>
      <c r="AD385">
        <f t="shared" si="281"/>
        <v>802.43407696315501</v>
      </c>
      <c r="AE385">
        <f t="shared" si="282"/>
        <v>-0.77593948327581097</v>
      </c>
      <c r="AF385">
        <f t="shared" si="283"/>
        <v>0.21047979604617001</v>
      </c>
      <c r="AG385">
        <f t="shared" si="315"/>
        <v>260.09348400900461</v>
      </c>
      <c r="AH385">
        <f t="shared" si="316"/>
        <v>-963.59274094347438</v>
      </c>
      <c r="AJ385">
        <f t="shared" si="284"/>
        <v>18000</v>
      </c>
      <c r="AK385">
        <f t="shared" si="285"/>
        <v>60687.803980969198</v>
      </c>
      <c r="AL385">
        <v>1</v>
      </c>
      <c r="AM385">
        <f t="shared" si="286"/>
        <v>119.40941078600942</v>
      </c>
      <c r="AN385">
        <f t="shared" si="317"/>
        <v>509.45967301191439</v>
      </c>
      <c r="AO385">
        <f t="shared" si="318"/>
        <v>-146.47539261652031</v>
      </c>
      <c r="AQ385">
        <f t="shared" si="287"/>
        <v>3.4198545125493271E-3</v>
      </c>
      <c r="AR385">
        <f t="shared" si="288"/>
        <v>-5.8479512164593492</v>
      </c>
      <c r="AT385">
        <f t="shared" si="313"/>
        <v>-5634.1538596968167</v>
      </c>
      <c r="AU385">
        <f t="shared" si="314"/>
        <v>-1524.3093531869843</v>
      </c>
      <c r="AV385">
        <f t="shared" si="302"/>
        <v>-2.8773700756369394</v>
      </c>
      <c r="AW385">
        <f t="shared" si="303"/>
        <v>-87.864166844008537</v>
      </c>
      <c r="AX385">
        <f t="shared" si="304"/>
        <v>-4247.8323193549204</v>
      </c>
      <c r="AY385">
        <f t="shared" si="312"/>
        <v>-1.5914778491897679</v>
      </c>
      <c r="BA385">
        <f t="shared" si="289"/>
        <v>1.3737510100663928</v>
      </c>
      <c r="BB385">
        <f t="shared" si="305"/>
        <v>2.7581604950345717</v>
      </c>
      <c r="BC385">
        <f t="shared" si="306"/>
        <v>-1.2858922264471715</v>
      </c>
      <c r="BD385">
        <f t="shared" si="290"/>
        <v>-253.676197568291</v>
      </c>
      <c r="BF385">
        <f t="shared" si="291"/>
        <v>-51.938542404445599</v>
      </c>
      <c r="BG385">
        <f t="shared" si="292"/>
        <v>-241.78347923982645</v>
      </c>
      <c r="BH385">
        <f t="shared" si="307"/>
        <v>-61.783479239826448</v>
      </c>
      <c r="BI385">
        <f t="shared" si="308"/>
        <v>-61.783479239826448</v>
      </c>
      <c r="BJ385">
        <f t="shared" si="293"/>
        <v>0</v>
      </c>
      <c r="BK385">
        <f t="shared" si="309"/>
        <v>0</v>
      </c>
      <c r="BM385">
        <f t="shared" si="310"/>
        <v>-54.696702899480172</v>
      </c>
      <c r="BN385">
        <f t="shared" si="294"/>
        <v>-168.10728167153545</v>
      </c>
      <c r="BQ385" s="56">
        <f t="shared" si="311"/>
        <v>19.660121295319708</v>
      </c>
      <c r="BR385" s="59"/>
      <c r="BS385" s="59"/>
      <c r="BT385" s="59">
        <v>562341.32499999995</v>
      </c>
      <c r="BU385" s="59">
        <v>11.314</v>
      </c>
      <c r="BV385" s="59">
        <v>119.89400000000001</v>
      </c>
      <c r="BY385" s="59"/>
      <c r="BZ385" s="59"/>
      <c r="CA385" s="59"/>
      <c r="CC385" s="59"/>
    </row>
    <row r="386" spans="1:81" x14ac:dyDescent="0.2">
      <c r="A386">
        <f t="shared" si="319"/>
        <v>860000</v>
      </c>
      <c r="B386">
        <f t="shared" si="295"/>
        <v>860</v>
      </c>
      <c r="C386">
        <f t="shared" si="264"/>
        <v>1.0213004226111948</v>
      </c>
      <c r="D386">
        <f t="shared" si="265"/>
        <v>0.20459266768160461</v>
      </c>
      <c r="F386">
        <f t="shared" si="266"/>
        <v>1.1883894535532201E-4</v>
      </c>
      <c r="G386">
        <f t="shared" si="267"/>
        <v>4.1072522017251874E-3</v>
      </c>
      <c r="H386">
        <f t="shared" si="268"/>
        <v>-3.1374853977982751</v>
      </c>
      <c r="J386">
        <f t="shared" si="269"/>
        <v>15</v>
      </c>
      <c r="M386">
        <f t="shared" si="270"/>
        <v>2.6241263616304196E-4</v>
      </c>
      <c r="N386">
        <f t="shared" si="271"/>
        <v>-1.5707963250000001</v>
      </c>
      <c r="O386">
        <f t="shared" si="272"/>
        <v>807.12729338566942</v>
      </c>
      <c r="P386">
        <f t="shared" si="273"/>
        <v>1.5695573645345036</v>
      </c>
      <c r="Q386">
        <f t="shared" si="274"/>
        <v>120.1118742917801</v>
      </c>
      <c r="R386">
        <f t="shared" si="275"/>
        <v>1.5624706590890158</v>
      </c>
      <c r="S386">
        <f t="shared" si="276"/>
        <v>0.28283532251173854</v>
      </c>
      <c r="T386">
        <f t="shared" si="277"/>
        <v>-1.2840474791434957</v>
      </c>
      <c r="U386">
        <f t="shared" si="278"/>
        <v>0.26037870252349909</v>
      </c>
      <c r="V386">
        <f t="shared" si="279"/>
        <v>-1.307381912668919</v>
      </c>
      <c r="X386">
        <f t="shared" si="296"/>
        <v>-49.342892278070103</v>
      </c>
      <c r="Y386">
        <f t="shared" si="280"/>
        <v>-227.06835534358723</v>
      </c>
      <c r="Z386">
        <f t="shared" si="297"/>
        <v>-47.068355343587228</v>
      </c>
      <c r="AC386">
        <v>1</v>
      </c>
      <c r="AD386">
        <f t="shared" si="281"/>
        <v>807.12667390445995</v>
      </c>
      <c r="AE386">
        <f t="shared" si="282"/>
        <v>-0.78504133488018846</v>
      </c>
      <c r="AF386">
        <f t="shared" si="283"/>
        <v>0.21171067204644001</v>
      </c>
      <c r="AG386">
        <f t="shared" si="315"/>
        <v>257.28237839408064</v>
      </c>
      <c r="AH386">
        <f t="shared" si="316"/>
        <v>-958.74855912372027</v>
      </c>
      <c r="AJ386">
        <f t="shared" si="284"/>
        <v>18000</v>
      </c>
      <c r="AK386">
        <f t="shared" si="285"/>
        <v>61042.703419454403</v>
      </c>
      <c r="AL386">
        <v>1</v>
      </c>
      <c r="AM386">
        <f t="shared" si="286"/>
        <v>120.10771143388082</v>
      </c>
      <c r="AN386">
        <f t="shared" si="317"/>
        <v>509.4454519103719</v>
      </c>
      <c r="AO386">
        <f t="shared" si="318"/>
        <v>-145.62390989955844</v>
      </c>
      <c r="AQ386">
        <f t="shared" si="287"/>
        <v>3.3802043739168557E-3</v>
      </c>
      <c r="AR386">
        <f t="shared" si="288"/>
        <v>-5.8139515231369918</v>
      </c>
      <c r="AT386">
        <f t="shared" si="313"/>
        <v>-5573.2479786019703</v>
      </c>
      <c r="AU386">
        <f t="shared" si="314"/>
        <v>-1499.0680418136094</v>
      </c>
      <c r="AV386">
        <f t="shared" si="302"/>
        <v>-2.878835806440879</v>
      </c>
      <c r="AW386">
        <f t="shared" si="303"/>
        <v>-80.752237016475036</v>
      </c>
      <c r="AX386">
        <f t="shared" si="304"/>
        <v>-4223.7944244610417</v>
      </c>
      <c r="AY386">
        <f t="shared" si="312"/>
        <v>-1.5899124087767427</v>
      </c>
      <c r="BA386">
        <f t="shared" si="289"/>
        <v>1.3661364928952244</v>
      </c>
      <c r="BB386">
        <f t="shared" si="305"/>
        <v>2.7098818514758771</v>
      </c>
      <c r="BC386">
        <f t="shared" si="306"/>
        <v>-1.2889233976641363</v>
      </c>
      <c r="BD386">
        <f t="shared" si="290"/>
        <v>-253.84987088620306</v>
      </c>
      <c r="BF386">
        <f t="shared" si="291"/>
        <v>-52.086046955630465</v>
      </c>
      <c r="BG386">
        <f t="shared" si="292"/>
        <v>-241.89224627850626</v>
      </c>
      <c r="BH386">
        <f t="shared" si="307"/>
        <v>-61.892246278506263</v>
      </c>
      <c r="BI386">
        <f t="shared" si="308"/>
        <v>-61.892246278506263</v>
      </c>
      <c r="BJ386">
        <f t="shared" si="293"/>
        <v>0</v>
      </c>
      <c r="BK386">
        <f t="shared" si="309"/>
        <v>0</v>
      </c>
      <c r="BM386">
        <f t="shared" si="310"/>
        <v>-54.795928807106343</v>
      </c>
      <c r="BN386">
        <f t="shared" si="294"/>
        <v>-168.04237539230323</v>
      </c>
      <c r="BQ386" s="56">
        <f t="shared" si="311"/>
        <v>19.611842651761012</v>
      </c>
      <c r="BR386" s="59"/>
      <c r="BS386" s="59"/>
      <c r="BT386" s="59">
        <v>575439.93700000003</v>
      </c>
      <c r="BU386" s="59">
        <v>11.0791</v>
      </c>
      <c r="BV386" s="59">
        <v>119.196</v>
      </c>
      <c r="BY386" s="59"/>
      <c r="BZ386" s="59"/>
      <c r="CA386" s="59"/>
      <c r="CC386" s="59"/>
    </row>
    <row r="387" spans="1:81" x14ac:dyDescent="0.2">
      <c r="A387">
        <f t="shared" si="319"/>
        <v>865000</v>
      </c>
      <c r="B387">
        <f t="shared" si="295"/>
        <v>865</v>
      </c>
      <c r="C387">
        <f t="shared" si="264"/>
        <v>1.0215462020378829</v>
      </c>
      <c r="D387">
        <f t="shared" si="265"/>
        <v>0.20574896539877424</v>
      </c>
      <c r="F387">
        <f t="shared" si="266"/>
        <v>1.1746890435527549E-4</v>
      </c>
      <c r="G387">
        <f t="shared" si="267"/>
        <v>4.0835054760816197E-3</v>
      </c>
      <c r="H387">
        <f t="shared" si="268"/>
        <v>-3.1375091445239187</v>
      </c>
      <c r="J387">
        <f t="shared" si="269"/>
        <v>15</v>
      </c>
      <c r="M387">
        <f t="shared" si="270"/>
        <v>2.6089580011585674E-4</v>
      </c>
      <c r="N387">
        <f t="shared" si="271"/>
        <v>-1.5707963250000001</v>
      </c>
      <c r="O387">
        <f t="shared" si="272"/>
        <v>811.81988674616093</v>
      </c>
      <c r="P387">
        <f t="shared" si="273"/>
        <v>1.5695645261588012</v>
      </c>
      <c r="Q387">
        <f t="shared" si="274"/>
        <v>120.81015087771583</v>
      </c>
      <c r="R387">
        <f t="shared" si="275"/>
        <v>1.5625187821312221</v>
      </c>
      <c r="S387">
        <f t="shared" si="276"/>
        <v>0.28133017827623802</v>
      </c>
      <c r="T387">
        <f t="shared" si="277"/>
        <v>-1.2856163346739753</v>
      </c>
      <c r="U387">
        <f t="shared" si="278"/>
        <v>0.25897483957211087</v>
      </c>
      <c r="V387">
        <f t="shared" si="279"/>
        <v>-1.3088356452062004</v>
      </c>
      <c r="X387">
        <f t="shared" si="296"/>
        <v>-49.484474296838926</v>
      </c>
      <c r="Y387">
        <f t="shared" si="280"/>
        <v>-227.17347891323641</v>
      </c>
      <c r="Z387">
        <f t="shared" si="297"/>
        <v>-47.173478913236409</v>
      </c>
      <c r="AC387">
        <v>1</v>
      </c>
      <c r="AD387">
        <f t="shared" si="281"/>
        <v>811.819270845765</v>
      </c>
      <c r="AE387">
        <f t="shared" si="282"/>
        <v>-0.79419625850558284</v>
      </c>
      <c r="AF387">
        <f t="shared" si="283"/>
        <v>0.21294154804670998</v>
      </c>
      <c r="AG387">
        <f t="shared" si="315"/>
        <v>254.51551998228027</v>
      </c>
      <c r="AH387">
        <f t="shared" si="316"/>
        <v>-953.94851575405551</v>
      </c>
      <c r="AJ387">
        <f t="shared" si="284"/>
        <v>18000</v>
      </c>
      <c r="AK387">
        <f t="shared" si="285"/>
        <v>61397.602857939601</v>
      </c>
      <c r="AL387">
        <v>1</v>
      </c>
      <c r="AM387">
        <f t="shared" si="286"/>
        <v>120.8060120817522</v>
      </c>
      <c r="AN387">
        <f t="shared" si="317"/>
        <v>509.43147668156291</v>
      </c>
      <c r="AO387">
        <f t="shared" si="318"/>
        <v>-144.78226887815953</v>
      </c>
      <c r="AQ387">
        <f t="shared" si="287"/>
        <v>3.3412398204952318E-3</v>
      </c>
      <c r="AR387">
        <f t="shared" si="288"/>
        <v>-5.7803448894567513</v>
      </c>
      <c r="AT387">
        <f t="shared" si="313"/>
        <v>-5513.3010304535092</v>
      </c>
      <c r="AU387">
        <f t="shared" si="314"/>
        <v>-1474.3748559845412</v>
      </c>
      <c r="AV387">
        <f t="shared" si="302"/>
        <v>-2.8802857380194897</v>
      </c>
      <c r="AW387">
        <f t="shared" si="303"/>
        <v>-73.767557294261195</v>
      </c>
      <c r="AX387">
        <f t="shared" si="304"/>
        <v>-4200.0242504204989</v>
      </c>
      <c r="AY387">
        <f t="shared" si="312"/>
        <v>-1.5883581238285787</v>
      </c>
      <c r="BA387">
        <f t="shared" si="289"/>
        <v>1.3586009145307654</v>
      </c>
      <c r="BB387">
        <f t="shared" si="305"/>
        <v>2.661838051929601</v>
      </c>
      <c r="BC387">
        <f t="shared" si="306"/>
        <v>-1.2919276141909111</v>
      </c>
      <c r="BD387">
        <f t="shared" si="290"/>
        <v>-254.02199981412738</v>
      </c>
      <c r="BF387">
        <f t="shared" si="291"/>
        <v>-52.232718135916478</v>
      </c>
      <c r="BG387">
        <f t="shared" si="292"/>
        <v>-241.99948481445864</v>
      </c>
      <c r="BH387">
        <f t="shared" si="307"/>
        <v>-61.99948481445864</v>
      </c>
      <c r="BI387">
        <f t="shared" si="308"/>
        <v>-61.99948481445864</v>
      </c>
      <c r="BJ387">
        <f t="shared" si="293"/>
        <v>0</v>
      </c>
      <c r="BK387">
        <f t="shared" si="309"/>
        <v>0</v>
      </c>
      <c r="BM387">
        <f t="shared" si="310"/>
        <v>-54.894556187846078</v>
      </c>
      <c r="BN387">
        <f t="shared" si="294"/>
        <v>-167.97748500033128</v>
      </c>
      <c r="BQ387" s="56">
        <f t="shared" si="311"/>
        <v>19.563798852214738</v>
      </c>
      <c r="BR387" s="59"/>
      <c r="BS387" s="59"/>
      <c r="BT387" s="59">
        <v>588843.65500000003</v>
      </c>
      <c r="BU387" s="59">
        <v>10.8666</v>
      </c>
      <c r="BV387" s="59">
        <v>116.889</v>
      </c>
      <c r="BY387" s="59"/>
      <c r="BZ387" s="59"/>
      <c r="CA387" s="59"/>
      <c r="CC387" s="59"/>
    </row>
    <row r="388" spans="1:81" x14ac:dyDescent="0.2">
      <c r="A388">
        <f t="shared" si="319"/>
        <v>870000</v>
      </c>
      <c r="B388">
        <f t="shared" si="295"/>
        <v>870</v>
      </c>
      <c r="C388">
        <f t="shared" si="264"/>
        <v>1.0217933466386477</v>
      </c>
      <c r="D388">
        <f t="shared" si="265"/>
        <v>0.20690470530532259</v>
      </c>
      <c r="F388">
        <f t="shared" si="266"/>
        <v>1.161224202417678E-4</v>
      </c>
      <c r="G388">
        <f t="shared" si="267"/>
        <v>4.060031793339588E-3</v>
      </c>
      <c r="H388">
        <f t="shared" si="268"/>
        <v>-3.1375326182066607</v>
      </c>
      <c r="J388">
        <f t="shared" si="269"/>
        <v>15</v>
      </c>
      <c r="M388">
        <f t="shared" si="270"/>
        <v>2.593963989657656E-4</v>
      </c>
      <c r="N388">
        <f t="shared" si="271"/>
        <v>-1.5707963250000001</v>
      </c>
      <c r="O388">
        <f t="shared" si="272"/>
        <v>816.51248014781106</v>
      </c>
      <c r="P388">
        <f t="shared" si="273"/>
        <v>1.5695716054657023</v>
      </c>
      <c r="Q388">
        <f t="shared" si="274"/>
        <v>121.5084277402114</v>
      </c>
      <c r="R388">
        <f t="shared" si="275"/>
        <v>1.562566352072694</v>
      </c>
      <c r="S388">
        <f t="shared" si="276"/>
        <v>0.27984029100272595</v>
      </c>
      <c r="T388">
        <f t="shared" si="277"/>
        <v>-1.2871685770901551</v>
      </c>
      <c r="U388">
        <f t="shared" si="278"/>
        <v>0.25758549799130648</v>
      </c>
      <c r="V388">
        <f t="shared" si="279"/>
        <v>-1.3102737828615389</v>
      </c>
      <c r="X388">
        <f t="shared" si="296"/>
        <v>-49.625295357272776</v>
      </c>
      <c r="Y388">
        <f t="shared" si="280"/>
        <v>-227.2768098233978</v>
      </c>
      <c r="Z388">
        <f t="shared" si="297"/>
        <v>-47.276809823397798</v>
      </c>
      <c r="AC388">
        <v>1</v>
      </c>
      <c r="AD388">
        <f t="shared" si="281"/>
        <v>816.51186778707006</v>
      </c>
      <c r="AE388">
        <f t="shared" si="282"/>
        <v>-0.80340425415199401</v>
      </c>
      <c r="AF388">
        <f t="shared" si="283"/>
        <v>0.21417242404697998</v>
      </c>
      <c r="AG388">
        <f t="shared" si="315"/>
        <v>251.79200846881844</v>
      </c>
      <c r="AH388">
        <f t="shared" si="316"/>
        <v>-949.19208983099804</v>
      </c>
      <c r="AJ388">
        <f t="shared" si="284"/>
        <v>18000</v>
      </c>
      <c r="AK388">
        <f t="shared" si="285"/>
        <v>61752.502296424798</v>
      </c>
      <c r="AL388">
        <v>1</v>
      </c>
      <c r="AM388">
        <f t="shared" si="286"/>
        <v>121.50431272962361</v>
      </c>
      <c r="AN388">
        <f t="shared" si="317"/>
        <v>509.417741690154</v>
      </c>
      <c r="AO388">
        <f t="shared" si="318"/>
        <v>-143.95029991429695</v>
      </c>
      <c r="AQ388">
        <f t="shared" si="287"/>
        <v>3.3029451370903892E-3</v>
      </c>
      <c r="AR388">
        <f t="shared" si="288"/>
        <v>-5.7471245385372773</v>
      </c>
      <c r="AT388">
        <f t="shared" si="313"/>
        <v>-5454.2934960632783</v>
      </c>
      <c r="AU388">
        <f t="shared" si="314"/>
        <v>-1450.2151598760045</v>
      </c>
      <c r="AV388">
        <f t="shared" si="302"/>
        <v>-2.8817201184052266</v>
      </c>
      <c r="AW388">
        <f t="shared" si="303"/>
        <v>-66.907099012137536</v>
      </c>
      <c r="AX388">
        <f t="shared" si="304"/>
        <v>-4176.5173832983564</v>
      </c>
      <c r="AY388">
        <f t="shared" si="312"/>
        <v>-1.5868147867189464</v>
      </c>
      <c r="BA388">
        <f t="shared" si="289"/>
        <v>1.3511431069512079</v>
      </c>
      <c r="BB388">
        <f t="shared" si="305"/>
        <v>2.6140269992083787</v>
      </c>
      <c r="BC388">
        <f t="shared" si="306"/>
        <v>-1.2949053316862802</v>
      </c>
      <c r="BD388">
        <f t="shared" si="290"/>
        <v>-254.19261045938924</v>
      </c>
      <c r="BF388">
        <f t="shared" si="291"/>
        <v>-52.378564832589248</v>
      </c>
      <c r="BG388">
        <f t="shared" si="292"/>
        <v>-242.10522138373705</v>
      </c>
      <c r="BH388">
        <f t="shared" si="307"/>
        <v>-62.105221383737046</v>
      </c>
      <c r="BI388">
        <f t="shared" si="308"/>
        <v>-62.105221383737046</v>
      </c>
      <c r="BJ388">
        <f t="shared" si="293"/>
        <v>0</v>
      </c>
      <c r="BK388">
        <f t="shared" si="309"/>
        <v>0</v>
      </c>
      <c r="BM388">
        <f t="shared" si="310"/>
        <v>-54.992591831797633</v>
      </c>
      <c r="BN388">
        <f t="shared" si="294"/>
        <v>-167.91261092434783</v>
      </c>
      <c r="BQ388" s="56">
        <f t="shared" si="311"/>
        <v>19.515987799493516</v>
      </c>
      <c r="BR388" s="59"/>
      <c r="BS388" s="59"/>
      <c r="BT388" s="59">
        <v>602559.58600000001</v>
      </c>
      <c r="BU388" s="59">
        <v>10.6013</v>
      </c>
      <c r="BV388" s="59">
        <v>117.324</v>
      </c>
      <c r="BY388" s="59"/>
      <c r="BZ388" s="59"/>
      <c r="CA388" s="59"/>
      <c r="CC388" s="59"/>
    </row>
    <row r="389" spans="1:81" x14ac:dyDescent="0.2">
      <c r="A389">
        <f t="shared" si="319"/>
        <v>875000</v>
      </c>
      <c r="B389">
        <f t="shared" si="295"/>
        <v>875</v>
      </c>
      <c r="C389">
        <f t="shared" si="264"/>
        <v>1.0220418554231323</v>
      </c>
      <c r="D389">
        <f t="shared" si="265"/>
        <v>0.20805988471951051</v>
      </c>
      <c r="F389">
        <f t="shared" si="266"/>
        <v>1.1479895601606645E-4</v>
      </c>
      <c r="G389">
        <f t="shared" si="267"/>
        <v>4.0368264706776916E-3</v>
      </c>
      <c r="H389">
        <f t="shared" si="268"/>
        <v>-3.1375558235293224</v>
      </c>
      <c r="J389">
        <f t="shared" si="269"/>
        <v>15</v>
      </c>
      <c r="M389">
        <f t="shared" si="270"/>
        <v>2.579141338288184E-4</v>
      </c>
      <c r="N389">
        <f t="shared" si="271"/>
        <v>-1.5707963250000001</v>
      </c>
      <c r="O389">
        <f t="shared" si="272"/>
        <v>821.20507358991449</v>
      </c>
      <c r="P389">
        <f t="shared" si="273"/>
        <v>1.5695786038663593</v>
      </c>
      <c r="Q389">
        <f t="shared" si="274"/>
        <v>122.20670487452611</v>
      </c>
      <c r="R389">
        <f t="shared" si="275"/>
        <v>1.5626133783943048</v>
      </c>
      <c r="S389">
        <f t="shared" si="276"/>
        <v>0.27836544094256793</v>
      </c>
      <c r="T389">
        <f t="shared" si="277"/>
        <v>-1.2887044615218903</v>
      </c>
      <c r="U389">
        <f t="shared" si="278"/>
        <v>0.25621046242139606</v>
      </c>
      <c r="V389">
        <f t="shared" si="279"/>
        <v>-1.3116965693824674</v>
      </c>
      <c r="X389">
        <f t="shared" si="296"/>
        <v>-49.765362866352532</v>
      </c>
      <c r="Y389">
        <f t="shared" si="280"/>
        <v>-227.37837645553154</v>
      </c>
      <c r="Z389">
        <f t="shared" si="297"/>
        <v>-47.378376455531537</v>
      </c>
      <c r="AC389">
        <v>1</v>
      </c>
      <c r="AD389">
        <f t="shared" si="281"/>
        <v>821.204464728375</v>
      </c>
      <c r="AE389">
        <f t="shared" si="282"/>
        <v>-0.81266532181942175</v>
      </c>
      <c r="AF389">
        <f t="shared" si="283"/>
        <v>0.21540330004725003</v>
      </c>
      <c r="AG389">
        <f t="shared" si="315"/>
        <v>249.11096569457223</v>
      </c>
      <c r="AH389">
        <f t="shared" si="316"/>
        <v>-944.47876638983632</v>
      </c>
      <c r="AJ389">
        <f t="shared" si="284"/>
        <v>18000</v>
      </c>
      <c r="AK389">
        <f t="shared" si="285"/>
        <v>62107.401734909996</v>
      </c>
      <c r="AL389">
        <v>1</v>
      </c>
      <c r="AM389">
        <f t="shared" si="286"/>
        <v>122.202613377495</v>
      </c>
      <c r="AN389">
        <f t="shared" si="317"/>
        <v>509.40424146133859</v>
      </c>
      <c r="AO389">
        <f t="shared" si="318"/>
        <v>-143.12783724607115</v>
      </c>
      <c r="AQ389">
        <f t="shared" si="287"/>
        <v>3.2653050562269203E-3</v>
      </c>
      <c r="AR389">
        <f t="shared" si="288"/>
        <v>-5.7142838483971108</v>
      </c>
      <c r="AT389">
        <f t="shared" si="313"/>
        <v>-5396.206336639626</v>
      </c>
      <c r="AU389">
        <f t="shared" si="314"/>
        <v>-1426.5747790184926</v>
      </c>
      <c r="AV389">
        <f t="shared" si="302"/>
        <v>-2.883139190596669</v>
      </c>
      <c r="AW389">
        <f t="shared" si="303"/>
        <v>-60.167923226345991</v>
      </c>
      <c r="AX389">
        <f t="shared" si="304"/>
        <v>-4153.269505244215</v>
      </c>
      <c r="AY389">
        <f t="shared" si="312"/>
        <v>-1.585282194985792</v>
      </c>
      <c r="BA389">
        <f t="shared" si="289"/>
        <v>1.3437619234071458</v>
      </c>
      <c r="BB389">
        <f t="shared" si="305"/>
        <v>2.5664466167761981</v>
      </c>
      <c r="BC389">
        <f t="shared" si="306"/>
        <v>-1.297856995610877</v>
      </c>
      <c r="BD389">
        <f t="shared" si="290"/>
        <v>-254.36172834500292</v>
      </c>
      <c r="BF389">
        <f t="shared" si="291"/>
        <v>-52.523595795848628</v>
      </c>
      <c r="BG389">
        <f t="shared" si="292"/>
        <v>-242.20948193131403</v>
      </c>
      <c r="BH389">
        <f t="shared" si="307"/>
        <v>-62.209481931314031</v>
      </c>
      <c r="BI389">
        <f t="shared" si="308"/>
        <v>-62.209481931314031</v>
      </c>
      <c r="BJ389">
        <f t="shared" si="293"/>
        <v>0</v>
      </c>
      <c r="BK389">
        <f t="shared" si="309"/>
        <v>0</v>
      </c>
      <c r="BM389">
        <f t="shared" si="310"/>
        <v>-55.090042412624825</v>
      </c>
      <c r="BN389">
        <f t="shared" si="294"/>
        <v>-167.84775358631111</v>
      </c>
      <c r="BQ389" s="56">
        <f t="shared" si="311"/>
        <v>19.468407417061336</v>
      </c>
      <c r="BR389" s="59"/>
      <c r="BS389" s="59"/>
      <c r="BT389" s="59">
        <v>616595.00199999998</v>
      </c>
      <c r="BU389" s="59">
        <v>10.4749</v>
      </c>
      <c r="BV389" s="59">
        <v>115.142</v>
      </c>
      <c r="BY389" s="59"/>
      <c r="BZ389" s="59"/>
      <c r="CA389" s="59"/>
      <c r="CC389" s="59"/>
    </row>
    <row r="390" spans="1:81" x14ac:dyDescent="0.2">
      <c r="A390">
        <f t="shared" si="319"/>
        <v>880000</v>
      </c>
      <c r="B390">
        <f t="shared" si="295"/>
        <v>880</v>
      </c>
      <c r="C390">
        <f t="shared" si="264"/>
        <v>1.0222917273964789</v>
      </c>
      <c r="D390">
        <f t="shared" si="265"/>
        <v>0.20921450096818278</v>
      </c>
      <c r="F390">
        <f t="shared" si="266"/>
        <v>1.1349798989488933E-4</v>
      </c>
      <c r="G390">
        <f t="shared" si="267"/>
        <v>4.0138849317610499E-3</v>
      </c>
      <c r="H390">
        <f t="shared" si="268"/>
        <v>-3.137578765068239</v>
      </c>
      <c r="J390">
        <f t="shared" si="269"/>
        <v>15</v>
      </c>
      <c r="M390">
        <f t="shared" si="270"/>
        <v>2.5644871261388191E-4</v>
      </c>
      <c r="N390">
        <f t="shared" si="271"/>
        <v>-1.5707963250000001</v>
      </c>
      <c r="O390">
        <f t="shared" si="272"/>
        <v>825.89766707178137</v>
      </c>
      <c r="P390">
        <f t="shared" si="273"/>
        <v>1.5695855227398536</v>
      </c>
      <c r="Q390">
        <f t="shared" si="274"/>
        <v>122.90498227602698</v>
      </c>
      <c r="R390">
        <f t="shared" si="275"/>
        <v>1.5626598703614769</v>
      </c>
      <c r="S390">
        <f t="shared" si="276"/>
        <v>0.27690541230161192</v>
      </c>
      <c r="T390">
        <f t="shared" si="277"/>
        <v>-1.2902242380587303</v>
      </c>
      <c r="U390">
        <f t="shared" si="278"/>
        <v>0.25484952154492124</v>
      </c>
      <c r="V390">
        <f t="shared" si="279"/>
        <v>-1.3131042435891356</v>
      </c>
      <c r="X390">
        <f t="shared" si="296"/>
        <v>-49.904684128694456</v>
      </c>
      <c r="Y390">
        <f t="shared" si="280"/>
        <v>-227.47820662757997</v>
      </c>
      <c r="Z390">
        <f t="shared" si="297"/>
        <v>-47.478206627579965</v>
      </c>
      <c r="AC390">
        <v>1</v>
      </c>
      <c r="AD390">
        <f t="shared" si="281"/>
        <v>825.89706166967994</v>
      </c>
      <c r="AE390">
        <f t="shared" si="282"/>
        <v>-0.82197946150786649</v>
      </c>
      <c r="AF390">
        <f t="shared" si="283"/>
        <v>0.21663417604752</v>
      </c>
      <c r="AG390">
        <f t="shared" si="315"/>
        <v>246.47153501640719</v>
      </c>
      <c r="AH390">
        <f t="shared" si="316"/>
        <v>-939.80803649902396</v>
      </c>
      <c r="AJ390">
        <f t="shared" si="284"/>
        <v>18000</v>
      </c>
      <c r="AK390">
        <f t="shared" si="285"/>
        <v>62462.301173395201</v>
      </c>
      <c r="AL390">
        <v>1</v>
      </c>
      <c r="AM390">
        <f t="shared" si="286"/>
        <v>122.9009140253664</v>
      </c>
      <c r="AN390">
        <f t="shared" si="317"/>
        <v>509.39097067538017</v>
      </c>
      <c r="AO390">
        <f t="shared" si="318"/>
        <v>-142.31471887763672</v>
      </c>
      <c r="AQ390">
        <f t="shared" si="287"/>
        <v>3.2283047429284791E-3</v>
      </c>
      <c r="AR390">
        <f t="shared" si="288"/>
        <v>-5.6818163475541237</v>
      </c>
      <c r="AT390">
        <f t="shared" si="313"/>
        <v>-5339.0209801174069</v>
      </c>
      <c r="AU390">
        <f t="shared" si="314"/>
        <v>-1403.4399836046532</v>
      </c>
      <c r="AV390">
        <f t="shared" si="302"/>
        <v>-2.8845431926820355</v>
      </c>
      <c r="AW390">
        <f t="shared" si="303"/>
        <v>-53.547177543935994</v>
      </c>
      <c r="AX390">
        <f t="shared" si="304"/>
        <v>-4130.2763918929704</v>
      </c>
      <c r="AY390">
        <f t="shared" si="312"/>
        <v>-1.5837601511746122</v>
      </c>
      <c r="BA390">
        <f t="shared" si="289"/>
        <v>1.3364562379985407</v>
      </c>
      <c r="BB390">
        <f t="shared" si="305"/>
        <v>2.5190948487285665</v>
      </c>
      <c r="BC390">
        <f t="shared" si="306"/>
        <v>-1.3007830415074233</v>
      </c>
      <c r="BD390">
        <f t="shared" si="290"/>
        <v>-254.52937842572817</v>
      </c>
      <c r="BF390">
        <f t="shared" si="291"/>
        <v>-52.667819641484961</v>
      </c>
      <c r="BG390">
        <f t="shared" si="292"/>
        <v>-242.31229182731451</v>
      </c>
      <c r="BH390">
        <f t="shared" si="307"/>
        <v>-62.31229182731451</v>
      </c>
      <c r="BI390">
        <f t="shared" si="308"/>
        <v>-62.31229182731451</v>
      </c>
      <c r="BJ390">
        <f t="shared" si="293"/>
        <v>0</v>
      </c>
      <c r="BK390">
        <f t="shared" si="309"/>
        <v>0</v>
      </c>
      <c r="BM390">
        <f t="shared" si="310"/>
        <v>-55.186914490213525</v>
      </c>
      <c r="BN390">
        <f t="shared" si="294"/>
        <v>-167.78291340158634</v>
      </c>
      <c r="BQ390" s="56">
        <f t="shared" si="311"/>
        <v>19.421055649013702</v>
      </c>
      <c r="BR390" s="59"/>
      <c r="BS390" s="59"/>
      <c r="BT390" s="59">
        <v>630957.34400000004</v>
      </c>
      <c r="BU390" s="59">
        <v>10.283799999999999</v>
      </c>
      <c r="BV390" s="59">
        <v>115.247</v>
      </c>
      <c r="BY390" s="59"/>
      <c r="BZ390" s="59"/>
      <c r="CA390" s="59"/>
      <c r="CC390" s="59"/>
    </row>
    <row r="391" spans="1:81" x14ac:dyDescent="0.2">
      <c r="A391">
        <f t="shared" si="319"/>
        <v>885000</v>
      </c>
      <c r="B391">
        <f t="shared" si="295"/>
        <v>885</v>
      </c>
      <c r="C391">
        <f t="shared" si="264"/>
        <v>1.0225429615593473</v>
      </c>
      <c r="D391">
        <f t="shared" si="265"/>
        <v>0.21036855138679622</v>
      </c>
      <c r="F391">
        <f t="shared" si="266"/>
        <v>1.1221901479596132E-4</v>
      </c>
      <c r="G391">
        <f t="shared" si="267"/>
        <v>3.9912027037312435E-3</v>
      </c>
      <c r="H391">
        <f t="shared" si="268"/>
        <v>-3.137601447296269</v>
      </c>
      <c r="J391">
        <f t="shared" si="269"/>
        <v>15</v>
      </c>
      <c r="M391">
        <f t="shared" si="270"/>
        <v>2.5499984983075265E-4</v>
      </c>
      <c r="N391">
        <f t="shared" si="271"/>
        <v>-1.5707963250000001</v>
      </c>
      <c r="O391">
        <f t="shared" si="272"/>
        <v>830.5902605927381</v>
      </c>
      <c r="P391">
        <f t="shared" si="273"/>
        <v>1.5695923634341002</v>
      </c>
      <c r="Q391">
        <f t="shared" si="274"/>
        <v>123.60325994018574</v>
      </c>
      <c r="R391">
        <f t="shared" si="275"/>
        <v>1.5627058370302684</v>
      </c>
      <c r="S391">
        <f t="shared" si="276"/>
        <v>0.27545999315862768</v>
      </c>
      <c r="T391">
        <f t="shared" si="277"/>
        <v>-1.2917281518695698</v>
      </c>
      <c r="U391">
        <f t="shared" si="278"/>
        <v>0.25350246799779463</v>
      </c>
      <c r="V391">
        <f t="shared" si="279"/>
        <v>-1.314497039494801</v>
      </c>
      <c r="X391">
        <f t="shared" si="296"/>
        <v>-50.043266348299291</v>
      </c>
      <c r="Y391">
        <f t="shared" si="280"/>
        <v>-227.57632760749723</v>
      </c>
      <c r="Z391">
        <f t="shared" si="297"/>
        <v>-47.576327607497234</v>
      </c>
      <c r="AC391">
        <v>1</v>
      </c>
      <c r="AD391">
        <f t="shared" si="281"/>
        <v>830.58965861098488</v>
      </c>
      <c r="AE391">
        <f t="shared" si="282"/>
        <v>-0.83134667321732791</v>
      </c>
      <c r="AF391">
        <f t="shared" si="283"/>
        <v>0.21786505204779</v>
      </c>
      <c r="AG391">
        <f t="shared" si="315"/>
        <v>243.87288069749548</v>
      </c>
      <c r="AH391">
        <f t="shared" si="316"/>
        <v>-935.17939724952748</v>
      </c>
      <c r="AJ391">
        <f t="shared" si="284"/>
        <v>18000</v>
      </c>
      <c r="AK391">
        <f t="shared" si="285"/>
        <v>62817.200611880406</v>
      </c>
      <c r="AL391">
        <v>1</v>
      </c>
      <c r="AM391">
        <f t="shared" si="286"/>
        <v>123.59921467323781</v>
      </c>
      <c r="AN391">
        <f t="shared" si="317"/>
        <v>509.37792416237204</v>
      </c>
      <c r="AO391">
        <f t="shared" si="318"/>
        <v>-141.51078647285908</v>
      </c>
      <c r="AQ391">
        <f t="shared" si="287"/>
        <v>3.1919297800983818E-3</v>
      </c>
      <c r="AR391">
        <f t="shared" si="288"/>
        <v>-5.6497157107741351</v>
      </c>
      <c r="AT391">
        <f t="shared" si="313"/>
        <v>-5282.7193079224844</v>
      </c>
      <c r="AU391">
        <f t="shared" si="314"/>
        <v>-1380.7974724762016</v>
      </c>
      <c r="AV391">
        <f t="shared" si="302"/>
        <v>-2.8859323579591933</v>
      </c>
      <c r="AW391">
        <f t="shared" si="303"/>
        <v>-47.042093081880793</v>
      </c>
      <c r="AX391">
        <f t="shared" si="304"/>
        <v>-4107.5339098498489</v>
      </c>
      <c r="AY391">
        <f t="shared" si="312"/>
        <v>-1.5822484626872828</v>
      </c>
      <c r="BA391">
        <f t="shared" si="289"/>
        <v>1.329224945259065</v>
      </c>
      <c r="BB391">
        <f t="shared" si="305"/>
        <v>2.4719696597576815</v>
      </c>
      <c r="BC391">
        <f t="shared" si="306"/>
        <v>-1.3036838952719105</v>
      </c>
      <c r="BD391">
        <f t="shared" si="290"/>
        <v>-254.69558510360784</v>
      </c>
      <c r="BF391">
        <f t="shared" si="291"/>
        <v>-52.811244853495012</v>
      </c>
      <c r="BG391">
        <f t="shared" si="292"/>
        <v>-242.41367588272428</v>
      </c>
      <c r="BH391">
        <f t="shared" si="307"/>
        <v>-62.413675882724277</v>
      </c>
      <c r="BI391">
        <f t="shared" si="308"/>
        <v>-62.413675882724277</v>
      </c>
      <c r="BJ391">
        <f t="shared" si="293"/>
        <v>0</v>
      </c>
      <c r="BK391">
        <f t="shared" si="309"/>
        <v>0</v>
      </c>
      <c r="BM391">
        <f t="shared" si="310"/>
        <v>-55.283214513252688</v>
      </c>
      <c r="BN391">
        <f t="shared" si="294"/>
        <v>-167.71809077911649</v>
      </c>
      <c r="BQ391" s="56">
        <f t="shared" si="311"/>
        <v>19.373930460042818</v>
      </c>
      <c r="BR391" s="59"/>
      <c r="BS391" s="59"/>
      <c r="BT391" s="59">
        <v>645654.22900000005</v>
      </c>
      <c r="BU391" s="59">
        <v>9.9821899999999992</v>
      </c>
      <c r="BV391" s="59">
        <v>113.164</v>
      </c>
      <c r="BY391" s="59"/>
      <c r="BZ391" s="59"/>
      <c r="CA391" s="59"/>
      <c r="CC391" s="59"/>
    </row>
    <row r="392" spans="1:81" x14ac:dyDescent="0.2">
      <c r="A392">
        <f t="shared" si="319"/>
        <v>890000</v>
      </c>
      <c r="B392">
        <f t="shared" si="295"/>
        <v>890</v>
      </c>
      <c r="C392">
        <f t="shared" si="264"/>
        <v>1.0227955569079343</v>
      </c>
      <c r="D392">
        <f t="shared" si="265"/>
        <v>0.21152203331944724</v>
      </c>
      <c r="F392">
        <f t="shared" si="266"/>
        <v>1.1096153784375072E-4</v>
      </c>
      <c r="G392">
        <f t="shared" si="267"/>
        <v>3.9687754142977791E-3</v>
      </c>
      <c r="H392">
        <f t="shared" si="268"/>
        <v>-3.1376238745857026</v>
      </c>
      <c r="J392">
        <f t="shared" si="269"/>
        <v>15</v>
      </c>
      <c r="M392">
        <f t="shared" si="270"/>
        <v>2.535672664047372E-4</v>
      </c>
      <c r="N392">
        <f t="shared" si="271"/>
        <v>-1.5707963250000001</v>
      </c>
      <c r="O392">
        <f t="shared" si="272"/>
        <v>835.28285415212554</v>
      </c>
      <c r="P392">
        <f t="shared" si="273"/>
        <v>1.5695991272667245</v>
      </c>
      <c r="Q392">
        <f t="shared" si="274"/>
        <v>124.30153786257587</v>
      </c>
      <c r="R392">
        <f t="shared" si="275"/>
        <v>1.5627512872532521</v>
      </c>
      <c r="S392">
        <f t="shared" si="276"/>
        <v>0.27402897538550797</v>
      </c>
      <c r="T392">
        <f t="shared" si="277"/>
        <v>-1.2932164433190445</v>
      </c>
      <c r="U392">
        <f t="shared" si="278"/>
        <v>0.25216909828257961</v>
      </c>
      <c r="V392">
        <f t="shared" si="279"/>
        <v>-1.3158751864229103</v>
      </c>
      <c r="X392">
        <f t="shared" si="296"/>
        <v>-50.181116630267937</v>
      </c>
      <c r="Y392">
        <f t="shared" si="280"/>
        <v>-227.67276612640472</v>
      </c>
      <c r="Z392">
        <f t="shared" si="297"/>
        <v>-47.672766126404724</v>
      </c>
      <c r="AC392">
        <v>1</v>
      </c>
      <c r="AD392">
        <f t="shared" si="281"/>
        <v>835.28225555229005</v>
      </c>
      <c r="AE392">
        <f t="shared" si="282"/>
        <v>-0.84076695694780601</v>
      </c>
      <c r="AF392">
        <f t="shared" si="283"/>
        <v>0.21909592804806</v>
      </c>
      <c r="AG392">
        <f t="shared" si="315"/>
        <v>241.31418731693549</v>
      </c>
      <c r="AH392">
        <f t="shared" si="316"/>
        <v>-930.59235173950117</v>
      </c>
      <c r="AJ392">
        <f t="shared" si="284"/>
        <v>18000</v>
      </c>
      <c r="AK392">
        <f t="shared" si="285"/>
        <v>63172.100050365603</v>
      </c>
      <c r="AL392">
        <v>1</v>
      </c>
      <c r="AM392">
        <f t="shared" si="286"/>
        <v>124.29751532110922</v>
      </c>
      <c r="AN392">
        <f t="shared" si="317"/>
        <v>509.36509689720128</v>
      </c>
      <c r="AO392">
        <f t="shared" si="318"/>
        <v>-140.71588525255416</v>
      </c>
      <c r="AQ392">
        <f t="shared" si="287"/>
        <v>3.1561661544735027E-3</v>
      </c>
      <c r="AR392">
        <f t="shared" si="288"/>
        <v>-5.6179757549628349</v>
      </c>
      <c r="AT392">
        <f t="shared" si="313"/>
        <v>-5227.2836421557604</v>
      </c>
      <c r="AU392">
        <f t="shared" si="314"/>
        <v>-1358.6343577592756</v>
      </c>
      <c r="AV392">
        <f t="shared" si="302"/>
        <v>-2.8873069150522741</v>
      </c>
      <c r="AW392">
        <f t="shared" si="303"/>
        <v>-40.64998154995294</v>
      </c>
      <c r="AX392">
        <f t="shared" si="304"/>
        <v>-4085.0380142564745</v>
      </c>
      <c r="AY392">
        <f t="shared" si="312"/>
        <v>-1.5807469416362214</v>
      </c>
      <c r="BA392">
        <f t="shared" si="289"/>
        <v>1.3220669597478347</v>
      </c>
      <c r="BB392">
        <f t="shared" si="305"/>
        <v>2.4250690351037281</v>
      </c>
      <c r="BC392">
        <f t="shared" si="306"/>
        <v>-1.3065599734160527</v>
      </c>
      <c r="BD392">
        <f t="shared" si="290"/>
        <v>-254.86037224300532</v>
      </c>
      <c r="BF392">
        <f t="shared" si="291"/>
        <v>-52.953879786638993</v>
      </c>
      <c r="BG392">
        <f t="shared" si="292"/>
        <v>-242.51365836459266</v>
      </c>
      <c r="BH392">
        <f t="shared" si="307"/>
        <v>-62.513658364592658</v>
      </c>
      <c r="BI392">
        <f t="shared" si="308"/>
        <v>-62.513658364592658</v>
      </c>
      <c r="BJ392">
        <f t="shared" si="293"/>
        <v>0</v>
      </c>
      <c r="BK392">
        <f t="shared" si="309"/>
        <v>0</v>
      </c>
      <c r="BM392">
        <f t="shared" si="310"/>
        <v>-55.378948821742718</v>
      </c>
      <c r="BN392">
        <f t="shared" si="294"/>
        <v>-167.65328612158737</v>
      </c>
      <c r="BQ392" s="56">
        <f t="shared" si="311"/>
        <v>19.327029835388863</v>
      </c>
      <c r="BR392" s="59"/>
      <c r="BS392" s="59"/>
      <c r="BT392" s="59">
        <v>660693.44799999997</v>
      </c>
      <c r="BU392" s="59">
        <v>9.7520900000000008</v>
      </c>
      <c r="BV392" s="59">
        <v>112.872</v>
      </c>
      <c r="BY392" s="59"/>
      <c r="BZ392" s="59"/>
      <c r="CA392" s="59"/>
      <c r="CC392" s="59"/>
    </row>
    <row r="393" spans="1:81" x14ac:dyDescent="0.2">
      <c r="A393">
        <f t="shared" si="319"/>
        <v>895000</v>
      </c>
      <c r="B393">
        <f t="shared" si="295"/>
        <v>895</v>
      </c>
      <c r="C393">
        <f t="shared" ref="C393:C456" si="320">SQRT((A393/Fesr)^2+1)</f>
        <v>1.0230495124339918</v>
      </c>
      <c r="D393">
        <f t="shared" ref="D393:D456" si="321">ATAN(A393/Fesr)</f>
        <v>0.2126749441188992</v>
      </c>
      <c r="F393">
        <f t="shared" ref="F393:F456" si="322">(Ro/(Ro+Rdcr))/SQRT((A393/(Q*Fo))^2+(1-(A393^2/Fo^2))^2)</f>
        <v>1.0972507989448508E-4</v>
      </c>
      <c r="G393">
        <f t="shared" ref="G393:G456" si="323">-ATAN(A393*Fo/(Q*(Fo^2-A393^2)))</f>
        <v>3.9465987889271293E-3</v>
      </c>
      <c r="H393">
        <f t="shared" ref="H393:H456" si="324">IF(G393&gt;0,G393-Pi,G393)</f>
        <v>-3.1376460512110729</v>
      </c>
      <c r="J393">
        <f t="shared" ref="J393:J456" si="325">Vin/Vramp</f>
        <v>15</v>
      </c>
      <c r="M393">
        <f t="shared" ref="M393:M456" si="326">1/(2*Pi*_Rfb1*(Cc1ea_u+Cc2ea_u)*A393)</f>
        <v>2.5215068949744815E-4</v>
      </c>
      <c r="N393">
        <f t="shared" ref="N393:N456" si="327">-Pi/2</f>
        <v>-1.5707963250000001</v>
      </c>
      <c r="O393">
        <f t="shared" ref="O393:O456" si="328">SQRT(1+(A393/Fz1_u)^2)</f>
        <v>839.97544774929975</v>
      </c>
      <c r="P393">
        <f t="shared" ref="P393:P456" si="329">ATAN2(Fz1_u,A393)</f>
        <v>1.5696058155259076</v>
      </c>
      <c r="Q393">
        <f t="shared" ref="Q393:Q456" si="330">SQRT(1+(A393/Fz2_u)^2)</f>
        <v>124.99981603886971</v>
      </c>
      <c r="R393">
        <f t="shared" ref="R393:R456" si="331">ATAN2(Fz2_u,A393)</f>
        <v>1.5627962296851992</v>
      </c>
      <c r="S393">
        <f t="shared" ref="S393:S456" si="332">1/SQRT(1+(A393/Fp1_u)^2)</f>
        <v>0.27261215456919702</v>
      </c>
      <c r="T393">
        <f t="shared" ref="T393:T456" si="333">-ATAN2(Fp1_u,A393)</f>
        <v>-1.2946893480807662</v>
      </c>
      <c r="U393">
        <f t="shared" ref="U393:U456" si="334">1/SQRT(1+(A393/Fp2_u)^2)</f>
        <v>0.25084921268385851</v>
      </c>
      <c r="V393">
        <f t="shared" ref="V393:V456" si="335">-ATAN2(Fp2_u,A393)</f>
        <v>-1.3172389091208807</v>
      </c>
      <c r="X393">
        <f t="shared" si="296"/>
        <v>-50.318241982484267</v>
      </c>
      <c r="Y393">
        <f t="shared" ref="Y393:Y456" si="336">(180/Pi)*(D393+H393+N393+P393+R393+T393+V393)</f>
        <v>-227.76754839138309</v>
      </c>
      <c r="Z393">
        <f t="shared" si="297"/>
        <v>-47.767548391383087</v>
      </c>
      <c r="AC393">
        <v>1</v>
      </c>
      <c r="AD393">
        <f t="shared" ref="AD393:AD456" si="337">Rcea1_u*Cc1ea_u*A393*2*Pi</f>
        <v>839.97485249359499</v>
      </c>
      <c r="AE393">
        <f t="shared" ref="AE393:AE456" si="338">-Rcea1_u*Cc1ea_u*Cc2ea_u*(A393*2*Pi)^2</f>
        <v>-0.85024031269930112</v>
      </c>
      <c r="AF393">
        <f t="shared" ref="AF393:AF456" si="339">(Cc2ea_u+Cc1ea_u)*A393*2*Pi</f>
        <v>0.22032680404832999</v>
      </c>
      <c r="AG393">
        <f t="shared" si="315"/>
        <v>238.79465919801396</v>
      </c>
      <c r="AH393">
        <f t="shared" si="316"/>
        <v>-926.04640905464521</v>
      </c>
      <c r="AJ393">
        <f t="shared" ref="AJ393:AJ456" si="340">_Rfb1</f>
        <v>18000</v>
      </c>
      <c r="AK393">
        <f t="shared" ref="AK393:AK456" si="341">_Rfb1*Rcea2_u*Cc3ea_u*A393*2*Pi</f>
        <v>63526.999488850794</v>
      </c>
      <c r="AL393">
        <v>1</v>
      </c>
      <c r="AM393">
        <f t="shared" ref="AM393:AM456" si="342">(_Rfb1+Rcea2_u)*Cc3ea_u*A393*2*Pi</f>
        <v>124.99581596898062</v>
      </c>
      <c r="AN393">
        <f t="shared" si="317"/>
        <v>509.35248399471038</v>
      </c>
      <c r="AO393">
        <f t="shared" si="318"/>
        <v>-139.92986389517091</v>
      </c>
      <c r="AQ393">
        <f t="shared" ref="AQ393:AQ456" si="343">Eadcg/(1+(Eadcg*A393/GBP)^2)</f>
        <v>3.1210002431259188E-3</v>
      </c>
      <c r="AR393">
        <f t="shared" ref="AR393:AR456" si="344">-(A393*Eadcg*Eadcg/GBP)/(1+(Eadcg*A393/GBP)^2)</f>
        <v>-5.5865904351953946</v>
      </c>
      <c r="AT393">
        <f t="shared" si="313"/>
        <v>-5172.696733182308</v>
      </c>
      <c r="AU393">
        <f t="shared" si="314"/>
        <v>-1336.9381501191742</v>
      </c>
      <c r="AV393">
        <f t="shared" si="302"/>
        <v>-2.888667088025008</v>
      </c>
      <c r="AW393">
        <f t="shared" si="303"/>
        <v>-34.368232451647486</v>
      </c>
      <c r="AX393">
        <f t="shared" si="304"/>
        <v>-4062.7847464349315</v>
      </c>
      <c r="AY393">
        <f t="shared" si="312"/>
        <v>-1.5792554047036693</v>
      </c>
      <c r="BA393">
        <f t="shared" ref="BA393:BA456" si="345">SQRT(AT393^2+AU393^2)/SQRT(AW393^2+AX393^2)</f>
        <v>1.314981215648531</v>
      </c>
      <c r="BB393">
        <f t="shared" si="305"/>
        <v>2.378390980493382</v>
      </c>
      <c r="BC393">
        <f t="shared" si="306"/>
        <v>-1.3094116833213387</v>
      </c>
      <c r="BD393">
        <f t="shared" ref="BD393:BD456" si="346">BC393*180/Pi-180</f>
        <v>-255.02376318516053</v>
      </c>
      <c r="BF393">
        <f t="shared" ref="BF393:BF456" si="347">20*LOG(BA393*J393*F393*C393)</f>
        <v>-53.095732668940094</v>
      </c>
      <c r="BG393">
        <f t="shared" ref="BG393:BG456" si="348">(180/Pi)*(D393+H393+BC393)</f>
        <v>-242.6122630107478</v>
      </c>
      <c r="BH393">
        <f t="shared" si="307"/>
        <v>-62.612263010747796</v>
      </c>
      <c r="BI393">
        <f t="shared" si="308"/>
        <v>-62.612263010747796</v>
      </c>
      <c r="BJ393">
        <f t="shared" ref="BJ393:BJ456" si="349">SUM((BF394&lt;0)*(BF393&gt;0))*A393</f>
        <v>0</v>
      </c>
      <c r="BK393">
        <f t="shared" si="309"/>
        <v>0</v>
      </c>
      <c r="BM393">
        <f t="shared" si="310"/>
        <v>-55.47412364943348</v>
      </c>
      <c r="BN393">
        <f t="shared" ref="BN393:BN456" si="350">(H393+D393)*180/Pi</f>
        <v>-167.58849982558726</v>
      </c>
      <c r="BQ393" s="56">
        <f t="shared" si="311"/>
        <v>19.280351780778517</v>
      </c>
      <c r="BR393" s="59"/>
      <c r="BS393" s="59"/>
      <c r="BT393" s="59">
        <v>676082.97499999998</v>
      </c>
      <c r="BU393" s="59">
        <v>9.5117999999999991</v>
      </c>
      <c r="BV393" s="59">
        <v>110.592</v>
      </c>
      <c r="BY393" s="59"/>
      <c r="BZ393" s="59"/>
      <c r="CA393" s="59"/>
      <c r="CC393" s="59"/>
    </row>
    <row r="394" spans="1:81" x14ac:dyDescent="0.2">
      <c r="A394">
        <f t="shared" si="319"/>
        <v>900000</v>
      </c>
      <c r="B394">
        <f t="shared" ref="B394:B457" si="351">A394/1000</f>
        <v>900</v>
      </c>
      <c r="C394">
        <f t="shared" si="320"/>
        <v>1.0233048271248464</v>
      </c>
      <c r="D394">
        <f t="shared" si="321"/>
        <v>0.21382728114660951</v>
      </c>
      <c r="F394">
        <f t="shared" si="322"/>
        <v>1.0850917507959271E-4</v>
      </c>
      <c r="G394">
        <f t="shared" si="323"/>
        <v>3.9246686481255325E-3</v>
      </c>
      <c r="H394">
        <f t="shared" si="324"/>
        <v>-3.1376679813518749</v>
      </c>
      <c r="J394">
        <f t="shared" si="325"/>
        <v>15</v>
      </c>
      <c r="M394">
        <f t="shared" si="326"/>
        <v>2.5074985233357344E-4</v>
      </c>
      <c r="N394">
        <f t="shared" si="327"/>
        <v>-1.5707963250000001</v>
      </c>
      <c r="O394">
        <f t="shared" si="328"/>
        <v>844.66804138363091</v>
      </c>
      <c r="P394">
        <f t="shared" si="329"/>
        <v>1.5696124294712046</v>
      </c>
      <c r="Q394">
        <f t="shared" si="330"/>
        <v>125.69809446483583</v>
      </c>
      <c r="R394">
        <f t="shared" si="331"/>
        <v>1.5628406727885735</v>
      </c>
      <c r="S394">
        <f t="shared" si="332"/>
        <v>0.27120932993531549</v>
      </c>
      <c r="T394">
        <f t="shared" si="333"/>
        <v>-1.2961470972474958</v>
      </c>
      <c r="U394">
        <f t="shared" si="334"/>
        <v>0.24954261518563883</v>
      </c>
      <c r="V394">
        <f t="shared" si="335"/>
        <v>-1.3185884278706856</v>
      </c>
      <c r="X394">
        <f t="shared" ref="X394:X457" si="352">20*LOG(C394*J394*O394*Q394*F394*M394*S394*U394)</f>
        <v>-50.45464931726552</v>
      </c>
      <c r="Y394">
        <f t="shared" si="336"/>
        <v>-227.86070009791379</v>
      </c>
      <c r="Z394">
        <f t="shared" ref="Z394:Z457" si="353">Y394+180</f>
        <v>-47.860700097913792</v>
      </c>
      <c r="AC394">
        <v>1</v>
      </c>
      <c r="AD394">
        <f t="shared" si="337"/>
        <v>844.66744943490005</v>
      </c>
      <c r="AE394">
        <f t="shared" si="338"/>
        <v>-0.8597667404718129</v>
      </c>
      <c r="AF394">
        <f t="shared" si="339"/>
        <v>0.22155768004859999</v>
      </c>
      <c r="AG394">
        <f t="shared" si="315"/>
        <v>236.31351985447259</v>
      </c>
      <c r="AH394">
        <f t="shared" si="316"/>
        <v>-921.54108424458173</v>
      </c>
      <c r="AJ394">
        <f t="shared" si="340"/>
        <v>18000</v>
      </c>
      <c r="AK394">
        <f t="shared" si="341"/>
        <v>63881.898927335998</v>
      </c>
      <c r="AL394">
        <v>1</v>
      </c>
      <c r="AM394">
        <f t="shared" si="342"/>
        <v>125.69411661685201</v>
      </c>
      <c r="AN394">
        <f t="shared" si="317"/>
        <v>509.3400807050453</v>
      </c>
      <c r="AO394">
        <f t="shared" si="318"/>
        <v>-139.15257444078298</v>
      </c>
      <c r="AQ394">
        <f t="shared" si="343"/>
        <v>3.0864188004880245E-3</v>
      </c>
      <c r="AR394">
        <f t="shared" si="344"/>
        <v>-5.5555538408784439</v>
      </c>
      <c r="AT394">
        <f t="shared" si="313"/>
        <v>-5118.9417476117833</v>
      </c>
      <c r="AU394">
        <f t="shared" si="314"/>
        <v>-1315.6967446068543</v>
      </c>
      <c r="AV394">
        <f t="shared" ref="AV394:AV457" si="354">ATAN2(AT394,AU394)</f>
        <v>-2.8900130964908746</v>
      </c>
      <c r="AW394">
        <f t="shared" ref="AW394:AW457" si="355">AG394-AH394*AO394/_Rfb2+AG394*AN394/_Rfb2+AN394-AO394*AR394+AQ394*AN394</f>
        <v>-28.194310397738175</v>
      </c>
      <c r="AX394">
        <f t="shared" ref="AX394:AX457" si="356">AH394+AH394*AN394/_Rfb2+AG394*AO394/_Rfb2+AO394+AO394*AQ394+AN394*AR394</f>
        <v>-4040.7702316069071</v>
      </c>
      <c r="AY394">
        <f t="shared" si="312"/>
        <v>-1.57777367300589</v>
      </c>
      <c r="BA394">
        <f t="shared" si="345"/>
        <v>1.3079666663758915</v>
      </c>
      <c r="BB394">
        <f t="shared" ref="BB394:BB457" si="357">20*LOG(BA394)</f>
        <v>2.3319335220665094</v>
      </c>
      <c r="BC394">
        <f t="shared" ref="BC394:BC457" si="358">AV394-AY394</f>
        <v>-1.3122394234849846</v>
      </c>
      <c r="BD394">
        <f t="shared" si="346"/>
        <v>-255.18578076228221</v>
      </c>
      <c r="BF394">
        <f t="shared" si="347"/>
        <v>-53.236811604127794</v>
      </c>
      <c r="BG394">
        <f t="shared" si="348"/>
        <v>-242.70951304404312</v>
      </c>
      <c r="BH394">
        <f t="shared" ref="BH394:BH457" si="359">IF(BG394&gt;180,BG394-180,BG394+180)</f>
        <v>-62.709513044043121</v>
      </c>
      <c r="BI394">
        <f t="shared" ref="BI394:BI457" si="360">IF(BH394&gt;180,BH394-360,BH394)</f>
        <v>-62.709513044043121</v>
      </c>
      <c r="BJ394">
        <f t="shared" si="349"/>
        <v>0</v>
      </c>
      <c r="BK394">
        <f t="shared" ref="BK394:BK457" si="361">IF(BJ394&gt;0,BI394,0)</f>
        <v>0</v>
      </c>
      <c r="BM394">
        <f t="shared" ref="BM394:BM457" si="362">20*LOG(J394*F394*C394)</f>
        <v>-55.568745126194308</v>
      </c>
      <c r="BN394">
        <f t="shared" si="350"/>
        <v>-167.52373228176089</v>
      </c>
      <c r="BQ394" s="56">
        <f t="shared" ref="BQ394:BQ457" si="363">20*LOG(BA394*7)</f>
        <v>19.233894322351645</v>
      </c>
      <c r="BR394" s="59"/>
      <c r="BS394" s="59"/>
      <c r="BT394" s="59">
        <v>691830.97100000002</v>
      </c>
      <c r="BU394" s="59">
        <v>9.28308</v>
      </c>
      <c r="BV394" s="59">
        <v>111.01300000000001</v>
      </c>
      <c r="BY394" s="59"/>
      <c r="BZ394" s="59"/>
      <c r="CA394" s="59"/>
      <c r="CC394" s="59"/>
    </row>
    <row r="395" spans="1:81" x14ac:dyDescent="0.2">
      <c r="A395">
        <f t="shared" si="319"/>
        <v>905000</v>
      </c>
      <c r="B395">
        <f t="shared" si="351"/>
        <v>905</v>
      </c>
      <c r="C395">
        <f t="shared" si="320"/>
        <v>1.0235614999634179</v>
      </c>
      <c r="D395">
        <f t="shared" si="321"/>
        <v>0.21497904177275645</v>
      </c>
      <c r="F395">
        <f t="shared" si="322"/>
        <v>1.0731337036675657E-4</v>
      </c>
      <c r="G395">
        <f t="shared" si="323"/>
        <v>3.9029809048119384E-3</v>
      </c>
      <c r="H395">
        <f t="shared" si="324"/>
        <v>-3.1376896690951881</v>
      </c>
      <c r="J395">
        <f t="shared" si="325"/>
        <v>15</v>
      </c>
      <c r="M395">
        <f t="shared" si="326"/>
        <v>2.4936449403338795E-4</v>
      </c>
      <c r="N395">
        <f t="shared" si="327"/>
        <v>-1.5707963250000001</v>
      </c>
      <c r="O395">
        <f t="shared" si="328"/>
        <v>849.36063505450329</v>
      </c>
      <c r="P395">
        <f t="shared" si="329"/>
        <v>1.5696189703343351</v>
      </c>
      <c r="Q395">
        <f t="shared" si="330"/>
        <v>126.39637313633629</v>
      </c>
      <c r="R395">
        <f t="shared" si="331"/>
        <v>1.5628846248388431</v>
      </c>
      <c r="S395">
        <f t="shared" si="332"/>
        <v>0.26982030427344567</v>
      </c>
      <c r="T395">
        <f t="shared" si="333"/>
        <v>-1.2975899174383425</v>
      </c>
      <c r="U395">
        <f t="shared" si="334"/>
        <v>0.24824911339074734</v>
      </c>
      <c r="V395">
        <f t="shared" si="335"/>
        <v>-1.3199239585963425</v>
      </c>
      <c r="X395">
        <f t="shared" si="352"/>
        <v>-50.590345452981282</v>
      </c>
      <c r="Y395">
        <f t="shared" si="336"/>
        <v>-227.95224644197867</v>
      </c>
      <c r="Z395">
        <f t="shared" si="353"/>
        <v>-47.952246441978673</v>
      </c>
      <c r="AC395">
        <v>1</v>
      </c>
      <c r="AD395">
        <f t="shared" si="337"/>
        <v>849.36004637620499</v>
      </c>
      <c r="AE395">
        <f t="shared" si="338"/>
        <v>-0.86934624026534135</v>
      </c>
      <c r="AF395">
        <f t="shared" si="339"/>
        <v>0.22278855604887002</v>
      </c>
      <c r="AG395">
        <f t="shared" si="315"/>
        <v>233.87001145416048</v>
      </c>
      <c r="AH395">
        <f t="shared" si="316"/>
        <v>-917.07589829555343</v>
      </c>
      <c r="AJ395">
        <f t="shared" si="340"/>
        <v>18000</v>
      </c>
      <c r="AK395">
        <f t="shared" si="341"/>
        <v>64236.798365821203</v>
      </c>
      <c r="AL395">
        <v>1</v>
      </c>
      <c r="AM395">
        <f t="shared" si="342"/>
        <v>126.39241726472342</v>
      </c>
      <c r="AN395">
        <f t="shared" si="317"/>
        <v>509.32788240918319</v>
      </c>
      <c r="AO395">
        <f t="shared" si="318"/>
        <v>-138.38387219826143</v>
      </c>
      <c r="AQ395">
        <f t="shared" si="343"/>
        <v>3.0524089458780421E-3</v>
      </c>
      <c r="AR395">
        <f t="shared" si="344"/>
        <v>-5.5248601920392568</v>
      </c>
      <c r="AT395">
        <f t="shared" si="313"/>
        <v>-5066.0022566566095</v>
      </c>
      <c r="AU395">
        <f t="shared" si="314"/>
        <v>-1294.8984070708627</v>
      </c>
      <c r="AV395">
        <f t="shared" si="354"/>
        <v>-2.891345155720169</v>
      </c>
      <c r="AW395">
        <f t="shared" si="355"/>
        <v>-22.125752527329354</v>
      </c>
      <c r="AX395">
        <f t="shared" si="356"/>
        <v>-4018.9906766850954</v>
      </c>
      <c r="AY395">
        <f t="shared" ref="AY395:AY458" si="364">ATAN2(AW395,AX395)</f>
        <v>-1.5763015719620879</v>
      </c>
      <c r="BA395">
        <f t="shared" si="345"/>
        <v>1.3010222841895323</v>
      </c>
      <c r="BB395">
        <f t="shared" si="357"/>
        <v>2.2856947062919017</v>
      </c>
      <c r="BC395">
        <f t="shared" si="358"/>
        <v>-1.3150435837580812</v>
      </c>
      <c r="BD395">
        <f t="shared" si="346"/>
        <v>-255.34644731119249</v>
      </c>
      <c r="BF395">
        <f t="shared" si="347"/>
        <v>-53.377124574026467</v>
      </c>
      <c r="BG395">
        <f t="shared" si="348"/>
        <v>-242.80543118615083</v>
      </c>
      <c r="BH395">
        <f t="shared" si="359"/>
        <v>-62.805431186150827</v>
      </c>
      <c r="BI395">
        <f t="shared" si="360"/>
        <v>-62.805431186150827</v>
      </c>
      <c r="BJ395">
        <f t="shared" si="349"/>
        <v>0</v>
      </c>
      <c r="BK395">
        <f t="shared" si="361"/>
        <v>0</v>
      </c>
      <c r="BM395">
        <f t="shared" si="362"/>
        <v>-55.662819280318374</v>
      </c>
      <c r="BN395">
        <f t="shared" si="350"/>
        <v>-167.45898387495834</v>
      </c>
      <c r="BQ395" s="56">
        <f t="shared" si="363"/>
        <v>19.187655506577038</v>
      </c>
      <c r="BR395" s="59"/>
      <c r="BS395" s="59"/>
      <c r="BT395" s="59">
        <v>707945.78399999999</v>
      </c>
      <c r="BU395" s="59">
        <v>9.1002899999999993</v>
      </c>
      <c r="BV395" s="59">
        <v>109.21</v>
      </c>
      <c r="BY395" s="59"/>
      <c r="BZ395" s="59"/>
      <c r="CA395" s="59"/>
      <c r="CC395" s="59"/>
    </row>
    <row r="396" spans="1:81" x14ac:dyDescent="0.2">
      <c r="A396">
        <f t="shared" si="319"/>
        <v>910000</v>
      </c>
      <c r="B396">
        <f t="shared" si="351"/>
        <v>910</v>
      </c>
      <c r="C396">
        <f t="shared" si="320"/>
        <v>1.0238195299282382</v>
      </c>
      <c r="D396">
        <f t="shared" si="321"/>
        <v>0.21613022337626539</v>
      </c>
      <c r="F396">
        <f t="shared" si="322"/>
        <v>1.0613722513780868E-4</v>
      </c>
      <c r="G396">
        <f t="shared" si="323"/>
        <v>3.8815315617776237E-3</v>
      </c>
      <c r="H396">
        <f t="shared" si="324"/>
        <v>-3.1377111184382227</v>
      </c>
      <c r="J396">
        <f t="shared" si="325"/>
        <v>15</v>
      </c>
      <c r="M396">
        <f t="shared" si="326"/>
        <v>2.4799435945078692E-4</v>
      </c>
      <c r="N396">
        <f t="shared" si="327"/>
        <v>-1.5707963250000001</v>
      </c>
      <c r="O396">
        <f t="shared" si="328"/>
        <v>854.05322876131424</v>
      </c>
      <c r="P396">
        <f t="shared" si="329"/>
        <v>1.5696254393199478</v>
      </c>
      <c r="Q396">
        <f t="shared" si="330"/>
        <v>127.09465204932404</v>
      </c>
      <c r="R396">
        <f t="shared" si="331"/>
        <v>1.5629280939296157</v>
      </c>
      <c r="S396">
        <f t="shared" si="332"/>
        <v>0.26844488386404763</v>
      </c>
      <c r="T396">
        <f t="shared" si="333"/>
        <v>-1.2990180309030797</v>
      </c>
      <c r="U396">
        <f t="shared" si="334"/>
        <v>0.24696851844216408</v>
      </c>
      <c r="V396">
        <f t="shared" si="335"/>
        <v>-1.321245712968403</v>
      </c>
      <c r="X396">
        <f t="shared" si="352"/>
        <v>-50.725337115641338</v>
      </c>
      <c r="Y396">
        <f t="shared" si="336"/>
        <v>-228.0422121318299</v>
      </c>
      <c r="Z396">
        <f t="shared" si="353"/>
        <v>-48.042212131829899</v>
      </c>
      <c r="AC396">
        <v>1</v>
      </c>
      <c r="AD396">
        <f t="shared" si="337"/>
        <v>854.05264331750993</v>
      </c>
      <c r="AE396">
        <f t="shared" si="338"/>
        <v>-0.87897881207988671</v>
      </c>
      <c r="AF396">
        <f t="shared" si="339"/>
        <v>0.22401943204914002</v>
      </c>
      <c r="AG396">
        <f t="shared" si="315"/>
        <v>231.46339429948284</v>
      </c>
      <c r="AH396">
        <f t="shared" si="316"/>
        <v>-912.65037809974524</v>
      </c>
      <c r="AJ396">
        <f t="shared" si="340"/>
        <v>18000</v>
      </c>
      <c r="AK396">
        <f t="shared" si="341"/>
        <v>64591.697804306401</v>
      </c>
      <c r="AL396">
        <v>1</v>
      </c>
      <c r="AM396">
        <f t="shared" si="342"/>
        <v>127.0907179125948</v>
      </c>
      <c r="AN396">
        <f t="shared" si="317"/>
        <v>509.31588461463224</v>
      </c>
      <c r="AO396">
        <f t="shared" si="318"/>
        <v>-137.62361565550671</v>
      </c>
      <c r="AQ396">
        <f t="shared" si="343"/>
        <v>3.0189581515039999E-3</v>
      </c>
      <c r="AR396">
        <f t="shared" si="344"/>
        <v>-5.4945038357372793</v>
      </c>
      <c r="AT396">
        <f t="shared" si="313"/>
        <v>-5013.8622248551328</v>
      </c>
      <c r="AU396">
        <f t="shared" si="314"/>
        <v>-1274.5317611097164</v>
      </c>
      <c r="AV396">
        <f t="shared" si="354"/>
        <v>-2.8926634767440902</v>
      </c>
      <c r="AW396">
        <f t="shared" si="355"/>
        <v>-16.160166031523609</v>
      </c>
      <c r="AX396">
        <f t="shared" si="356"/>
        <v>-3997.4423681342159</v>
      </c>
      <c r="AY396">
        <f t="shared" si="364"/>
        <v>-1.5748389311678663</v>
      </c>
      <c r="BA396">
        <f t="shared" si="345"/>
        <v>1.2941470598150708</v>
      </c>
      <c r="BB396">
        <f t="shared" si="357"/>
        <v>2.2396725998730069</v>
      </c>
      <c r="BC396">
        <f t="shared" si="358"/>
        <v>-1.3178245455762239</v>
      </c>
      <c r="BD396">
        <f t="shared" si="346"/>
        <v>-255.50578468654118</v>
      </c>
      <c r="BF396">
        <f t="shared" si="347"/>
        <v>-53.516679440890478</v>
      </c>
      <c r="BG396">
        <f t="shared" si="348"/>
        <v>-242.90003967092059</v>
      </c>
      <c r="BH396">
        <f t="shared" si="359"/>
        <v>-62.900039670920592</v>
      </c>
      <c r="BI396">
        <f t="shared" si="360"/>
        <v>-62.900039670920592</v>
      </c>
      <c r="BJ396">
        <f t="shared" si="349"/>
        <v>0</v>
      </c>
      <c r="BK396">
        <f t="shared" si="361"/>
        <v>0</v>
      </c>
      <c r="BM396">
        <f t="shared" si="362"/>
        <v>-55.756352040763488</v>
      </c>
      <c r="BN396">
        <f t="shared" si="350"/>
        <v>-167.39425498437944</v>
      </c>
      <c r="BQ396" s="56">
        <f t="shared" si="363"/>
        <v>19.141633400158145</v>
      </c>
      <c r="BR396" s="59"/>
      <c r="BS396" s="59"/>
      <c r="BT396" s="59">
        <v>724435.96</v>
      </c>
      <c r="BU396" s="59">
        <v>8.7908299999999997</v>
      </c>
      <c r="BV396" s="59">
        <v>107.553</v>
      </c>
      <c r="BY396" s="59"/>
      <c r="BZ396" s="59"/>
      <c r="CA396" s="59"/>
      <c r="CC396" s="59"/>
    </row>
    <row r="397" spans="1:81" x14ac:dyDescent="0.2">
      <c r="A397">
        <f t="shared" si="319"/>
        <v>915000</v>
      </c>
      <c r="B397">
        <f t="shared" si="351"/>
        <v>915</v>
      </c>
      <c r="C397">
        <f t="shared" si="320"/>
        <v>1.0240789159934705</v>
      </c>
      <c r="D397">
        <f t="shared" si="321"/>
        <v>0.21728082334483509</v>
      </c>
      <c r="F397">
        <f t="shared" si="322"/>
        <v>1.0498031078273074E-4</v>
      </c>
      <c r="G397">
        <f t="shared" si="323"/>
        <v>3.8603167092291528E-3</v>
      </c>
      <c r="H397">
        <f t="shared" si="324"/>
        <v>-3.1377323332907712</v>
      </c>
      <c r="J397">
        <f t="shared" si="325"/>
        <v>15</v>
      </c>
      <c r="M397">
        <f t="shared" si="326"/>
        <v>2.4663919901662961E-4</v>
      </c>
      <c r="N397">
        <f t="shared" si="327"/>
        <v>-1.5707963250000001</v>
      </c>
      <c r="O397">
        <f t="shared" si="328"/>
        <v>858.7458225034751</v>
      </c>
      <c r="P397">
        <f t="shared" si="329"/>
        <v>1.5696318376063605</v>
      </c>
      <c r="Q397">
        <f t="shared" si="330"/>
        <v>127.79293119984055</v>
      </c>
      <c r="R397">
        <f t="shared" si="331"/>
        <v>1.5629710879776086</v>
      </c>
      <c r="S397">
        <f t="shared" si="332"/>
        <v>0.26708287840697131</v>
      </c>
      <c r="T397">
        <f t="shared" si="333"/>
        <v>-1.3004316556236635</v>
      </c>
      <c r="U397">
        <f t="shared" si="334"/>
        <v>0.24570064494624777</v>
      </c>
      <c r="V397">
        <f t="shared" si="335"/>
        <v>-1.3225538985055378</v>
      </c>
      <c r="X397">
        <f t="shared" si="352"/>
        <v>-50.859630940453172</v>
      </c>
      <c r="Y397">
        <f t="shared" si="336"/>
        <v>-228.13062139943898</v>
      </c>
      <c r="Z397">
        <f t="shared" si="353"/>
        <v>-48.130621399438979</v>
      </c>
      <c r="AC397">
        <v>1</v>
      </c>
      <c r="AD397">
        <f t="shared" si="337"/>
        <v>858.74524025881487</v>
      </c>
      <c r="AE397">
        <f t="shared" si="338"/>
        <v>-0.88866445591544885</v>
      </c>
      <c r="AF397">
        <f t="shared" si="339"/>
        <v>0.22525030804941001</v>
      </c>
      <c r="AG397">
        <f t="shared" si="315"/>
        <v>229.09294632407304</v>
      </c>
      <c r="AH397">
        <f t="shared" si="316"/>
        <v>-908.26405642149962</v>
      </c>
      <c r="AJ397">
        <f t="shared" si="340"/>
        <v>18000</v>
      </c>
      <c r="AK397">
        <f t="shared" si="341"/>
        <v>64946.597242791606</v>
      </c>
      <c r="AL397">
        <v>1</v>
      </c>
      <c r="AM397">
        <f t="shared" si="342"/>
        <v>127.7890185604662</v>
      </c>
      <c r="AN397">
        <f t="shared" si="317"/>
        <v>509.30408295129479</v>
      </c>
      <c r="AO397">
        <f t="shared" si="318"/>
        <v>-136.87166639262193</v>
      </c>
      <c r="AQ397">
        <f t="shared" si="343"/>
        <v>2.9860542309253094E-3</v>
      </c>
      <c r="AR397">
        <f t="shared" si="344"/>
        <v>-5.4644792425933169</v>
      </c>
      <c r="AT397">
        <f t="shared" si="313"/>
        <v>-4962.5059991472435</v>
      </c>
      <c r="AU397">
        <f t="shared" si="314"/>
        <v>-1254.5857755409168</v>
      </c>
      <c r="AV397">
        <f t="shared" si="354"/>
        <v>-2.8939682664559294</v>
      </c>
      <c r="AW397">
        <f t="shared" si="355"/>
        <v>-10.295225775074469</v>
      </c>
      <c r="AX397">
        <f t="shared" si="356"/>
        <v>-3976.1216698990538</v>
      </c>
      <c r="AY397">
        <f t="shared" si="364"/>
        <v>-1.5733855842730398</v>
      </c>
      <c r="BA397">
        <f t="shared" si="345"/>
        <v>1.2873400020724997</v>
      </c>
      <c r="BB397">
        <f t="shared" si="357"/>
        <v>2.1938652896444348</v>
      </c>
      <c r="BC397">
        <f t="shared" si="358"/>
        <v>-1.3205826821828897</v>
      </c>
      <c r="BD397">
        <f t="shared" si="346"/>
        <v>-255.6638142736042</v>
      </c>
      <c r="BF397">
        <f t="shared" si="347"/>
        <v>-53.655483949687024</v>
      </c>
      <c r="BG397">
        <f t="shared" si="348"/>
        <v>-242.99336025731679</v>
      </c>
      <c r="BH397">
        <f t="shared" si="359"/>
        <v>-62.993360257316795</v>
      </c>
      <c r="BI397">
        <f t="shared" si="360"/>
        <v>-62.993360257316795</v>
      </c>
      <c r="BJ397">
        <f t="shared" si="349"/>
        <v>0</v>
      </c>
      <c r="BK397">
        <f t="shared" si="361"/>
        <v>0</v>
      </c>
      <c r="BM397">
        <f t="shared" si="362"/>
        <v>-55.849349239331467</v>
      </c>
      <c r="BN397">
        <f t="shared" si="350"/>
        <v>-167.32954598371259</v>
      </c>
      <c r="BQ397" s="56">
        <f t="shared" si="363"/>
        <v>19.095826089929574</v>
      </c>
      <c r="BR397" s="59"/>
      <c r="BS397" s="59"/>
      <c r="BT397" s="59">
        <v>741310.24100000004</v>
      </c>
      <c r="BU397" s="59">
        <v>8.6150300000000009</v>
      </c>
      <c r="BV397" s="59">
        <v>107.324</v>
      </c>
      <c r="BY397" s="59"/>
      <c r="BZ397" s="59"/>
      <c r="CA397" s="59"/>
      <c r="CC397" s="59"/>
    </row>
    <row r="398" spans="1:81" x14ac:dyDescent="0.2">
      <c r="A398">
        <f t="shared" si="319"/>
        <v>920000</v>
      </c>
      <c r="B398">
        <f t="shared" si="351"/>
        <v>920</v>
      </c>
      <c r="C398">
        <f t="shared" si="320"/>
        <v>1.0243396571289287</v>
      </c>
      <c r="D398">
        <f t="shared" si="321"/>
        <v>0.21843083907496344</v>
      </c>
      <c r="F398">
        <f t="shared" si="322"/>
        <v>1.0384221030906221E-4</v>
      </c>
      <c r="G398">
        <f t="shared" si="323"/>
        <v>3.8393325224115181E-3</v>
      </c>
      <c r="H398">
        <f t="shared" si="324"/>
        <v>-3.1377533174775887</v>
      </c>
      <c r="J398">
        <f t="shared" si="325"/>
        <v>15</v>
      </c>
      <c r="M398">
        <f t="shared" si="326"/>
        <v>2.4529876858719142E-4</v>
      </c>
      <c r="N398">
        <f t="shared" si="327"/>
        <v>-1.5707963250000001</v>
      </c>
      <c r="O398">
        <f t="shared" si="328"/>
        <v>863.43841628040911</v>
      </c>
      <c r="P398">
        <f t="shared" si="329"/>
        <v>1.5696381663462755</v>
      </c>
      <c r="Q398">
        <f t="shared" si="330"/>
        <v>128.49121058401329</v>
      </c>
      <c r="R398">
        <f t="shared" si="331"/>
        <v>1.5630136147274538</v>
      </c>
      <c r="S398">
        <f t="shared" si="332"/>
        <v>0.26573410095153305</v>
      </c>
      <c r="T398">
        <f t="shared" si="333"/>
        <v>-1.3018310054130353</v>
      </c>
      <c r="U398">
        <f t="shared" si="334"/>
        <v>0.24444531089780702</v>
      </c>
      <c r="V398">
        <f t="shared" si="335"/>
        <v>-1.3238487186733059</v>
      </c>
      <c r="X398">
        <f t="shared" si="352"/>
        <v>-50.993233473349648</v>
      </c>
      <c r="Y398">
        <f t="shared" si="336"/>
        <v>-228.21749801163512</v>
      </c>
      <c r="Z398">
        <f t="shared" si="353"/>
        <v>-48.217498011635115</v>
      </c>
      <c r="AC398">
        <v>1</v>
      </c>
      <c r="AD398">
        <f t="shared" si="337"/>
        <v>863.43783720012004</v>
      </c>
      <c r="AE398">
        <f t="shared" si="338"/>
        <v>-0.89840317177202778</v>
      </c>
      <c r="AF398">
        <f t="shared" si="339"/>
        <v>0.22648118404967998</v>
      </c>
      <c r="AG398">
        <f t="shared" si="315"/>
        <v>226.75796260513496</v>
      </c>
      <c r="AH398">
        <f t="shared" si="316"/>
        <v>-903.9164718606803</v>
      </c>
      <c r="AJ398">
        <f t="shared" si="340"/>
        <v>18000</v>
      </c>
      <c r="AK398">
        <f t="shared" si="341"/>
        <v>65301.496681276796</v>
      </c>
      <c r="AL398">
        <v>1</v>
      </c>
      <c r="AM398">
        <f t="shared" si="342"/>
        <v>128.4873192083376</v>
      </c>
      <c r="AN398">
        <f t="shared" si="317"/>
        <v>509.29247316748774</v>
      </c>
      <c r="AO398">
        <f t="shared" si="318"/>
        <v>-136.12788899791701</v>
      </c>
      <c r="AQ398">
        <f t="shared" si="343"/>
        <v>2.9536853279521127E-3</v>
      </c>
      <c r="AR398">
        <f t="shared" si="344"/>
        <v>-5.4347810034318869</v>
      </c>
      <c r="AT398">
        <f t="shared" si="313"/>
        <v>-4911.9182982904558</v>
      </c>
      <c r="AU398">
        <f t="shared" si="314"/>
        <v>-1235.0497523639347</v>
      </c>
      <c r="AV398">
        <f t="shared" si="354"/>
        <v>-2.8952597277094627</v>
      </c>
      <c r="AW398">
        <f t="shared" si="355"/>
        <v>-4.5286720116303743</v>
      </c>
      <c r="AX398">
        <f t="shared" si="356"/>
        <v>-3955.0250213970858</v>
      </c>
      <c r="AY398">
        <f t="shared" si="364"/>
        <v>-1.5719413688636361</v>
      </c>
      <c r="BA398">
        <f t="shared" si="345"/>
        <v>1.2806001375117377</v>
      </c>
      <c r="BB398">
        <f t="shared" si="357"/>
        <v>2.1482708824599253</v>
      </c>
      <c r="BC398">
        <f t="shared" si="358"/>
        <v>-1.3233183588458266</v>
      </c>
      <c r="BD398">
        <f t="shared" si="346"/>
        <v>-255.82055700068207</v>
      </c>
      <c r="BF398">
        <f t="shared" si="347"/>
        <v>-53.793545730328105</v>
      </c>
      <c r="BG398">
        <f t="shared" si="348"/>
        <v>-243.08541424195184</v>
      </c>
      <c r="BH398">
        <f t="shared" si="359"/>
        <v>-63.085414241951838</v>
      </c>
      <c r="BI398">
        <f t="shared" si="360"/>
        <v>-63.085414241951838</v>
      </c>
      <c r="BJ398">
        <f t="shared" si="349"/>
        <v>0</v>
      </c>
      <c r="BK398">
        <f t="shared" si="361"/>
        <v>0</v>
      </c>
      <c r="BM398">
        <f t="shared" si="362"/>
        <v>-55.941816612788031</v>
      </c>
      <c r="BN398">
        <f t="shared" si="350"/>
        <v>-167.26485724126979</v>
      </c>
      <c r="BQ398" s="56">
        <f t="shared" si="363"/>
        <v>19.050231682745064</v>
      </c>
      <c r="BR398" s="59"/>
      <c r="BS398" s="59"/>
      <c r="BT398" s="59">
        <v>758577.57499999995</v>
      </c>
      <c r="BU398" s="59">
        <v>8.3056699999999992</v>
      </c>
      <c r="BV398" s="59">
        <v>105.50700000000001</v>
      </c>
      <c r="BY398" s="59"/>
      <c r="BZ398" s="59"/>
      <c r="CA398" s="59"/>
      <c r="CC398" s="59"/>
    </row>
    <row r="399" spans="1:81" x14ac:dyDescent="0.2">
      <c r="A399">
        <f t="shared" si="319"/>
        <v>925000</v>
      </c>
      <c r="B399">
        <f t="shared" si="351"/>
        <v>925</v>
      </c>
      <c r="C399">
        <f t="shared" si="320"/>
        <v>1.0246017523000959</v>
      </c>
      <c r="D399">
        <f t="shared" si="321"/>
        <v>0.21958026797197308</v>
      </c>
      <c r="F399">
        <f t="shared" si="322"/>
        <v>1.0272251796605126E-4</v>
      </c>
      <c r="G399">
        <f t="shared" si="323"/>
        <v>3.8185752593084279E-3</v>
      </c>
      <c r="H399">
        <f t="shared" si="324"/>
        <v>-3.1377740747406917</v>
      </c>
      <c r="J399">
        <f t="shared" si="325"/>
        <v>15</v>
      </c>
      <c r="M399">
        <f t="shared" si="326"/>
        <v>2.4397282929753089E-4</v>
      </c>
      <c r="N399">
        <f t="shared" si="327"/>
        <v>-1.5707963250000001</v>
      </c>
      <c r="O399">
        <f t="shared" si="328"/>
        <v>868.13101009155241</v>
      </c>
      <c r="P399">
        <f t="shared" si="329"/>
        <v>1.5696444266674721</v>
      </c>
      <c r="Q399">
        <f t="shared" si="330"/>
        <v>129.18949019805345</v>
      </c>
      <c r="R399">
        <f t="shared" si="331"/>
        <v>1.5630556817563488</v>
      </c>
      <c r="S399">
        <f t="shared" si="332"/>
        <v>0.26439836782812492</v>
      </c>
      <c r="T399">
        <f t="shared" si="333"/>
        <v>-1.3032162900112927</v>
      </c>
      <c r="U399">
        <f t="shared" si="334"/>
        <v>0.24320233760697052</v>
      </c>
      <c r="V399">
        <f t="shared" si="335"/>
        <v>-1.325130372980198</v>
      </c>
      <c r="X399">
        <f t="shared" si="352"/>
        <v>-51.126151172487496</v>
      </c>
      <c r="Y399">
        <f t="shared" si="336"/>
        <v>-228.30286528094271</v>
      </c>
      <c r="Z399">
        <f t="shared" si="353"/>
        <v>-48.302865280942711</v>
      </c>
      <c r="AC399">
        <v>1</v>
      </c>
      <c r="AD399">
        <f t="shared" si="337"/>
        <v>868.13043414142498</v>
      </c>
      <c r="AE399">
        <f t="shared" si="338"/>
        <v>-0.90819495964962338</v>
      </c>
      <c r="AF399">
        <f t="shared" si="339"/>
        <v>0.22771206004994998</v>
      </c>
      <c r="AG399">
        <f t="shared" si="315"/>
        <v>224.45775489092577</v>
      </c>
      <c r="AH399">
        <f t="shared" si="316"/>
        <v>-899.60716881343069</v>
      </c>
      <c r="AJ399">
        <f t="shared" si="340"/>
        <v>18000</v>
      </c>
      <c r="AK399">
        <f t="shared" si="341"/>
        <v>65656.396119761994</v>
      </c>
      <c r="AL399">
        <v>1</v>
      </c>
      <c r="AM399">
        <f t="shared" si="342"/>
        <v>129.185619856209</v>
      </c>
      <c r="AN399">
        <f t="shared" si="317"/>
        <v>509.28105112611337</v>
      </c>
      <c r="AO399">
        <f t="shared" si="318"/>
        <v>-135.39215098663504</v>
      </c>
      <c r="AQ399">
        <f t="shared" si="343"/>
        <v>2.9218399059635046E-3</v>
      </c>
      <c r="AR399">
        <f t="shared" si="344"/>
        <v>-5.405403826032483</v>
      </c>
      <c r="AT399">
        <f t="shared" si="313"/>
        <v>-4862.0842026049249</v>
      </c>
      <c r="AU399">
        <f t="shared" si="314"/>
        <v>-1215.9133151956012</v>
      </c>
      <c r="AV399">
        <f t="shared" si="354"/>
        <v>-2.8965380594146244</v>
      </c>
      <c r="AW399">
        <f t="shared" si="355"/>
        <v>1.1416918116129611</v>
      </c>
      <c r="AX399">
        <f t="shared" si="356"/>
        <v>-3934.1489355733411</v>
      </c>
      <c r="AY399">
        <f t="shared" si="364"/>
        <v>-1.5705061263479232</v>
      </c>
      <c r="BA399">
        <f t="shared" si="345"/>
        <v>1.2739265100553134</v>
      </c>
      <c r="BB399">
        <f t="shared" si="357"/>
        <v>2.1028875050725975</v>
      </c>
      <c r="BC399">
        <f t="shared" si="358"/>
        <v>-1.3260319330667012</v>
      </c>
      <c r="BD399">
        <f t="shared" si="346"/>
        <v>-255.97603335111131</v>
      </c>
      <c r="BF399">
        <f t="shared" si="347"/>
        <v>-53.93087229985268</v>
      </c>
      <c r="BG399">
        <f t="shared" si="348"/>
        <v>-243.17622247122824</v>
      </c>
      <c r="BH399">
        <f t="shared" si="359"/>
        <v>-63.176222471228243</v>
      </c>
      <c r="BI399">
        <f t="shared" si="360"/>
        <v>-63.176222471228243</v>
      </c>
      <c r="BJ399">
        <f t="shared" si="349"/>
        <v>0</v>
      </c>
      <c r="BK399">
        <f t="shared" si="361"/>
        <v>0</v>
      </c>
      <c r="BM399">
        <f t="shared" si="362"/>
        <v>-56.033759804925282</v>
      </c>
      <c r="BN399">
        <f t="shared" si="350"/>
        <v>-167.20018912011693</v>
      </c>
      <c r="BQ399" s="56">
        <f t="shared" si="363"/>
        <v>19.004848305357733</v>
      </c>
      <c r="BR399" s="59"/>
      <c r="BS399" s="59"/>
      <c r="BT399" s="59">
        <v>776247.11699999997</v>
      </c>
      <c r="BU399" s="59">
        <v>7.9999099999999999</v>
      </c>
      <c r="BV399" s="59">
        <v>105.28700000000001</v>
      </c>
      <c r="BY399" s="59"/>
      <c r="BZ399" s="59"/>
      <c r="CA399" s="59"/>
      <c r="CC399" s="59"/>
    </row>
    <row r="400" spans="1:81" x14ac:dyDescent="0.2">
      <c r="A400">
        <f t="shared" si="319"/>
        <v>930000</v>
      </c>
      <c r="B400">
        <f t="shared" si="351"/>
        <v>930</v>
      </c>
      <c r="C400">
        <f t="shared" si="320"/>
        <v>1.0248652004681442</v>
      </c>
      <c r="D400">
        <f t="shared" si="321"/>
        <v>0.22072910745003643</v>
      </c>
      <c r="F400">
        <f t="shared" si="322"/>
        <v>1.0162083888291597E-4</v>
      </c>
      <c r="G400">
        <f t="shared" si="323"/>
        <v>3.7980412584168199E-3</v>
      </c>
      <c r="H400">
        <f t="shared" si="324"/>
        <v>-3.1377946087415833</v>
      </c>
      <c r="J400">
        <f t="shared" si="325"/>
        <v>15</v>
      </c>
      <c r="M400">
        <f t="shared" si="326"/>
        <v>2.426611474195872E-4</v>
      </c>
      <c r="N400">
        <f t="shared" si="327"/>
        <v>-1.5707963250000001</v>
      </c>
      <c r="O400">
        <f t="shared" si="328"/>
        <v>872.82360393635338</v>
      </c>
      <c r="P400">
        <f t="shared" si="329"/>
        <v>1.5696506196734756</v>
      </c>
      <c r="Q400">
        <f t="shared" si="330"/>
        <v>129.88777003825371</v>
      </c>
      <c r="R400">
        <f t="shared" si="331"/>
        <v>1.5630972964785568</v>
      </c>
      <c r="S400">
        <f t="shared" si="332"/>
        <v>0.26307549858132478</v>
      </c>
      <c r="T400">
        <f t="shared" si="333"/>
        <v>-1.3045877151793008</v>
      </c>
      <c r="U400">
        <f t="shared" si="334"/>
        <v>0.24197154962781292</v>
      </c>
      <c r="V400">
        <f t="shared" si="335"/>
        <v>-1.3263990570710364</v>
      </c>
      <c r="X400">
        <f t="shared" si="352"/>
        <v>-51.258390409717123</v>
      </c>
      <c r="Y400">
        <f t="shared" si="336"/>
        <v>-228.38674607612583</v>
      </c>
      <c r="Z400">
        <f t="shared" si="353"/>
        <v>-48.386746076125831</v>
      </c>
      <c r="AC400">
        <v>1</v>
      </c>
      <c r="AD400">
        <f t="shared" si="337"/>
        <v>872.82303108273004</v>
      </c>
      <c r="AE400">
        <f t="shared" si="338"/>
        <v>-0.91803981954823577</v>
      </c>
      <c r="AF400">
        <f t="shared" si="339"/>
        <v>0.22894293605021998</v>
      </c>
      <c r="AG400">
        <f t="shared" si="315"/>
        <v>222.19165114286631</v>
      </c>
      <c r="AH400">
        <f t="shared" si="316"/>
        <v>-895.33569743055011</v>
      </c>
      <c r="AJ400">
        <f t="shared" si="340"/>
        <v>18000</v>
      </c>
      <c r="AK400">
        <f t="shared" si="341"/>
        <v>66011.295558247206</v>
      </c>
      <c r="AL400">
        <v>1</v>
      </c>
      <c r="AM400">
        <f t="shared" si="342"/>
        <v>129.88392050408041</v>
      </c>
      <c r="AN400">
        <f t="shared" si="317"/>
        <v>509.26981280097311</v>
      </c>
      <c r="AO400">
        <f t="shared" si="318"/>
        <v>-134.66432272229991</v>
      </c>
      <c r="AQ400">
        <f t="shared" si="343"/>
        <v>2.8905067376266799E-3</v>
      </c>
      <c r="AR400">
        <f t="shared" si="344"/>
        <v>-5.3763425319856246</v>
      </c>
      <c r="AT400">
        <f t="shared" si="313"/>
        <v>-4812.9891440362062</v>
      </c>
      <c r="AU400">
        <f t="shared" si="314"/>
        <v>-1197.1663981573652</v>
      </c>
      <c r="AV400">
        <f t="shared" si="354"/>
        <v>-2.8978034566305531</v>
      </c>
      <c r="AW400">
        <f t="shared" si="355"/>
        <v>6.7180011638142663</v>
      </c>
      <c r="AX400">
        <f t="shared" si="356"/>
        <v>-3913.4899970152264</v>
      </c>
      <c r="AY400">
        <f t="shared" si="364"/>
        <v>-1.5690797018463045</v>
      </c>
      <c r="BA400">
        <f t="shared" si="345"/>
        <v>1.2673181806480911</v>
      </c>
      <c r="BB400">
        <f t="shared" si="357"/>
        <v>2.0577133040080557</v>
      </c>
      <c r="BC400">
        <f t="shared" si="358"/>
        <v>-1.3287237547842485</v>
      </c>
      <c r="BD400">
        <f t="shared" si="346"/>
        <v>-256.13026337490464</v>
      </c>
      <c r="BF400">
        <f t="shared" si="347"/>
        <v>-54.067471064560394</v>
      </c>
      <c r="BG400">
        <f t="shared" si="348"/>
        <v>-243.2658053531043</v>
      </c>
      <c r="BH400">
        <f t="shared" si="359"/>
        <v>-63.265805353104298</v>
      </c>
      <c r="BI400">
        <f t="shared" si="360"/>
        <v>-63.265805353104298</v>
      </c>
      <c r="BJ400">
        <f t="shared" si="349"/>
        <v>0</v>
      </c>
      <c r="BK400">
        <f t="shared" si="361"/>
        <v>0</v>
      </c>
      <c r="BM400">
        <f t="shared" si="362"/>
        <v>-56.125184368568455</v>
      </c>
      <c r="BN400">
        <f t="shared" si="350"/>
        <v>-167.13554197819963</v>
      </c>
      <c r="BQ400" s="56">
        <f t="shared" si="363"/>
        <v>18.959674104293192</v>
      </c>
      <c r="BR400" s="59"/>
      <c r="BS400" s="59"/>
      <c r="BT400" s="59">
        <v>794328.23499999999</v>
      </c>
      <c r="BU400" s="59">
        <v>7.7399399999999998</v>
      </c>
      <c r="BV400" s="59">
        <v>105.286</v>
      </c>
      <c r="BY400" s="59"/>
      <c r="BZ400" s="59"/>
      <c r="CA400" s="59"/>
      <c r="CC400" s="59"/>
    </row>
    <row r="401" spans="1:81" x14ac:dyDescent="0.2">
      <c r="A401">
        <f t="shared" si="319"/>
        <v>935000</v>
      </c>
      <c r="B401">
        <f t="shared" si="351"/>
        <v>935</v>
      </c>
      <c r="C401">
        <f t="shared" si="320"/>
        <v>1.0251300005899537</v>
      </c>
      <c r="D401">
        <f t="shared" si="321"/>
        <v>0.22187735493220068</v>
      </c>
      <c r="F401">
        <f t="shared" si="322"/>
        <v>1.0053678872061368E-4</v>
      </c>
      <c r="G401">
        <f t="shared" si="323"/>
        <v>3.7777269365928384E-3</v>
      </c>
      <c r="H401">
        <f t="shared" si="324"/>
        <v>-3.1378149230634076</v>
      </c>
      <c r="J401">
        <f t="shared" si="325"/>
        <v>15</v>
      </c>
      <c r="M401">
        <f t="shared" si="326"/>
        <v>2.4136349422483003E-4</v>
      </c>
      <c r="N401">
        <f t="shared" si="327"/>
        <v>-1.5707963250000001</v>
      </c>
      <c r="O401">
        <f t="shared" si="328"/>
        <v>877.516197814272</v>
      </c>
      <c r="P401">
        <f t="shared" si="329"/>
        <v>1.5696567464442075</v>
      </c>
      <c r="Q401">
        <f t="shared" si="330"/>
        <v>130.58605010098609</v>
      </c>
      <c r="R401">
        <f t="shared" si="331"/>
        <v>1.5631384661497627</v>
      </c>
      <c r="S401">
        <f t="shared" si="332"/>
        <v>0.26176531590447555</v>
      </c>
      <c r="T401">
        <f t="shared" si="333"/>
        <v>-1.3059454827898263</v>
      </c>
      <c r="U401">
        <f t="shared" si="334"/>
        <v>0.24075277468869108</v>
      </c>
      <c r="V401">
        <f t="shared" si="335"/>
        <v>-1.3276549628178147</v>
      </c>
      <c r="X401">
        <f t="shared" si="352"/>
        <v>-51.38995747202442</v>
      </c>
      <c r="Y401">
        <f t="shared" si="336"/>
        <v>-228.46916283244997</v>
      </c>
      <c r="Z401">
        <f t="shared" si="353"/>
        <v>-48.469162832449967</v>
      </c>
      <c r="AC401">
        <v>1</v>
      </c>
      <c r="AD401">
        <f t="shared" si="337"/>
        <v>877.51562802403498</v>
      </c>
      <c r="AE401">
        <f t="shared" si="338"/>
        <v>-0.92793775146786472</v>
      </c>
      <c r="AF401">
        <f t="shared" si="339"/>
        <v>0.23017381205049001</v>
      </c>
      <c r="AG401">
        <f t="shared" si="315"/>
        <v>219.95899509178381</v>
      </c>
      <c r="AH401">
        <f t="shared" si="316"/>
        <v>-891.10161357369884</v>
      </c>
      <c r="AJ401">
        <f t="shared" si="340"/>
        <v>18000</v>
      </c>
      <c r="AK401">
        <f t="shared" si="341"/>
        <v>66366.194996732404</v>
      </c>
      <c r="AL401">
        <v>1</v>
      </c>
      <c r="AM401">
        <f t="shared" si="342"/>
        <v>130.58222115195181</v>
      </c>
      <c r="AN401">
        <f t="shared" si="317"/>
        <v>509.25875427321915</v>
      </c>
      <c r="AO401">
        <f t="shared" si="318"/>
        <v>-133.94427734058607</v>
      </c>
      <c r="AQ401">
        <f t="shared" si="343"/>
        <v>2.8596748949998871E-3</v>
      </c>
      <c r="AR401">
        <f t="shared" si="344"/>
        <v>-5.3475920536497892</v>
      </c>
      <c r="AT401">
        <f t="shared" si="313"/>
        <v>-4764.618896525024</v>
      </c>
      <c r="AU401">
        <f t="shared" si="314"/>
        <v>-1178.7992351948467</v>
      </c>
      <c r="AV401">
        <f t="shared" si="354"/>
        <v>-2.8990561106560864</v>
      </c>
      <c r="AW401">
        <f t="shared" si="355"/>
        <v>12.20233245872179</v>
      </c>
      <c r="AX401">
        <f t="shared" si="356"/>
        <v>-3893.0448601251769</v>
      </c>
      <c r="AY401">
        <f t="shared" si="364"/>
        <v>-1.5676619440849353</v>
      </c>
      <c r="BA401">
        <f t="shared" si="345"/>
        <v>1.2607742269139712</v>
      </c>
      <c r="BB401">
        <f t="shared" si="357"/>
        <v>2.0127464454310267</v>
      </c>
      <c r="BC401">
        <f t="shared" si="358"/>
        <v>-1.3313941665711511</v>
      </c>
      <c r="BD401">
        <f t="shared" si="346"/>
        <v>-256.28326670003099</v>
      </c>
      <c r="BF401">
        <f t="shared" si="347"/>
        <v>-54.203349322097907</v>
      </c>
      <c r="BG401">
        <f t="shared" si="348"/>
        <v>-243.35418286849648</v>
      </c>
      <c r="BH401">
        <f t="shared" si="359"/>
        <v>-63.35418286849648</v>
      </c>
      <c r="BI401">
        <f t="shared" si="360"/>
        <v>-63.35418286849648</v>
      </c>
      <c r="BJ401">
        <f t="shared" si="349"/>
        <v>0</v>
      </c>
      <c r="BK401">
        <f t="shared" si="361"/>
        <v>0</v>
      </c>
      <c r="BM401">
        <f t="shared" si="362"/>
        <v>-56.216095767528941</v>
      </c>
      <c r="BN401">
        <f t="shared" si="350"/>
        <v>-167.07091616846543</v>
      </c>
      <c r="BQ401" s="56">
        <f t="shared" si="363"/>
        <v>18.914707245716162</v>
      </c>
      <c r="BR401" s="59"/>
      <c r="BS401" s="59"/>
      <c r="BT401" s="59">
        <v>812830.51599999995</v>
      </c>
      <c r="BU401" s="59">
        <v>7.5259600000000004</v>
      </c>
      <c r="BV401" s="59">
        <v>105.187</v>
      </c>
      <c r="BY401" s="59"/>
      <c r="BZ401" s="59"/>
      <c r="CA401" s="59"/>
      <c r="CC401" s="59"/>
    </row>
    <row r="402" spans="1:81" x14ac:dyDescent="0.2">
      <c r="A402">
        <f t="shared" si="319"/>
        <v>940000</v>
      </c>
      <c r="B402">
        <f t="shared" si="351"/>
        <v>940</v>
      </c>
      <c r="C402">
        <f t="shared" si="320"/>
        <v>1.0253961516181314</v>
      </c>
      <c r="D402">
        <f t="shared" si="321"/>
        <v>0.22302500785041235</v>
      </c>
      <c r="F402">
        <f t="shared" si="322"/>
        <v>9.9469993336545037E-5</v>
      </c>
      <c r="G402">
        <f t="shared" si="323"/>
        <v>3.7576287869665989E-3</v>
      </c>
      <c r="H402">
        <f t="shared" si="324"/>
        <v>-3.1378350212130335</v>
      </c>
      <c r="J402">
        <f t="shared" si="325"/>
        <v>15</v>
      </c>
      <c r="M402">
        <f t="shared" si="326"/>
        <v>2.400796458512937E-4</v>
      </c>
      <c r="N402">
        <f t="shared" si="327"/>
        <v>-1.5707963250000001</v>
      </c>
      <c r="O402">
        <f t="shared" si="328"/>
        <v>882.20879172477987</v>
      </c>
      <c r="P402">
        <f t="shared" si="329"/>
        <v>1.5696628080366115</v>
      </c>
      <c r="Q402">
        <f t="shared" si="330"/>
        <v>131.28433038269975</v>
      </c>
      <c r="R402">
        <f t="shared" si="331"/>
        <v>1.5631791978712908</v>
      </c>
      <c r="S402">
        <f t="shared" si="332"/>
        <v>0.26046764557570351</v>
      </c>
      <c r="T402">
        <f t="shared" si="333"/>
        <v>-1.3072897909162613</v>
      </c>
      <c r="U402">
        <f t="shared" si="334"/>
        <v>0.23954584362424966</v>
      </c>
      <c r="V402">
        <f t="shared" si="335"/>
        <v>-1.328898278408055</v>
      </c>
      <c r="X402">
        <f t="shared" si="352"/>
        <v>-51.520858562945008</v>
      </c>
      <c r="Y402">
        <f t="shared" si="336"/>
        <v>-228.55013756166835</v>
      </c>
      <c r="Z402">
        <f t="shared" si="353"/>
        <v>-48.55013756166835</v>
      </c>
      <c r="AC402">
        <v>1</v>
      </c>
      <c r="AD402">
        <f t="shared" si="337"/>
        <v>882.20822496533992</v>
      </c>
      <c r="AE402">
        <f t="shared" si="338"/>
        <v>-0.93788875540851069</v>
      </c>
      <c r="AF402">
        <f t="shared" si="339"/>
        <v>0.23140468805076</v>
      </c>
      <c r="AG402">
        <f t="shared" si="315"/>
        <v>217.75914580781122</v>
      </c>
      <c r="AH402">
        <f t="shared" si="316"/>
        <v>-886.9044787696314</v>
      </c>
      <c r="AJ402">
        <f t="shared" si="340"/>
        <v>18000</v>
      </c>
      <c r="AK402">
        <f t="shared" si="341"/>
        <v>66721.094435217601</v>
      </c>
      <c r="AL402">
        <v>1</v>
      </c>
      <c r="AM402">
        <f t="shared" si="342"/>
        <v>131.28052179982322</v>
      </c>
      <c r="AN402">
        <f t="shared" si="317"/>
        <v>509.24787172793862</v>
      </c>
      <c r="AO402">
        <f t="shared" si="318"/>
        <v>-133.23189067561748</v>
      </c>
      <c r="AQ402">
        <f t="shared" si="343"/>
        <v>2.829333740002903E-3</v>
      </c>
      <c r="AR402">
        <f t="shared" si="344"/>
        <v>-5.3191474312054572</v>
      </c>
      <c r="AT402">
        <f t="shared" si="313"/>
        <v>-4716.9595666736714</v>
      </c>
      <c r="AU402">
        <f t="shared" si="314"/>
        <v>-1160.8023498110563</v>
      </c>
      <c r="AV402">
        <f t="shared" si="354"/>
        <v>-2.9002962091177849</v>
      </c>
      <c r="AW402">
        <f t="shared" si="355"/>
        <v>17.596705004821963</v>
      </c>
      <c r="AX402">
        <f t="shared" si="356"/>
        <v>-3872.8102473490535</v>
      </c>
      <c r="AY402">
        <f t="shared" si="364"/>
        <v>-1.5662527052929147</v>
      </c>
      <c r="BA402">
        <f t="shared" si="345"/>
        <v>1.254293742819472</v>
      </c>
      <c r="BB402">
        <f t="shared" si="357"/>
        <v>1.9679851150060439</v>
      </c>
      <c r="BC402">
        <f t="shared" si="358"/>
        <v>-1.3340435038248701</v>
      </c>
      <c r="BD402">
        <f t="shared" si="346"/>
        <v>-256.43506254334932</v>
      </c>
      <c r="BF402">
        <f t="shared" si="347"/>
        <v>-54.338514263498972</v>
      </c>
      <c r="BG402">
        <f t="shared" si="348"/>
        <v>-243.44137458233115</v>
      </c>
      <c r="BH402">
        <f t="shared" si="359"/>
        <v>-63.44137458233115</v>
      </c>
      <c r="BI402">
        <f t="shared" si="360"/>
        <v>-63.44137458233115</v>
      </c>
      <c r="BJ402">
        <f t="shared" si="349"/>
        <v>0</v>
      </c>
      <c r="BK402">
        <f t="shared" si="361"/>
        <v>0</v>
      </c>
      <c r="BM402">
        <f t="shared" si="362"/>
        <v>-56.306499378505009</v>
      </c>
      <c r="BN402">
        <f t="shared" si="350"/>
        <v>-167.00631203898183</v>
      </c>
      <c r="BQ402" s="56">
        <f t="shared" si="363"/>
        <v>18.869945915291179</v>
      </c>
      <c r="BR402" s="59"/>
      <c r="BS402" s="59"/>
      <c r="BT402" s="59">
        <v>831763.77099999995</v>
      </c>
      <c r="BU402" s="59">
        <v>7.3913599999999997</v>
      </c>
      <c r="BV402" s="59">
        <v>104.541</v>
      </c>
      <c r="BY402" s="59"/>
      <c r="BZ402" s="59"/>
      <c r="CA402" s="59"/>
      <c r="CC402" s="59"/>
    </row>
    <row r="403" spans="1:81" x14ac:dyDescent="0.2">
      <c r="A403">
        <f t="shared" si="319"/>
        <v>945000</v>
      </c>
      <c r="B403">
        <f t="shared" si="351"/>
        <v>945</v>
      </c>
      <c r="C403">
        <f t="shared" si="320"/>
        <v>1.025663652501031</v>
      </c>
      <c r="D403">
        <f t="shared" si="321"/>
        <v>0.22417206364554157</v>
      </c>
      <c r="F403">
        <f t="shared" si="322"/>
        <v>9.8420088461646424E-5</v>
      </c>
      <c r="G403">
        <f t="shared" si="323"/>
        <v>3.7377433769232001E-3</v>
      </c>
      <c r="H403">
        <f t="shared" si="324"/>
        <v>-3.137854906623077</v>
      </c>
      <c r="J403">
        <f t="shared" si="325"/>
        <v>15</v>
      </c>
      <c r="M403">
        <f t="shared" si="326"/>
        <v>2.3880938317483185E-4</v>
      </c>
      <c r="N403">
        <f t="shared" si="327"/>
        <v>-1.5707963250000001</v>
      </c>
      <c r="O403">
        <f t="shared" si="328"/>
        <v>886.90138566735959</v>
      </c>
      <c r="P403">
        <f t="shared" si="329"/>
        <v>1.5696688054852623</v>
      </c>
      <c r="Q403">
        <f t="shared" si="330"/>
        <v>131.98261087991895</v>
      </c>
      <c r="R403">
        <f t="shared" si="331"/>
        <v>1.5632194985941863</v>
      </c>
      <c r="S403">
        <f t="shared" si="332"/>
        <v>0.2591823163953445</v>
      </c>
      <c r="T403">
        <f t="shared" si="333"/>
        <v>-1.3086208339190128</v>
      </c>
      <c r="U403">
        <f t="shared" si="334"/>
        <v>0.23835059030905315</v>
      </c>
      <c r="V403">
        <f t="shared" si="335"/>
        <v>-1.3301291884307593</v>
      </c>
      <c r="X403">
        <f t="shared" si="352"/>
        <v>-51.651099803951546</v>
      </c>
      <c r="Y403">
        <f t="shared" si="336"/>
        <v>-228.62969186174232</v>
      </c>
      <c r="Z403">
        <f t="shared" si="353"/>
        <v>-48.629691861742316</v>
      </c>
      <c r="AC403">
        <v>1</v>
      </c>
      <c r="AD403">
        <f t="shared" si="337"/>
        <v>886.90082190664486</v>
      </c>
      <c r="AE403">
        <f t="shared" si="338"/>
        <v>-0.94789283137017355</v>
      </c>
      <c r="AF403">
        <f t="shared" si="339"/>
        <v>0.23263556405103</v>
      </c>
      <c r="AG403">
        <f t="shared" si="315"/>
        <v>215.59147728348452</v>
      </c>
      <c r="AH403">
        <f t="shared" si="316"/>
        <v>-882.74386016264555</v>
      </c>
      <c r="AJ403">
        <f t="shared" si="340"/>
        <v>18000</v>
      </c>
      <c r="AK403">
        <f t="shared" si="341"/>
        <v>67075.993873702799</v>
      </c>
      <c r="AL403">
        <v>1</v>
      </c>
      <c r="AM403">
        <f t="shared" si="342"/>
        <v>131.97882244769463</v>
      </c>
      <c r="AN403">
        <f t="shared" si="317"/>
        <v>509.23716145086269</v>
      </c>
      <c r="AO403">
        <f t="shared" si="318"/>
        <v>-132.52704118860444</v>
      </c>
      <c r="AQ403">
        <f t="shared" si="343"/>
        <v>2.7994729152395186E-3</v>
      </c>
      <c r="AR403">
        <f t="shared" si="344"/>
        <v>-5.2910038098026906</v>
      </c>
      <c r="AT403">
        <f t="shared" si="313"/>
        <v>-4669.9975846990792</v>
      </c>
      <c r="AU403">
        <f t="shared" si="314"/>
        <v>-1143.1665451955262</v>
      </c>
      <c r="AV403">
        <f t="shared" si="354"/>
        <v>-2.9015239360555629</v>
      </c>
      <c r="AW403">
        <f t="shared" si="355"/>
        <v>22.90308288082063</v>
      </c>
      <c r="AX403">
        <f t="shared" si="356"/>
        <v>-3852.7829474583023</v>
      </c>
      <c r="AY403">
        <f t="shared" si="364"/>
        <v>-1.56485184110292</v>
      </c>
      <c r="BA403">
        <f t="shared" si="345"/>
        <v>1.2478758383441158</v>
      </c>
      <c r="BB403">
        <f t="shared" si="357"/>
        <v>1.923427517752816</v>
      </c>
      <c r="BC403">
        <f t="shared" si="358"/>
        <v>-1.3366720949526429</v>
      </c>
      <c r="BD403">
        <f t="shared" si="346"/>
        <v>-256.58566972120832</v>
      </c>
      <c r="BF403">
        <f t="shared" si="347"/>
        <v>-54.472972975179495</v>
      </c>
      <c r="BG403">
        <f t="shared" si="348"/>
        <v>-243.52739965425883</v>
      </c>
      <c r="BH403">
        <f t="shared" si="359"/>
        <v>-63.527399654258829</v>
      </c>
      <c r="BI403">
        <f t="shared" si="360"/>
        <v>-63.527399654258829</v>
      </c>
      <c r="BJ403">
        <f t="shared" si="349"/>
        <v>0</v>
      </c>
      <c r="BK403">
        <f t="shared" si="361"/>
        <v>0</v>
      </c>
      <c r="BM403">
        <f t="shared" si="362"/>
        <v>-56.396400492932315</v>
      </c>
      <c r="BN403">
        <f t="shared" si="350"/>
        <v>-166.94172993305045</v>
      </c>
      <c r="BQ403" s="56">
        <f t="shared" si="363"/>
        <v>18.825388318037952</v>
      </c>
      <c r="BR403" s="59"/>
      <c r="BS403" s="59"/>
      <c r="BT403" s="59">
        <v>851138.03799999994</v>
      </c>
      <c r="BU403" s="59">
        <v>7.3125499999999999</v>
      </c>
      <c r="BV403" s="59">
        <v>103.205</v>
      </c>
      <c r="BY403" s="59"/>
      <c r="BZ403" s="59"/>
      <c r="CA403" s="59"/>
      <c r="CC403" s="59"/>
    </row>
    <row r="404" spans="1:81" x14ac:dyDescent="0.2">
      <c r="A404">
        <f t="shared" si="319"/>
        <v>950000</v>
      </c>
      <c r="B404">
        <f t="shared" si="351"/>
        <v>950</v>
      </c>
      <c r="C404">
        <f t="shared" si="320"/>
        <v>1.0259325021827723</v>
      </c>
      <c r="D404">
        <f t="shared" si="321"/>
        <v>0.22531851976740605</v>
      </c>
      <c r="F404">
        <f t="shared" si="322"/>
        <v>9.7386719389350504E-5</v>
      </c>
      <c r="G404">
        <f t="shared" si="323"/>
        <v>3.7180673461475271E-3</v>
      </c>
      <c r="H404">
        <f t="shared" si="324"/>
        <v>-3.1378745826538528</v>
      </c>
      <c r="J404">
        <f t="shared" si="325"/>
        <v>15</v>
      </c>
      <c r="M404">
        <f t="shared" si="326"/>
        <v>2.3755249168443799E-4</v>
      </c>
      <c r="N404">
        <f t="shared" si="327"/>
        <v>-1.5707963250000001</v>
      </c>
      <c r="O404">
        <f t="shared" si="328"/>
        <v>891.5939796415048</v>
      </c>
      <c r="P404">
        <f t="shared" si="329"/>
        <v>1.5696747398029547</v>
      </c>
      <c r="Q404">
        <f t="shared" si="330"/>
        <v>132.68089158924118</v>
      </c>
      <c r="R404">
        <f t="shared" si="331"/>
        <v>1.5632593751231716</v>
      </c>
      <c r="S404">
        <f t="shared" si="332"/>
        <v>0.2579091601247479</v>
      </c>
      <c r="T404">
        <f t="shared" si="333"/>
        <v>-1.3099388025296219</v>
      </c>
      <c r="U404">
        <f t="shared" si="334"/>
        <v>0.23716685159280418</v>
      </c>
      <c r="V404">
        <f t="shared" si="335"/>
        <v>-1.33134787396003</v>
      </c>
      <c r="X404">
        <f t="shared" si="352"/>
        <v>-51.780687235814625</v>
      </c>
      <c r="Y404">
        <f t="shared" si="336"/>
        <v>-228.70784692630178</v>
      </c>
      <c r="Z404">
        <f t="shared" si="353"/>
        <v>-48.707846926301784</v>
      </c>
      <c r="AC404">
        <v>1</v>
      </c>
      <c r="AD404">
        <f t="shared" si="337"/>
        <v>891.59341884795003</v>
      </c>
      <c r="AE404">
        <f t="shared" si="338"/>
        <v>-0.95794997935285298</v>
      </c>
      <c r="AF404">
        <f t="shared" si="339"/>
        <v>0.2338664400513</v>
      </c>
      <c r="AG404">
        <f t="shared" si="315"/>
        <v>213.45537802959296</v>
      </c>
      <c r="AH404">
        <f t="shared" si="316"/>
        <v>-878.61933046541799</v>
      </c>
      <c r="AJ404">
        <f t="shared" si="340"/>
        <v>18000</v>
      </c>
      <c r="AK404">
        <f t="shared" si="341"/>
        <v>67430.893312187996</v>
      </c>
      <c r="AL404">
        <v>1</v>
      </c>
      <c r="AM404">
        <f t="shared" si="342"/>
        <v>132.67712309556603</v>
      </c>
      <c r="AN404">
        <f t="shared" si="317"/>
        <v>509.22661982519753</v>
      </c>
      <c r="AO404">
        <f t="shared" si="318"/>
        <v>-131.82960989873416</v>
      </c>
      <c r="AQ404">
        <f t="shared" si="343"/>
        <v>2.770082335157248E-3</v>
      </c>
      <c r="AR404">
        <f t="shared" si="344"/>
        <v>-5.2631564367987709</v>
      </c>
      <c r="AT404">
        <f t="shared" si="313"/>
        <v>-4623.7196956628668</v>
      </c>
      <c r="AU404">
        <f t="shared" si="314"/>
        <v>-1125.8828947324171</v>
      </c>
      <c r="AV404">
        <f t="shared" si="354"/>
        <v>-2.9027394720059925</v>
      </c>
      <c r="AW404">
        <f t="shared" si="355"/>
        <v>28.123376739692652</v>
      </c>
      <c r="AX404">
        <f t="shared" si="356"/>
        <v>-3832.9598138839665</v>
      </c>
      <c r="AY404">
        <f t="shared" si="364"/>
        <v>-1.5634592104551486</v>
      </c>
      <c r="BA404">
        <f t="shared" si="345"/>
        <v>1.2415196391575181</v>
      </c>
      <c r="BB404">
        <f t="shared" si="357"/>
        <v>1.8790718778967039</v>
      </c>
      <c r="BC404">
        <f t="shared" si="358"/>
        <v>-1.3392802615508439</v>
      </c>
      <c r="BD404">
        <f t="shared" si="346"/>
        <v>-256.73510665972299</v>
      </c>
      <c r="BF404">
        <f t="shared" si="347"/>
        <v>-54.606732440888557</v>
      </c>
      <c r="BG404">
        <f t="shared" si="348"/>
        <v>-243.61227684904094</v>
      </c>
      <c r="BH404">
        <f t="shared" si="359"/>
        <v>-63.612276849040938</v>
      </c>
      <c r="BI404">
        <f t="shared" si="360"/>
        <v>-63.612276849040938</v>
      </c>
      <c r="BJ404">
        <f t="shared" si="349"/>
        <v>0</v>
      </c>
      <c r="BK404">
        <f t="shared" si="361"/>
        <v>0</v>
      </c>
      <c r="BM404">
        <f t="shared" si="362"/>
        <v>-56.485804318785256</v>
      </c>
      <c r="BN404">
        <f t="shared" si="350"/>
        <v>-166.87717018931795</v>
      </c>
      <c r="BQ404" s="56">
        <f t="shared" si="363"/>
        <v>18.781032678181838</v>
      </c>
      <c r="BR404" s="59"/>
      <c r="BS404" s="59"/>
      <c r="BT404" s="59">
        <v>870963.59</v>
      </c>
      <c r="BU404" s="59">
        <v>7.1463099999999997</v>
      </c>
      <c r="BV404" s="59">
        <v>103.91</v>
      </c>
      <c r="BY404" s="59"/>
      <c r="BZ404" s="59"/>
      <c r="CA404" s="59"/>
      <c r="CC404" s="59"/>
    </row>
    <row r="405" spans="1:81" x14ac:dyDescent="0.2">
      <c r="A405">
        <f t="shared" si="319"/>
        <v>955000</v>
      </c>
      <c r="B405">
        <f t="shared" si="351"/>
        <v>955</v>
      </c>
      <c r="C405">
        <f t="shared" si="320"/>
        <v>1.0262026996032603</v>
      </c>
      <c r="D405">
        <f t="shared" si="321"/>
        <v>0.22646437367479469</v>
      </c>
      <c r="F405">
        <f t="shared" si="322"/>
        <v>9.6369540675918857E-5</v>
      </c>
      <c r="G405">
        <f t="shared" si="323"/>
        <v>3.6985974047305274E-3</v>
      </c>
      <c r="H405">
        <f t="shared" si="324"/>
        <v>-3.1378940525952697</v>
      </c>
      <c r="J405">
        <f t="shared" si="325"/>
        <v>15</v>
      </c>
      <c r="M405">
        <f t="shared" si="326"/>
        <v>2.3630876136148283E-4</v>
      </c>
      <c r="N405">
        <f t="shared" si="327"/>
        <v>-1.5707963250000001</v>
      </c>
      <c r="O405">
        <f t="shared" si="328"/>
        <v>896.28657364671972</v>
      </c>
      <c r="P405">
        <f t="shared" si="329"/>
        <v>1.5696806119812725</v>
      </c>
      <c r="Q405">
        <f t="shared" si="330"/>
        <v>133.37917250733523</v>
      </c>
      <c r="R405">
        <f t="shared" si="331"/>
        <v>1.563298834120475</v>
      </c>
      <c r="S405">
        <f t="shared" si="332"/>
        <v>0.25664801142642946</v>
      </c>
      <c r="T405">
        <f t="shared" si="333"/>
        <v>-1.3112438839326817</v>
      </c>
      <c r="U405">
        <f t="shared" si="334"/>
        <v>0.23599446723710804</v>
      </c>
      <c r="V405">
        <f t="shared" si="335"/>
        <v>-1.3325545126364284</v>
      </c>
      <c r="X405">
        <f t="shared" si="352"/>
        <v>-51.909626819937735</v>
      </c>
      <c r="Y405">
        <f t="shared" si="336"/>
        <v>-228.78462355385594</v>
      </c>
      <c r="Z405">
        <f t="shared" si="353"/>
        <v>-48.784623553855937</v>
      </c>
      <c r="AC405">
        <v>1</v>
      </c>
      <c r="AD405">
        <f t="shared" si="337"/>
        <v>896.28601578925498</v>
      </c>
      <c r="AE405">
        <f t="shared" si="338"/>
        <v>-0.96806019935654941</v>
      </c>
      <c r="AF405">
        <f t="shared" si="339"/>
        <v>0.23509731605157</v>
      </c>
      <c r="AG405">
        <f t="shared" si="315"/>
        <v>211.35025068335563</v>
      </c>
      <c r="AH405">
        <f t="shared" si="316"/>
        <v>-874.53046790838891</v>
      </c>
      <c r="AJ405">
        <f t="shared" si="340"/>
        <v>18000</v>
      </c>
      <c r="AK405">
        <f t="shared" si="341"/>
        <v>67785.792750673209</v>
      </c>
      <c r="AL405">
        <v>1</v>
      </c>
      <c r="AM405">
        <f t="shared" si="342"/>
        <v>133.37542374343741</v>
      </c>
      <c r="AN405">
        <f t="shared" si="317"/>
        <v>509.21624332857061</v>
      </c>
      <c r="AO405">
        <f t="shared" si="318"/>
        <v>-131.13948031623065</v>
      </c>
      <c r="AQ405">
        <f t="shared" si="343"/>
        <v>2.7411521775301726E-3</v>
      </c>
      <c r="AR405">
        <f t="shared" si="344"/>
        <v>-5.2356006590826292</v>
      </c>
      <c r="AT405">
        <f t="shared" si="313"/>
        <v>-4578.1129509691191</v>
      </c>
      <c r="AU405">
        <f t="shared" si="314"/>
        <v>-1108.9427328714792</v>
      </c>
      <c r="AV405">
        <f t="shared" si="354"/>
        <v>-2.9039429940833634</v>
      </c>
      <c r="AW405">
        <f t="shared" si="355"/>
        <v>33.259445544391795</v>
      </c>
      <c r="AX405">
        <f t="shared" si="356"/>
        <v>-3813.3377631007397</v>
      </c>
      <c r="AY405">
        <f t="shared" si="364"/>
        <v>-1.5620746755044466</v>
      </c>
      <c r="BA405">
        <f t="shared" si="345"/>
        <v>1.2352242863030822</v>
      </c>
      <c r="BB405">
        <f t="shared" si="357"/>
        <v>1.8349164387147776</v>
      </c>
      <c r="BC405">
        <f t="shared" si="358"/>
        <v>-1.3418683185789169</v>
      </c>
      <c r="BD405">
        <f t="shared" si="346"/>
        <v>-256.88339140474022</v>
      </c>
      <c r="BF405">
        <f t="shared" si="347"/>
        <v>-54.73979954361652</v>
      </c>
      <c r="BG405">
        <f t="shared" si="348"/>
        <v>-243.69602454662299</v>
      </c>
      <c r="BH405">
        <f t="shared" si="359"/>
        <v>-63.696024546622994</v>
      </c>
      <c r="BI405">
        <f t="shared" si="360"/>
        <v>-63.696024546622994</v>
      </c>
      <c r="BJ405">
        <f t="shared" si="349"/>
        <v>0</v>
      </c>
      <c r="BK405">
        <f t="shared" si="361"/>
        <v>0</v>
      </c>
      <c r="BM405">
        <f t="shared" si="362"/>
        <v>-56.574715982331298</v>
      </c>
      <c r="BN405">
        <f t="shared" si="350"/>
        <v>-166.8126331418828</v>
      </c>
      <c r="BQ405" s="56">
        <f t="shared" si="363"/>
        <v>18.736877238999913</v>
      </c>
      <c r="BR405" s="59"/>
      <c r="BS405" s="59"/>
      <c r="BT405" s="59">
        <v>891250.93799999997</v>
      </c>
      <c r="BU405" s="59">
        <v>6.8612700000000002</v>
      </c>
      <c r="BV405" s="59">
        <v>102.337</v>
      </c>
      <c r="BY405" s="59"/>
      <c r="BZ405" s="59"/>
      <c r="CA405" s="59"/>
      <c r="CC405" s="59"/>
    </row>
    <row r="406" spans="1:81" x14ac:dyDescent="0.2">
      <c r="A406">
        <f t="shared" si="319"/>
        <v>960000</v>
      </c>
      <c r="B406">
        <f t="shared" si="351"/>
        <v>960</v>
      </c>
      <c r="C406">
        <f t="shared" si="320"/>
        <v>1.0264742436982042</v>
      </c>
      <c r="D406">
        <f t="shared" si="321"/>
        <v>0.22760962283549085</v>
      </c>
      <c r="F406">
        <f t="shared" si="322"/>
        <v>9.5368215851674194E-5</v>
      </c>
      <c r="G406">
        <f t="shared" si="323"/>
        <v>3.6793303313346877E-3</v>
      </c>
      <c r="H406">
        <f t="shared" si="324"/>
        <v>-3.1379133196686655</v>
      </c>
      <c r="J406">
        <f t="shared" si="325"/>
        <v>15</v>
      </c>
      <c r="M406">
        <f t="shared" si="326"/>
        <v>2.3507798656272511E-4</v>
      </c>
      <c r="N406">
        <f t="shared" si="327"/>
        <v>-1.5707963250000001</v>
      </c>
      <c r="O406">
        <f t="shared" si="328"/>
        <v>900.97916768251889</v>
      </c>
      <c r="P406">
        <f t="shared" si="329"/>
        <v>1.569686422991142</v>
      </c>
      <c r="Q406">
        <f t="shared" si="330"/>
        <v>134.07745363093915</v>
      </c>
      <c r="R406">
        <f t="shared" si="331"/>
        <v>1.5633378821095409</v>
      </c>
      <c r="S406">
        <f t="shared" si="332"/>
        <v>0.25539870780554241</v>
      </c>
      <c r="T406">
        <f t="shared" si="333"/>
        <v>-1.3125362618456191</v>
      </c>
      <c r="U406">
        <f t="shared" si="334"/>
        <v>0.23483327985374455</v>
      </c>
      <c r="V406">
        <f t="shared" si="335"/>
        <v>-1.333749278746142</v>
      </c>
      <c r="X406">
        <f t="shared" si="352"/>
        <v>-52.037924439666902</v>
      </c>
      <c r="Y406">
        <f t="shared" si="336"/>
        <v>-228.86004215675939</v>
      </c>
      <c r="Z406">
        <f t="shared" si="353"/>
        <v>-48.860042156759391</v>
      </c>
      <c r="AC406">
        <v>1</v>
      </c>
      <c r="AD406">
        <f t="shared" si="337"/>
        <v>900.97861273056003</v>
      </c>
      <c r="AE406">
        <f t="shared" si="338"/>
        <v>-0.97822349138126241</v>
      </c>
      <c r="AF406">
        <f t="shared" si="339"/>
        <v>0.23632819205184</v>
      </c>
      <c r="AG406">
        <f t="shared" si="315"/>
        <v>209.27551162851458</v>
      </c>
      <c r="AH406">
        <f t="shared" si="316"/>
        <v>-870.4768561878559</v>
      </c>
      <c r="AJ406">
        <f t="shared" si="340"/>
        <v>18000</v>
      </c>
      <c r="AK406">
        <f t="shared" si="341"/>
        <v>68140.692189158406</v>
      </c>
      <c r="AL406">
        <v>1</v>
      </c>
      <c r="AM406">
        <f t="shared" si="342"/>
        <v>134.07372439130882</v>
      </c>
      <c r="AN406">
        <f t="shared" si="317"/>
        <v>509.20602853008774</v>
      </c>
      <c r="AO406">
        <f t="shared" si="318"/>
        <v>-130.45653837750581</v>
      </c>
      <c r="AQ406">
        <f t="shared" si="343"/>
        <v>2.7126728752514986E-3</v>
      </c>
      <c r="AR406">
        <f t="shared" si="344"/>
        <v>-5.2083319204828777</v>
      </c>
      <c r="AT406">
        <f t="shared" ref="AT406:AT469" si="365">-AR406*AH406+AG406*AQ406</f>
        <v>-4533.164700120944</v>
      </c>
      <c r="AU406">
        <f t="shared" ref="AU406:AU469" si="366">AQ406*AH406+AG406*AR406</f>
        <v>-1092.3376463464931</v>
      </c>
      <c r="AV406">
        <f t="shared" si="354"/>
        <v>-2.9051346760585548</v>
      </c>
      <c r="AW406">
        <f t="shared" si="355"/>
        <v>38.313098238160812</v>
      </c>
      <c r="AX406">
        <f t="shared" si="356"/>
        <v>-3793.9137730592906</v>
      </c>
      <c r="AY406">
        <f t="shared" si="364"/>
        <v>-1.5606981015304988</v>
      </c>
      <c r="BA406">
        <f t="shared" si="345"/>
        <v>1.2289889358882204</v>
      </c>
      <c r="BB406">
        <f t="shared" si="357"/>
        <v>1.7909594623780303</v>
      </c>
      <c r="BC406">
        <f t="shared" si="358"/>
        <v>-1.344436574528056</v>
      </c>
      <c r="BD406">
        <f t="shared" si="346"/>
        <v>-257.03054163150341</v>
      </c>
      <c r="BF406">
        <f t="shared" si="347"/>
        <v>-54.872181067461185</v>
      </c>
      <c r="BG406">
        <f t="shared" si="348"/>
        <v>-243.77866075190281</v>
      </c>
      <c r="BH406">
        <f t="shared" si="359"/>
        <v>-63.778660751902805</v>
      </c>
      <c r="BI406">
        <f t="shared" si="360"/>
        <v>-63.778660751902805</v>
      </c>
      <c r="BJ406">
        <f t="shared" si="349"/>
        <v>0</v>
      </c>
      <c r="BK406">
        <f t="shared" si="361"/>
        <v>0</v>
      </c>
      <c r="BM406">
        <f t="shared" si="362"/>
        <v>-56.663140529839211</v>
      </c>
      <c r="BN406">
        <f t="shared" si="350"/>
        <v>-166.74811912039945</v>
      </c>
      <c r="BQ406" s="56">
        <f t="shared" si="363"/>
        <v>18.692920262663165</v>
      </c>
      <c r="BR406" s="59"/>
      <c r="BS406" s="59"/>
      <c r="BT406" s="59">
        <v>912010.83900000004</v>
      </c>
      <c r="BU406" s="59">
        <v>6.4708399999999999</v>
      </c>
      <c r="BV406" s="59">
        <v>100.33499999999999</v>
      </c>
      <c r="BY406" s="59"/>
      <c r="BZ406" s="59"/>
      <c r="CA406" s="59"/>
      <c r="CC406" s="59"/>
    </row>
    <row r="407" spans="1:81" x14ac:dyDescent="0.2">
      <c r="A407">
        <f t="shared" si="319"/>
        <v>965000</v>
      </c>
      <c r="B407">
        <f t="shared" si="351"/>
        <v>965</v>
      </c>
      <c r="C407">
        <f t="shared" si="320"/>
        <v>1.0267471333991385</v>
      </c>
      <c r="D407">
        <f t="shared" si="321"/>
        <v>0.2287542647262957</v>
      </c>
      <c r="F407">
        <f t="shared" si="322"/>
        <v>9.4382417142681175E-5</v>
      </c>
      <c r="G407">
        <f t="shared" si="323"/>
        <v>3.6602629714165987E-3</v>
      </c>
      <c r="H407">
        <f t="shared" si="324"/>
        <v>-3.1379323870285836</v>
      </c>
      <c r="J407">
        <f t="shared" si="325"/>
        <v>15</v>
      </c>
      <c r="M407">
        <f t="shared" si="326"/>
        <v>2.3385996590695969E-4</v>
      </c>
      <c r="N407">
        <f t="shared" si="327"/>
        <v>-1.5707963250000001</v>
      </c>
      <c r="O407">
        <f t="shared" si="328"/>
        <v>905.67176174842689</v>
      </c>
      <c r="P407">
        <f t="shared" si="329"/>
        <v>1.5696921737833665</v>
      </c>
      <c r="Q407">
        <f t="shared" si="330"/>
        <v>134.77573495685868</v>
      </c>
      <c r="R407">
        <f t="shared" si="331"/>
        <v>1.5633765254786263</v>
      </c>
      <c r="S407">
        <f t="shared" si="332"/>
        <v>0.25416108955263977</v>
      </c>
      <c r="T407">
        <f t="shared" si="333"/>
        <v>-1.3138161165963995</v>
      </c>
      <c r="U407">
        <f t="shared" si="334"/>
        <v>0.23368313484440989</v>
      </c>
      <c r="V407">
        <f t="shared" si="335"/>
        <v>-1.3349323432980262</v>
      </c>
      <c r="X407">
        <f t="shared" si="352"/>
        <v>-52.165585901575412</v>
      </c>
      <c r="Y407">
        <f t="shared" si="336"/>
        <v>-228.93412276994275</v>
      </c>
      <c r="Z407">
        <f t="shared" si="353"/>
        <v>-48.934122769942746</v>
      </c>
      <c r="AC407">
        <v>1</v>
      </c>
      <c r="AD407">
        <f t="shared" si="337"/>
        <v>905.67120967186497</v>
      </c>
      <c r="AE407">
        <f t="shared" si="338"/>
        <v>-0.98843985542699242</v>
      </c>
      <c r="AF407">
        <f t="shared" si="339"/>
        <v>0.23755906805211002</v>
      </c>
      <c r="AG407">
        <f t="shared" si="315"/>
        <v>207.23059062694327</v>
      </c>
      <c r="AH407">
        <f t="shared" si="316"/>
        <v>-866.45808441290433</v>
      </c>
      <c r="AJ407">
        <f t="shared" si="340"/>
        <v>18000</v>
      </c>
      <c r="AK407">
        <f t="shared" si="341"/>
        <v>68495.591627643589</v>
      </c>
      <c r="AL407">
        <v>1</v>
      </c>
      <c r="AM407">
        <f t="shared" si="342"/>
        <v>134.77202503918019</v>
      </c>
      <c r="AN407">
        <f t="shared" si="317"/>
        <v>509.19597208749752</v>
      </c>
      <c r="AO407">
        <f t="shared" si="318"/>
        <v>-129.78067238232614</v>
      </c>
      <c r="AQ407">
        <f t="shared" si="343"/>
        <v>2.6846351084230157E-3</v>
      </c>
      <c r="AR407">
        <f t="shared" si="344"/>
        <v>-5.1813457592564207</v>
      </c>
      <c r="AT407">
        <f t="shared" si="365"/>
        <v>-4488.8625827271071</v>
      </c>
      <c r="AU407">
        <f t="shared" si="366"/>
        <v>-1076.0594657265078</v>
      </c>
      <c r="AV407">
        <f t="shared" si="354"/>
        <v>-2.9063146884357938</v>
      </c>
      <c r="AW407">
        <f t="shared" si="355"/>
        <v>43.286095352234113</v>
      </c>
      <c r="AX407">
        <f t="shared" si="356"/>
        <v>-3774.6848816651836</v>
      </c>
      <c r="AY407">
        <f t="shared" si="364"/>
        <v>-1.5593293568509703</v>
      </c>
      <c r="BA407">
        <f t="shared" si="345"/>
        <v>1.2228127587809707</v>
      </c>
      <c r="BB407">
        <f t="shared" si="357"/>
        <v>1.747199229789949</v>
      </c>
      <c r="BC407">
        <f t="shared" si="358"/>
        <v>-1.3469853315848235</v>
      </c>
      <c r="BD407">
        <f t="shared" si="346"/>
        <v>-257.17657465402721</v>
      </c>
      <c r="BF407">
        <f t="shared" si="347"/>
        <v>-55.003883699453134</v>
      </c>
      <c r="BG407">
        <f t="shared" si="348"/>
        <v>-243.86020310420571</v>
      </c>
      <c r="BH407">
        <f t="shared" si="359"/>
        <v>-63.860203104205709</v>
      </c>
      <c r="BI407">
        <f t="shared" si="360"/>
        <v>-63.860203104205709</v>
      </c>
      <c r="BJ407">
        <f t="shared" si="349"/>
        <v>0</v>
      </c>
      <c r="BK407">
        <f t="shared" si="361"/>
        <v>0</v>
      </c>
      <c r="BM407">
        <f t="shared" si="362"/>
        <v>-56.751082929243083</v>
      </c>
      <c r="BN407">
        <f t="shared" si="350"/>
        <v>-166.6836284501785</v>
      </c>
      <c r="BQ407" s="56">
        <f t="shared" si="363"/>
        <v>18.649160030075084</v>
      </c>
      <c r="BR407" s="59"/>
      <c r="BS407" s="59"/>
      <c r="BT407" s="59">
        <v>933254.30099999998</v>
      </c>
      <c r="BU407" s="59">
        <v>6.2453099999999999</v>
      </c>
      <c r="BV407" s="59">
        <v>100.20399999999999</v>
      </c>
      <c r="BY407" s="59"/>
      <c r="BZ407" s="59"/>
      <c r="CA407" s="59"/>
      <c r="CC407" s="59"/>
    </row>
    <row r="408" spans="1:81" x14ac:dyDescent="0.2">
      <c r="A408">
        <f t="shared" si="319"/>
        <v>970000</v>
      </c>
      <c r="B408">
        <f t="shared" si="351"/>
        <v>970</v>
      </c>
      <c r="C408">
        <f t="shared" si="320"/>
        <v>1.0270213676334405</v>
      </c>
      <c r="D408">
        <f t="shared" si="321"/>
        <v>0.22989829683305052</v>
      </c>
      <c r="F408">
        <f t="shared" si="322"/>
        <v>9.3411825202445917E-5</v>
      </c>
      <c r="G408">
        <f t="shared" si="323"/>
        <v>3.6413922355045111E-3</v>
      </c>
      <c r="H408">
        <f t="shared" si="324"/>
        <v>-3.1379512577644957</v>
      </c>
      <c r="J408">
        <f t="shared" si="325"/>
        <v>15</v>
      </c>
      <c r="M408">
        <f t="shared" si="326"/>
        <v>2.3265450216517123E-4</v>
      </c>
      <c r="N408">
        <f t="shared" si="327"/>
        <v>-1.5707963250000001</v>
      </c>
      <c r="O408">
        <f t="shared" si="328"/>
        <v>910.36435584397816</v>
      </c>
      <c r="P408">
        <f t="shared" si="329"/>
        <v>1.5696978652891449</v>
      </c>
      <c r="Q408">
        <f t="shared" si="330"/>
        <v>135.47401648196544</v>
      </c>
      <c r="R408">
        <f t="shared" si="331"/>
        <v>1.5634147704842827</v>
      </c>
      <c r="S408">
        <f t="shared" si="332"/>
        <v>0.252934999687698</v>
      </c>
      <c r="T408">
        <f t="shared" si="333"/>
        <v>-1.3150836251992173</v>
      </c>
      <c r="U408">
        <f t="shared" si="334"/>
        <v>0.23254388034189002</v>
      </c>
      <c r="V408">
        <f t="shared" si="335"/>
        <v>-1.3361038740985847</v>
      </c>
      <c r="X408">
        <f t="shared" si="352"/>
        <v>-52.292616936724301</v>
      </c>
      <c r="Y408">
        <f t="shared" si="336"/>
        <v>-229.00688505941324</v>
      </c>
      <c r="Z408">
        <f t="shared" si="353"/>
        <v>-49.006885059413236</v>
      </c>
      <c r="AC408">
        <v>1</v>
      </c>
      <c r="AD408">
        <f t="shared" si="337"/>
        <v>910.36380661316991</v>
      </c>
      <c r="AE408">
        <f t="shared" si="338"/>
        <v>-0.99870929149373899</v>
      </c>
      <c r="AF408">
        <f t="shared" si="339"/>
        <v>0.23878994405238002</v>
      </c>
      <c r="AG408">
        <f t="shared" si="315"/>
        <v>205.21493046139125</v>
      </c>
      <c r="AH408">
        <f t="shared" si="316"/>
        <v>-862.47374705132722</v>
      </c>
      <c r="AJ408">
        <f t="shared" si="340"/>
        <v>18000</v>
      </c>
      <c r="AK408">
        <f t="shared" si="341"/>
        <v>68850.491066128801</v>
      </c>
      <c r="AL408">
        <v>1</v>
      </c>
      <c r="AM408">
        <f t="shared" si="342"/>
        <v>135.4703256870516</v>
      </c>
      <c r="AN408">
        <f t="shared" si="317"/>
        <v>509.18607074445731</v>
      </c>
      <c r="AO408">
        <f t="shared" si="318"/>
        <v>-129.11177293292158</v>
      </c>
      <c r="AQ408">
        <f t="shared" si="343"/>
        <v>2.6570297967292494E-3</v>
      </c>
      <c r="AR408">
        <f t="shared" si="344"/>
        <v>-5.1546378056547439</v>
      </c>
      <c r="AT408">
        <f t="shared" si="365"/>
        <v>-4445.1945207505078</v>
      </c>
      <c r="AU408">
        <f t="shared" si="366"/>
        <v>-1060.1002572859086</v>
      </c>
      <c r="AV408">
        <f t="shared" si="354"/>
        <v>-2.9074831985273604</v>
      </c>
      <c r="AW408">
        <f t="shared" si="355"/>
        <v>48.180150553601365</v>
      </c>
      <c r="AX408">
        <f t="shared" si="356"/>
        <v>-3755.6481853027944</v>
      </c>
      <c r="AY408">
        <f t="shared" si="364"/>
        <v>-1.5579683127374846</v>
      </c>
      <c r="BA408">
        <f t="shared" si="345"/>
        <v>1.2166949403129343</v>
      </c>
      <c r="BB408">
        <f t="shared" si="357"/>
        <v>1.7036340404220272</v>
      </c>
      <c r="BC408">
        <f t="shared" si="358"/>
        <v>-1.3495148857898758</v>
      </c>
      <c r="BD408">
        <f t="shared" si="346"/>
        <v>-257.32150743419191</v>
      </c>
      <c r="BF408">
        <f t="shared" si="347"/>
        <v>-55.134914031341168</v>
      </c>
      <c r="BG408">
        <f t="shared" si="348"/>
        <v>-243.94066888647629</v>
      </c>
      <c r="BH408">
        <f t="shared" si="359"/>
        <v>-63.940668886476288</v>
      </c>
      <c r="BI408">
        <f t="shared" si="360"/>
        <v>-63.940668886476288</v>
      </c>
      <c r="BJ408">
        <f t="shared" si="349"/>
        <v>0</v>
      </c>
      <c r="BK408">
        <f t="shared" si="361"/>
        <v>0</v>
      </c>
      <c r="BM408">
        <f t="shared" si="362"/>
        <v>-56.838548071763185</v>
      </c>
      <c r="BN408">
        <f t="shared" si="350"/>
        <v>-166.61916145228443</v>
      </c>
      <c r="BQ408" s="56">
        <f t="shared" si="363"/>
        <v>18.605594840707166</v>
      </c>
      <c r="BR408" s="59"/>
      <c r="BS408" s="59"/>
      <c r="BT408" s="59">
        <v>954992.58600000001</v>
      </c>
      <c r="BU408" s="59">
        <v>6.1328699999999996</v>
      </c>
      <c r="BV408" s="59">
        <v>99.956599999999995</v>
      </c>
      <c r="BY408" s="59"/>
      <c r="BZ408" s="59"/>
      <c r="CA408" s="59"/>
      <c r="CC408" s="59"/>
    </row>
    <row r="409" spans="1:81" x14ac:dyDescent="0.2">
      <c r="A409">
        <f t="shared" si="319"/>
        <v>975000</v>
      </c>
      <c r="B409">
        <f t="shared" si="351"/>
        <v>975</v>
      </c>
      <c r="C409">
        <f t="shared" si="320"/>
        <v>1.0272969453243515</v>
      </c>
      <c r="D409">
        <f t="shared" si="321"/>
        <v>0.23104171665065934</v>
      </c>
      <c r="F409">
        <f t="shared" si="322"/>
        <v>9.2456128853224596E-5</v>
      </c>
      <c r="G409">
        <f t="shared" si="323"/>
        <v>3.6227150975289319E-3</v>
      </c>
      <c r="H409">
        <f t="shared" si="324"/>
        <v>-3.1379699349024714</v>
      </c>
      <c r="J409">
        <f t="shared" si="325"/>
        <v>15</v>
      </c>
      <c r="M409">
        <f t="shared" si="326"/>
        <v>2.314614021540678E-4</v>
      </c>
      <c r="N409">
        <f t="shared" si="327"/>
        <v>-1.5707963250000001</v>
      </c>
      <c r="O409">
        <f t="shared" si="328"/>
        <v>915.05694996871648</v>
      </c>
      <c r="P409">
        <f t="shared" si="329"/>
        <v>1.5697034984205753</v>
      </c>
      <c r="Q409">
        <f t="shared" si="330"/>
        <v>136.17229820319508</v>
      </c>
      <c r="R409">
        <f t="shared" si="331"/>
        <v>1.5634526232547343</v>
      </c>
      <c r="S409">
        <f t="shared" si="332"/>
        <v>0.25172028390537537</v>
      </c>
      <c r="T409">
        <f t="shared" si="333"/>
        <v>-1.3163389614282301</v>
      </c>
      <c r="U409">
        <f t="shared" si="334"/>
        <v>0.23141536715263139</v>
      </c>
      <c r="V409">
        <f t="shared" si="335"/>
        <v>-1.3372640358249521</v>
      </c>
      <c r="X409">
        <f t="shared" si="352"/>
        <v>-52.419023201898732</v>
      </c>
      <c r="Y409">
        <f t="shared" si="336"/>
        <v>-229.07834833053326</v>
      </c>
      <c r="Z409">
        <f t="shared" si="353"/>
        <v>-49.07834833053326</v>
      </c>
      <c r="AC409">
        <v>1</v>
      </c>
      <c r="AD409">
        <f t="shared" si="337"/>
        <v>915.05640355447508</v>
      </c>
      <c r="AE409">
        <f t="shared" si="338"/>
        <v>-1.0090317995815026</v>
      </c>
      <c r="AF409">
        <f t="shared" si="339"/>
        <v>0.24002082005265002</v>
      </c>
      <c r="AG409">
        <f t="shared" si="315"/>
        <v>203.22798658899205</v>
      </c>
      <c r="AH409">
        <f t="shared" si="316"/>
        <v>-858.52344387463893</v>
      </c>
      <c r="AJ409">
        <f t="shared" si="340"/>
        <v>18000</v>
      </c>
      <c r="AK409">
        <f t="shared" si="341"/>
        <v>69205.390504613999</v>
      </c>
      <c r="AL409">
        <v>1</v>
      </c>
      <c r="AM409">
        <f t="shared" si="342"/>
        <v>136.168626334923</v>
      </c>
      <c r="AN409">
        <f t="shared" si="317"/>
        <v>509.17632132789601</v>
      </c>
      <c r="AO409">
        <f t="shared" si="318"/>
        <v>-128.44973287496734</v>
      </c>
      <c r="AQ409">
        <f t="shared" si="343"/>
        <v>2.6298480920846569E-3</v>
      </c>
      <c r="AR409">
        <f t="shared" si="344"/>
        <v>-5.128203779565081</v>
      </c>
      <c r="AT409">
        <f t="shared" si="365"/>
        <v>-4402.1487109903637</v>
      </c>
      <c r="AU409">
        <f t="shared" si="366"/>
        <v>-1044.4523151799542</v>
      </c>
      <c r="AV409">
        <f t="shared" si="354"/>
        <v>-2.908640370526304</v>
      </c>
      <c r="AW409">
        <f t="shared" si="355"/>
        <v>52.996932135364432</v>
      </c>
      <c r="AX409">
        <f t="shared" si="356"/>
        <v>-3736.800837402634</v>
      </c>
      <c r="AY409">
        <f t="shared" si="364"/>
        <v>-1.5566148433343361</v>
      </c>
      <c r="BA409">
        <f t="shared" si="345"/>
        <v>1.2106346799884165</v>
      </c>
      <c r="BB409">
        <f t="shared" si="357"/>
        <v>1.6602622121464807</v>
      </c>
      <c r="BC409">
        <f t="shared" si="358"/>
        <v>-1.3520255271919679</v>
      </c>
      <c r="BD409">
        <f t="shared" si="346"/>
        <v>-257.46535659056696</v>
      </c>
      <c r="BF409">
        <f t="shared" si="347"/>
        <v>-55.265278561338732</v>
      </c>
      <c r="BG409">
        <f t="shared" si="348"/>
        <v>-244.02007503419651</v>
      </c>
      <c r="BH409">
        <f t="shared" si="359"/>
        <v>-64.020075034196509</v>
      </c>
      <c r="BI409">
        <f t="shared" si="360"/>
        <v>-64.020075034196509</v>
      </c>
      <c r="BJ409">
        <f t="shared" si="349"/>
        <v>0</v>
      </c>
      <c r="BK409">
        <f t="shared" si="361"/>
        <v>0</v>
      </c>
      <c r="BM409">
        <f t="shared" si="362"/>
        <v>-56.92554077348521</v>
      </c>
      <c r="BN409">
        <f t="shared" si="350"/>
        <v>-166.55471844362955</v>
      </c>
      <c r="BQ409" s="56">
        <f t="shared" si="363"/>
        <v>18.562223012431616</v>
      </c>
      <c r="BR409" s="59"/>
      <c r="BS409" s="59"/>
      <c r="BT409" s="59">
        <v>977237.22100000002</v>
      </c>
      <c r="BU409" s="59">
        <v>5.7547600000000001</v>
      </c>
      <c r="BV409" s="59">
        <v>98.699600000000004</v>
      </c>
      <c r="BY409" s="59"/>
      <c r="BZ409" s="59"/>
      <c r="CA409" s="59"/>
      <c r="CC409" s="59"/>
    </row>
    <row r="410" spans="1:81" x14ac:dyDescent="0.2">
      <c r="A410">
        <f t="shared" si="319"/>
        <v>980000</v>
      </c>
      <c r="B410">
        <f t="shared" si="351"/>
        <v>980</v>
      </c>
      <c r="C410">
        <f t="shared" si="320"/>
        <v>1.0275738653909949</v>
      </c>
      <c r="D410">
        <f t="shared" si="321"/>
        <v>0.23218452168311104</v>
      </c>
      <c r="F410">
        <f t="shared" si="322"/>
        <v>9.1515024836549017E-5</v>
      </c>
      <c r="G410">
        <f t="shared" si="323"/>
        <v>3.604228593204356E-3</v>
      </c>
      <c r="H410">
        <f t="shared" si="324"/>
        <v>-3.1379884214067957</v>
      </c>
      <c r="J410">
        <f t="shared" si="325"/>
        <v>15</v>
      </c>
      <c r="M410">
        <f t="shared" si="326"/>
        <v>2.3028047663287357E-4</v>
      </c>
      <c r="N410">
        <f t="shared" si="327"/>
        <v>-1.5707963250000001</v>
      </c>
      <c r="O410">
        <f t="shared" si="328"/>
        <v>919.7495441221954</v>
      </c>
      <c r="P410">
        <f t="shared" si="329"/>
        <v>1.569709074071141</v>
      </c>
      <c r="Q410">
        <f t="shared" si="330"/>
        <v>136.87058011754598</v>
      </c>
      <c r="R410">
        <f t="shared" si="331"/>
        <v>1.5634900897931505</v>
      </c>
      <c r="S410">
        <f t="shared" si="332"/>
        <v>0.25051679052147685</v>
      </c>
      <c r="T410">
        <f t="shared" si="333"/>
        <v>-1.3175822958893928</v>
      </c>
      <c r="U410">
        <f t="shared" si="334"/>
        <v>0.23029744870067204</v>
      </c>
      <c r="V410">
        <f t="shared" si="335"/>
        <v>-1.3384129900959369</v>
      </c>
      <c r="X410">
        <f t="shared" si="352"/>
        <v>-52.544810280821267</v>
      </c>
      <c r="Y410">
        <f t="shared" si="336"/>
        <v>-229.14853153608249</v>
      </c>
      <c r="Z410">
        <f t="shared" si="353"/>
        <v>-49.148531536082487</v>
      </c>
      <c r="AC410">
        <v>1</v>
      </c>
      <c r="AD410">
        <f t="shared" si="337"/>
        <v>919.74900049578002</v>
      </c>
      <c r="AE410">
        <f t="shared" si="338"/>
        <v>-1.0194073796902827</v>
      </c>
      <c r="AF410">
        <f t="shared" si="339"/>
        <v>0.24125169605291999</v>
      </c>
      <c r="AG410">
        <f t="shared" si="315"/>
        <v>201.26922680518055</v>
      </c>
      <c r="AH410">
        <f t="shared" si="316"/>
        <v>-854.60677990231636</v>
      </c>
      <c r="AJ410">
        <f t="shared" si="340"/>
        <v>18000</v>
      </c>
      <c r="AK410">
        <f t="shared" si="341"/>
        <v>69560.289943099197</v>
      </c>
      <c r="AL410">
        <v>1</v>
      </c>
      <c r="AM410">
        <f t="shared" si="342"/>
        <v>136.86692698279441</v>
      </c>
      <c r="AN410">
        <f t="shared" si="317"/>
        <v>509.16672074547336</v>
      </c>
      <c r="AO410">
        <f t="shared" si="318"/>
        <v>-127.79444724037172</v>
      </c>
      <c r="AQ410">
        <f t="shared" si="343"/>
        <v>2.6030813715427498E-3</v>
      </c>
      <c r="AR410">
        <f t="shared" si="344"/>
        <v>-5.1020394882237898</v>
      </c>
      <c r="AT410">
        <f t="shared" si="365"/>
        <v>-4359.713617790434</v>
      </c>
      <c r="AU410">
        <f t="shared" si="366"/>
        <v>-1029.1081539130591</v>
      </c>
      <c r="AV410">
        <f t="shared" si="354"/>
        <v>-2.9097863655772263</v>
      </c>
      <c r="AW410">
        <f t="shared" si="355"/>
        <v>57.738064452111438</v>
      </c>
      <c r="AX410">
        <f t="shared" si="356"/>
        <v>-3718.1400470506342</v>
      </c>
      <c r="AY410">
        <f t="shared" si="364"/>
        <v>-1.555268825579835</v>
      </c>
      <c r="BA410">
        <f t="shared" si="345"/>
        <v>1.2046311911996654</v>
      </c>
      <c r="BB410">
        <f t="shared" si="357"/>
        <v>1.617082081066519</v>
      </c>
      <c r="BC410">
        <f t="shared" si="358"/>
        <v>-1.3545175399973912</v>
      </c>
      <c r="BD410">
        <f t="shared" si="346"/>
        <v>-257.60813840697341</v>
      </c>
      <c r="BF410">
        <f t="shared" si="347"/>
        <v>-55.394983695832479</v>
      </c>
      <c r="BG410">
        <f t="shared" si="348"/>
        <v>-244.09843814403931</v>
      </c>
      <c r="BH410">
        <f t="shared" si="359"/>
        <v>-64.098438144039307</v>
      </c>
      <c r="BI410">
        <f t="shared" si="360"/>
        <v>-64.098438144039307</v>
      </c>
      <c r="BJ410">
        <f t="shared" si="349"/>
        <v>0</v>
      </c>
      <c r="BK410">
        <f t="shared" si="361"/>
        <v>0</v>
      </c>
      <c r="BM410">
        <f t="shared" si="362"/>
        <v>-57.012065776898993</v>
      </c>
      <c r="BN410">
        <f t="shared" si="350"/>
        <v>-166.4902997370659</v>
      </c>
      <c r="BQ410" s="56">
        <f t="shared" si="363"/>
        <v>18.519042881351655</v>
      </c>
    </row>
    <row r="411" spans="1:81" x14ac:dyDescent="0.2">
      <c r="A411">
        <f t="shared" si="319"/>
        <v>985000</v>
      </c>
      <c r="B411">
        <f t="shared" si="351"/>
        <v>985</v>
      </c>
      <c r="C411">
        <f t="shared" si="320"/>
        <v>1.0278521267483978</v>
      </c>
      <c r="D411">
        <f t="shared" si="321"/>
        <v>0.23332670944350117</v>
      </c>
      <c r="F411">
        <f t="shared" si="322"/>
        <v>9.0588217572596679E-5</v>
      </c>
      <c r="G411">
        <f t="shared" si="323"/>
        <v>3.5859298184603098E-3</v>
      </c>
      <c r="H411">
        <f t="shared" si="324"/>
        <v>-3.13800672018154</v>
      </c>
      <c r="J411">
        <f t="shared" si="325"/>
        <v>15</v>
      </c>
      <c r="M411">
        <f t="shared" si="326"/>
        <v>2.2911154020326509E-4</v>
      </c>
      <c r="N411">
        <f t="shared" si="327"/>
        <v>-1.5707963250000001</v>
      </c>
      <c r="O411">
        <f t="shared" si="328"/>
        <v>924.442138303977</v>
      </c>
      <c r="P411">
        <f t="shared" si="329"/>
        <v>1.5697145931161838</v>
      </c>
      <c r="Q411">
        <f t="shared" si="330"/>
        <v>137.56886222207737</v>
      </c>
      <c r="R411">
        <f t="shared" si="331"/>
        <v>1.56352717598082</v>
      </c>
      <c r="S411">
        <f t="shared" si="332"/>
        <v>0.24932437042059907</v>
      </c>
      <c r="T411">
        <f t="shared" si="333"/>
        <v>-1.3188137960904449</v>
      </c>
      <c r="U411">
        <f t="shared" si="334"/>
        <v>0.22918998097289947</v>
      </c>
      <c r="V411">
        <f t="shared" si="335"/>
        <v>-1.3395508955411839</v>
      </c>
      <c r="X411">
        <f t="shared" si="352"/>
        <v>-52.669983685342025</v>
      </c>
      <c r="Y411">
        <f t="shared" si="336"/>
        <v>-229.21745328411029</v>
      </c>
      <c r="Z411">
        <f t="shared" si="353"/>
        <v>-49.217453284110292</v>
      </c>
      <c r="AC411">
        <v>1</v>
      </c>
      <c r="AD411">
        <f t="shared" si="337"/>
        <v>924.44159743708497</v>
      </c>
      <c r="AE411">
        <f t="shared" si="338"/>
        <v>-1.0298360318200799</v>
      </c>
      <c r="AF411">
        <f t="shared" si="339"/>
        <v>0.24248257205318999</v>
      </c>
      <c r="AG411">
        <f t="shared" si="315"/>
        <v>199.33813091767411</v>
      </c>
      <c r="AH411">
        <f t="shared" si="316"/>
        <v>-850.72336534536225</v>
      </c>
      <c r="AJ411">
        <f t="shared" si="340"/>
        <v>18000</v>
      </c>
      <c r="AK411">
        <f t="shared" si="341"/>
        <v>69915.189381584409</v>
      </c>
      <c r="AL411">
        <v>1</v>
      </c>
      <c r="AM411">
        <f t="shared" si="342"/>
        <v>137.56522763066582</v>
      </c>
      <c r="AN411">
        <f t="shared" si="317"/>
        <v>509.15726598312614</v>
      </c>
      <c r="AO411">
        <f t="shared" si="318"/>
        <v>-127.14581319180576</v>
      </c>
      <c r="AQ411">
        <f t="shared" si="343"/>
        <v>2.5767212304565359E-3</v>
      </c>
      <c r="AR411">
        <f t="shared" si="344"/>
        <v>-5.0761408239993751</v>
      </c>
      <c r="AT411">
        <f t="shared" si="365"/>
        <v>-4317.8779659657539</v>
      </c>
      <c r="AU411">
        <f t="shared" si="366"/>
        <v>-1014.0605010876684</v>
      </c>
      <c r="AV411">
        <f t="shared" si="354"/>
        <v>-2.9109213418451945</v>
      </c>
      <c r="AW411">
        <f t="shared" si="355"/>
        <v>62.405129302602518</v>
      </c>
      <c r="AX411">
        <f t="shared" si="356"/>
        <v>-3699.6630776379284</v>
      </c>
      <c r="AY411">
        <f t="shared" si="364"/>
        <v>-1.5539301391301845</v>
      </c>
      <c r="BA411">
        <f t="shared" si="345"/>
        <v>1.1986837009481057</v>
      </c>
      <c r="BB411">
        <f t="shared" si="357"/>
        <v>1.5740920013444815</v>
      </c>
      <c r="BC411">
        <f t="shared" si="358"/>
        <v>-1.3569912027150099</v>
      </c>
      <c r="BD411">
        <f t="shared" si="346"/>
        <v>-257.74986884079379</v>
      </c>
      <c r="BF411">
        <f t="shared" si="347"/>
        <v>-55.524035751053724</v>
      </c>
      <c r="BG411">
        <f t="shared" si="348"/>
        <v>-244.17577448226737</v>
      </c>
      <c r="BH411">
        <f t="shared" si="359"/>
        <v>-64.175774482267371</v>
      </c>
      <c r="BI411">
        <f t="shared" si="360"/>
        <v>-64.175774482267371</v>
      </c>
      <c r="BJ411">
        <f t="shared" si="349"/>
        <v>0</v>
      </c>
      <c r="BK411">
        <f t="shared" si="361"/>
        <v>0</v>
      </c>
      <c r="BM411">
        <f t="shared" si="362"/>
        <v>-57.098127752398199</v>
      </c>
      <c r="BN411">
        <f t="shared" si="350"/>
        <v>-166.42590564147358</v>
      </c>
      <c r="BQ411" s="56">
        <f t="shared" si="363"/>
        <v>18.476052801629621</v>
      </c>
    </row>
    <row r="412" spans="1:81" x14ac:dyDescent="0.2">
      <c r="A412">
        <f t="shared" si="319"/>
        <v>990000</v>
      </c>
      <c r="B412">
        <f t="shared" si="351"/>
        <v>990</v>
      </c>
      <c r="C412">
        <f t="shared" si="320"/>
        <v>1.0281317283075084</v>
      </c>
      <c r="D412">
        <f t="shared" si="321"/>
        <v>0.2344682774540533</v>
      </c>
      <c r="F412">
        <f t="shared" si="322"/>
        <v>8.9675418928048052E-5</v>
      </c>
      <c r="G412">
        <f t="shared" si="323"/>
        <v>3.5678159279199794E-3</v>
      </c>
      <c r="H412">
        <f t="shared" si="324"/>
        <v>-3.1380248340720804</v>
      </c>
      <c r="J412">
        <f t="shared" si="325"/>
        <v>15</v>
      </c>
      <c r="M412">
        <f t="shared" si="326"/>
        <v>2.2795441121233951E-4</v>
      </c>
      <c r="N412">
        <f t="shared" si="327"/>
        <v>-1.5707963250000001</v>
      </c>
      <c r="O412">
        <f t="shared" si="328"/>
        <v>929.13473251363268</v>
      </c>
      <c r="P412">
        <f t="shared" si="329"/>
        <v>1.5697200564133618</v>
      </c>
      <c r="Q412">
        <f t="shared" si="330"/>
        <v>138.26714451390779</v>
      </c>
      <c r="R412">
        <f t="shared" si="331"/>
        <v>1.5635638875802276</v>
      </c>
      <c r="S412">
        <f t="shared" si="332"/>
        <v>0.24814287700492924</v>
      </c>
      <c r="T412">
        <f t="shared" si="333"/>
        <v>-1.3200336265091095</v>
      </c>
      <c r="U412">
        <f t="shared" si="334"/>
        <v>0.22809282246560214</v>
      </c>
      <c r="V412">
        <f t="shared" si="335"/>
        <v>-1.3406779078685129</v>
      </c>
      <c r="X412">
        <f t="shared" si="352"/>
        <v>-52.794548856606454</v>
      </c>
      <c r="Y412">
        <f t="shared" si="336"/>
        <v>-229.28513184558503</v>
      </c>
      <c r="Z412">
        <f t="shared" si="353"/>
        <v>-49.285131845585028</v>
      </c>
      <c r="AC412">
        <v>1</v>
      </c>
      <c r="AD412">
        <f t="shared" si="337"/>
        <v>929.13419437839002</v>
      </c>
      <c r="AE412">
        <f t="shared" si="338"/>
        <v>-1.0403177559708936</v>
      </c>
      <c r="AF412">
        <f t="shared" si="339"/>
        <v>0.24371344805345999</v>
      </c>
      <c r="AG412">
        <f t="shared" si="315"/>
        <v>197.4341904301877</v>
      </c>
      <c r="AH412">
        <f t="shared" si="316"/>
        <v>-846.87281554930485</v>
      </c>
      <c r="AJ412">
        <f t="shared" si="340"/>
        <v>18000</v>
      </c>
      <c r="AK412">
        <f t="shared" si="341"/>
        <v>70270.088820069592</v>
      </c>
      <c r="AL412">
        <v>1</v>
      </c>
      <c r="AM412">
        <f t="shared" si="342"/>
        <v>138.26352827853722</v>
      </c>
      <c r="AN412">
        <f t="shared" si="317"/>
        <v>509.14795410270341</v>
      </c>
      <c r="AO412">
        <f t="shared" si="318"/>
        <v>-126.5037299689134</v>
      </c>
      <c r="AQ412">
        <f t="shared" si="343"/>
        <v>2.5507594758801457E-3</v>
      </c>
      <c r="AR412">
        <f t="shared" si="344"/>
        <v>-5.0505037622426894</v>
      </c>
      <c r="AT412">
        <f t="shared" si="365"/>
        <v>-4276.6307339407203</v>
      </c>
      <c r="AU412">
        <f t="shared" si="366"/>
        <v>-999.30229042213023</v>
      </c>
      <c r="AV412">
        <f t="shared" si="354"/>
        <v>-2.9120454545828358</v>
      </c>
      <c r="AW412">
        <f t="shared" si="355"/>
        <v>66.999667261971624</v>
      </c>
      <c r="AX412">
        <f t="shared" si="356"/>
        <v>-3681.3672455497804</v>
      </c>
      <c r="AY412">
        <f t="shared" si="364"/>
        <v>-1.5525986662858025</v>
      </c>
      <c r="BA412">
        <f t="shared" si="345"/>
        <v>1.1927914495714658</v>
      </c>
      <c r="BB412">
        <f t="shared" si="357"/>
        <v>1.5312903450282076</v>
      </c>
      <c r="BC412">
        <f t="shared" si="358"/>
        <v>-1.3594467882970334</v>
      </c>
      <c r="BD412">
        <f t="shared" si="346"/>
        <v>-257.89056353103769</v>
      </c>
      <c r="BF412">
        <f t="shared" si="347"/>
        <v>-55.65244095471364</v>
      </c>
      <c r="BG412">
        <f t="shared" si="348"/>
        <v>-244.25209999288444</v>
      </c>
      <c r="BH412">
        <f t="shared" si="359"/>
        <v>-64.252099992884439</v>
      </c>
      <c r="BI412">
        <f t="shared" si="360"/>
        <v>-64.252099992884439</v>
      </c>
      <c r="BJ412">
        <f t="shared" si="349"/>
        <v>0</v>
      </c>
      <c r="BK412">
        <f t="shared" si="361"/>
        <v>0</v>
      </c>
      <c r="BM412">
        <f t="shared" si="362"/>
        <v>-57.183731299741851</v>
      </c>
      <c r="BN412">
        <f t="shared" si="350"/>
        <v>-166.36153646184678</v>
      </c>
      <c r="BQ412" s="56">
        <f t="shared" si="363"/>
        <v>18.433251145313342</v>
      </c>
    </row>
    <row r="413" spans="1:81" x14ac:dyDescent="0.2">
      <c r="A413">
        <f t="shared" si="319"/>
        <v>995000</v>
      </c>
      <c r="B413">
        <f t="shared" si="351"/>
        <v>995</v>
      </c>
      <c r="C413">
        <f t="shared" si="320"/>
        <v>1.028412668975218</v>
      </c>
      <c r="D413">
        <f t="shared" si="321"/>
        <v>0.23560922324614023</v>
      </c>
      <c r="F413">
        <f t="shared" si="322"/>
        <v>8.8776347992090796E-5</v>
      </c>
      <c r="G413">
        <f t="shared" si="323"/>
        <v>3.5498841334247232E-3</v>
      </c>
      <c r="H413">
        <f t="shared" si="324"/>
        <v>-3.1380427658665755</v>
      </c>
      <c r="J413">
        <f t="shared" si="325"/>
        <v>15</v>
      </c>
      <c r="M413">
        <f t="shared" si="326"/>
        <v>2.2680891165850864E-4</v>
      </c>
      <c r="N413">
        <f t="shared" si="327"/>
        <v>-1.5707963250000001</v>
      </c>
      <c r="O413">
        <f t="shared" si="328"/>
        <v>933.82732675074203</v>
      </c>
      <c r="P413">
        <f t="shared" si="329"/>
        <v>1.5697254648030938</v>
      </c>
      <c r="Q413">
        <f t="shared" si="330"/>
        <v>138.96542699021387</v>
      </c>
      <c r="R413">
        <f t="shared" si="331"/>
        <v>1.5636002302380398</v>
      </c>
      <c r="S413">
        <f t="shared" si="332"/>
        <v>0.24697216614417156</v>
      </c>
      <c r="T413">
        <f t="shared" si="333"/>
        <v>-1.3212419486595468</v>
      </c>
      <c r="U413">
        <f t="shared" si="334"/>
        <v>0.22700583413228054</v>
      </c>
      <c r="V413">
        <f t="shared" si="335"/>
        <v>-1.3417941799294877</v>
      </c>
      <c r="X413">
        <f t="shared" si="352"/>
        <v>-52.918511166201156</v>
      </c>
      <c r="Y413">
        <f t="shared" si="336"/>
        <v>-229.35158516184467</v>
      </c>
      <c r="Z413">
        <f t="shared" si="353"/>
        <v>-49.351585161844667</v>
      </c>
      <c r="AC413">
        <v>1</v>
      </c>
      <c r="AD413">
        <f t="shared" si="337"/>
        <v>933.82679131969496</v>
      </c>
      <c r="AE413">
        <f t="shared" si="338"/>
        <v>-1.0508525521427243</v>
      </c>
      <c r="AF413">
        <f t="shared" si="339"/>
        <v>0.24494432405373001</v>
      </c>
      <c r="AG413">
        <f t="shared" si="315"/>
        <v>195.55690823556108</v>
      </c>
      <c r="AH413">
        <f t="shared" si="316"/>
        <v>-843.05475093671726</v>
      </c>
      <c r="AJ413">
        <f t="shared" si="340"/>
        <v>18000</v>
      </c>
      <c r="AK413">
        <f t="shared" si="341"/>
        <v>70624.988258554804</v>
      </c>
      <c r="AL413">
        <v>1</v>
      </c>
      <c r="AM413">
        <f t="shared" si="342"/>
        <v>138.96182892640863</v>
      </c>
      <c r="AN413">
        <f t="shared" si="317"/>
        <v>509.13878223968368</v>
      </c>
      <c r="AO413">
        <f t="shared" si="318"/>
        <v>-125.86809883614244</v>
      </c>
      <c r="AQ413">
        <f t="shared" si="343"/>
        <v>2.5251881202019849E-3</v>
      </c>
      <c r="AR413">
        <f t="shared" si="344"/>
        <v>-5.0251243592019499</v>
      </c>
      <c r="AT413">
        <f t="shared" si="365"/>
        <v>-4235.9611470915306</v>
      </c>
      <c r="AU413">
        <f t="shared" si="366"/>
        <v>-984.82665502648354</v>
      </c>
      <c r="AV413">
        <f t="shared" si="354"/>
        <v>-2.9131588561956709</v>
      </c>
      <c r="AW413">
        <f t="shared" si="355"/>
        <v>71.523178965533361</v>
      </c>
      <c r="AX413">
        <f t="shared" si="356"/>
        <v>-3663.2499188923111</v>
      </c>
      <c r="AY413">
        <f t="shared" si="364"/>
        <v>-1.551274291919992</v>
      </c>
      <c r="BA413">
        <f t="shared" si="345"/>
        <v>1.1869536904766791</v>
      </c>
      <c r="BB413">
        <f t="shared" si="357"/>
        <v>1.4886755018757933</v>
      </c>
      <c r="BC413">
        <f t="shared" si="358"/>
        <v>-1.3618845642756789</v>
      </c>
      <c r="BD413">
        <f t="shared" si="346"/>
        <v>-258.03023780617207</v>
      </c>
      <c r="BF413">
        <f t="shared" si="347"/>
        <v>-55.780205447603279</v>
      </c>
      <c r="BG413">
        <f t="shared" si="348"/>
        <v>-244.32743030554917</v>
      </c>
      <c r="BH413">
        <f t="shared" si="359"/>
        <v>-64.327430305549171</v>
      </c>
      <c r="BI413">
        <f t="shared" si="360"/>
        <v>-64.327430305549171</v>
      </c>
      <c r="BJ413">
        <f t="shared" si="349"/>
        <v>0</v>
      </c>
      <c r="BK413">
        <f t="shared" si="361"/>
        <v>0</v>
      </c>
      <c r="BM413">
        <f t="shared" si="362"/>
        <v>-57.268880949479083</v>
      </c>
      <c r="BN413">
        <f t="shared" si="350"/>
        <v>-166.29719249937713</v>
      </c>
      <c r="BQ413" s="56">
        <f t="shared" si="363"/>
        <v>18.390636302160928</v>
      </c>
    </row>
    <row r="414" spans="1:81" x14ac:dyDescent="0.2">
      <c r="A414">
        <f t="shared" si="319"/>
        <v>1000000</v>
      </c>
      <c r="B414">
        <f t="shared" si="351"/>
        <v>1000</v>
      </c>
      <c r="C414">
        <f t="shared" si="320"/>
        <v>1.0286949476543785</v>
      </c>
      <c r="D414">
        <f t="shared" si="321"/>
        <v>0.23674954436030501</v>
      </c>
      <c r="F414">
        <f t="shared" si="322"/>
        <v>8.7890730860246171E-5</v>
      </c>
      <c r="G414">
        <f t="shared" si="323"/>
        <v>3.5321317026028882E-3</v>
      </c>
      <c r="H414">
        <f t="shared" si="324"/>
        <v>-3.1380605182973973</v>
      </c>
      <c r="J414">
        <f t="shared" si="325"/>
        <v>15</v>
      </c>
      <c r="M414">
        <f t="shared" si="326"/>
        <v>2.256748671002161E-4</v>
      </c>
      <c r="N414">
        <f t="shared" si="327"/>
        <v>-1.5707963250000001</v>
      </c>
      <c r="O414">
        <f t="shared" si="328"/>
        <v>938.51992101489338</v>
      </c>
      <c r="P414">
        <f t="shared" si="329"/>
        <v>1.56973081910899</v>
      </c>
      <c r="Q414">
        <f t="shared" si="330"/>
        <v>139.66370964822852</v>
      </c>
      <c r="R414">
        <f t="shared" si="331"/>
        <v>1.5636362094879994</v>
      </c>
      <c r="S414">
        <f t="shared" si="332"/>
        <v>0.24581209612657604</v>
      </c>
      <c r="T414">
        <f t="shared" si="333"/>
        <v>-1.3224389211571206</v>
      </c>
      <c r="U414">
        <f t="shared" si="334"/>
        <v>0.22592887933268765</v>
      </c>
      <c r="V414">
        <f t="shared" si="335"/>
        <v>-1.3428998617832659</v>
      </c>
      <c r="X414">
        <f t="shared" si="352"/>
        <v>-53.041875917278034</v>
      </c>
      <c r="Y414">
        <f t="shared" si="336"/>
        <v>-229.41683085185724</v>
      </c>
      <c r="Z414">
        <f t="shared" si="353"/>
        <v>-49.416830851857242</v>
      </c>
      <c r="AC414">
        <v>1</v>
      </c>
      <c r="AD414">
        <f t="shared" si="337"/>
        <v>938.5193882609999</v>
      </c>
      <c r="AE414">
        <f t="shared" si="338"/>
        <v>-1.0614404203355716</v>
      </c>
      <c r="AF414">
        <f t="shared" si="339"/>
        <v>0.24617520005400001</v>
      </c>
      <c r="AG414">
        <f t="shared" si="315"/>
        <v>193.70579831799154</v>
      </c>
      <c r="AH414">
        <f t="shared" si="316"/>
        <v>-839.26879694935087</v>
      </c>
      <c r="AJ414">
        <f t="shared" si="340"/>
        <v>18000</v>
      </c>
      <c r="AK414">
        <f t="shared" si="341"/>
        <v>70979.887697040002</v>
      </c>
      <c r="AL414">
        <v>1</v>
      </c>
      <c r="AM414">
        <f t="shared" si="342"/>
        <v>139.66012957428001</v>
      </c>
      <c r="AN414">
        <f t="shared" si="317"/>
        <v>509.12974760097137</v>
      </c>
      <c r="AO414">
        <f t="shared" si="318"/>
        <v>-125.23882303214025</v>
      </c>
      <c r="AQ414">
        <f t="shared" si="343"/>
        <v>2.4999993750001561E-3</v>
      </c>
      <c r="AR414">
        <f t="shared" si="344"/>
        <v>-4.9999987500003122</v>
      </c>
      <c r="AT414">
        <f t="shared" si="365"/>
        <v>-4195.8586712862916</v>
      </c>
      <c r="AU414">
        <f t="shared" si="366"/>
        <v>-970.62692092560076</v>
      </c>
      <c r="AV414">
        <f t="shared" si="354"/>
        <v>-2.9142616963057355</v>
      </c>
      <c r="AW414">
        <f t="shared" si="355"/>
        <v>75.977126346191639</v>
      </c>
      <c r="AX414">
        <f t="shared" si="356"/>
        <v>-3645.3085162557791</v>
      </c>
      <c r="AY414">
        <f t="shared" si="364"/>
        <v>-1.5499569034098821</v>
      </c>
      <c r="BA414">
        <f t="shared" si="345"/>
        <v>1.181169689878464</v>
      </c>
      <c r="BB414">
        <f t="shared" si="357"/>
        <v>1.446245879179092</v>
      </c>
      <c r="BC414">
        <f t="shared" si="358"/>
        <v>-1.3643047928958534</v>
      </c>
      <c r="BD414">
        <f t="shared" si="346"/>
        <v>-258.16890669172324</v>
      </c>
      <c r="BF414">
        <f t="shared" si="347"/>
        <v>-55.907335285159114</v>
      </c>
      <c r="BG414">
        <f t="shared" si="348"/>
        <v>-244.40178074325777</v>
      </c>
      <c r="BH414">
        <f t="shared" si="359"/>
        <v>-64.401780743257774</v>
      </c>
      <c r="BI414">
        <f t="shared" si="360"/>
        <v>-64.401780743257774</v>
      </c>
      <c r="BJ414">
        <f t="shared" si="349"/>
        <v>0</v>
      </c>
      <c r="BK414">
        <f t="shared" si="361"/>
        <v>0</v>
      </c>
      <c r="BM414">
        <f t="shared" si="362"/>
        <v>-57.353581164338209</v>
      </c>
      <c r="BN414">
        <f t="shared" si="350"/>
        <v>-166.23287405153454</v>
      </c>
      <c r="BQ414" s="56">
        <f t="shared" si="363"/>
        <v>18.348206679464226</v>
      </c>
    </row>
    <row r="415" spans="1:81" x14ac:dyDescent="0.2">
      <c r="A415">
        <f t="shared" si="319"/>
        <v>1005000</v>
      </c>
      <c r="B415">
        <f t="shared" si="351"/>
        <v>1005</v>
      </c>
      <c r="C415">
        <f t="shared" si="320"/>
        <v>1.028978563243824</v>
      </c>
      <c r="D415">
        <f t="shared" si="321"/>
        <v>0.23788923834628131</v>
      </c>
      <c r="F415">
        <f t="shared" si="322"/>
        <v>8.7018300425706609E-5</v>
      </c>
      <c r="G415">
        <f t="shared" si="323"/>
        <v>3.5145559574813667E-3</v>
      </c>
      <c r="H415">
        <f t="shared" si="324"/>
        <v>-3.1380780940425188</v>
      </c>
      <c r="J415">
        <f t="shared" si="325"/>
        <v>15</v>
      </c>
      <c r="M415">
        <f t="shared" si="326"/>
        <v>2.245521065673792E-4</v>
      </c>
      <c r="N415">
        <f t="shared" si="327"/>
        <v>-1.5707963250000001</v>
      </c>
      <c r="O415">
        <f t="shared" si="328"/>
        <v>943.21251530568293</v>
      </c>
      <c r="P415">
        <f t="shared" si="329"/>
        <v>1.5697361201382709</v>
      </c>
      <c r="Q415">
        <f t="shared" si="330"/>
        <v>140.36199248523991</v>
      </c>
      <c r="R415">
        <f t="shared" si="331"/>
        <v>1.5636718307537343</v>
      </c>
      <c r="S415">
        <f t="shared" si="332"/>
        <v>0.24466252761104479</v>
      </c>
      <c r="T415">
        <f t="shared" si="333"/>
        <v>-1.3236246997815204</v>
      </c>
      <c r="U415">
        <f t="shared" si="334"/>
        <v>0.22486182378306627</v>
      </c>
      <c r="V415">
        <f t="shared" si="335"/>
        <v>-1.3439951007587856</v>
      </c>
      <c r="X415">
        <f t="shared" si="352"/>
        <v>-53.164648345657511</v>
      </c>
      <c r="Y415">
        <f t="shared" si="336"/>
        <v>-229.48088621929287</v>
      </c>
      <c r="Z415">
        <f t="shared" si="353"/>
        <v>-49.48088621929287</v>
      </c>
      <c r="AC415">
        <v>1</v>
      </c>
      <c r="AD415">
        <f t="shared" si="337"/>
        <v>943.21198520230507</v>
      </c>
      <c r="AE415">
        <f t="shared" si="338"/>
        <v>-1.0720813605494355</v>
      </c>
      <c r="AF415">
        <f t="shared" si="339"/>
        <v>0.24740607605427001</v>
      </c>
      <c r="AG415">
        <f t="shared" si="315"/>
        <v>191.88038546407273</v>
      </c>
      <c r="AH415">
        <f t="shared" si="316"/>
        <v>-835.51458398996579</v>
      </c>
      <c r="AJ415">
        <f t="shared" si="340"/>
        <v>18000</v>
      </c>
      <c r="AK415">
        <f t="shared" si="341"/>
        <v>71334.787135525199</v>
      </c>
      <c r="AL415">
        <v>1</v>
      </c>
      <c r="AM415">
        <f t="shared" si="342"/>
        <v>140.35843022215141</v>
      </c>
      <c r="AN415">
        <f t="shared" si="317"/>
        <v>509.12084746277043</v>
      </c>
      <c r="AO415">
        <f t="shared" si="318"/>
        <v>-124.61580772065953</v>
      </c>
      <c r="AQ415">
        <f t="shared" si="343"/>
        <v>2.4751856451113476E-3</v>
      </c>
      <c r="AR415">
        <f t="shared" si="344"/>
        <v>-4.9751231466738082</v>
      </c>
      <c r="AT415">
        <f t="shared" si="365"/>
        <v>-4156.3130066163376</v>
      </c>
      <c r="AU415">
        <f t="shared" si="366"/>
        <v>-956.69660081957386</v>
      </c>
      <c r="AV415">
        <f t="shared" si="354"/>
        <v>-2.9153541218135448</v>
      </c>
      <c r="AW415">
        <f t="shared" si="355"/>
        <v>80.362933827354183</v>
      </c>
      <c r="AX415">
        <f t="shared" si="356"/>
        <v>-3627.5405055131796</v>
      </c>
      <c r="AY415">
        <f t="shared" si="364"/>
        <v>-1.5486463905695491</v>
      </c>
      <c r="BA415">
        <f t="shared" si="345"/>
        <v>1.1754387265434696</v>
      </c>
      <c r="BB415">
        <f t="shared" si="357"/>
        <v>1.4039999015861515</v>
      </c>
      <c r="BC415">
        <f t="shared" si="358"/>
        <v>-1.3667077312439957</v>
      </c>
      <c r="BD415">
        <f t="shared" si="346"/>
        <v>-258.30658491765928</v>
      </c>
      <c r="BF415">
        <f t="shared" si="347"/>
        <v>-56.033836438994875</v>
      </c>
      <c r="BG415">
        <f t="shared" si="348"/>
        <v>-244.47516632980469</v>
      </c>
      <c r="BH415">
        <f t="shared" si="359"/>
        <v>-64.475166329804694</v>
      </c>
      <c r="BI415">
        <f t="shared" si="360"/>
        <v>-64.475166329804694</v>
      </c>
      <c r="BJ415">
        <f t="shared" si="349"/>
        <v>0</v>
      </c>
      <c r="BK415">
        <f t="shared" si="361"/>
        <v>0</v>
      </c>
      <c r="BM415">
        <f t="shared" si="362"/>
        <v>-57.437836340581029</v>
      </c>
      <c r="BN415">
        <f t="shared" si="350"/>
        <v>-166.16858141214541</v>
      </c>
      <c r="BQ415" s="56">
        <f t="shared" si="363"/>
        <v>18.305960701871289</v>
      </c>
    </row>
    <row r="416" spans="1:81" x14ac:dyDescent="0.2">
      <c r="A416">
        <f t="shared" si="319"/>
        <v>1010000</v>
      </c>
      <c r="B416">
        <f t="shared" si="351"/>
        <v>1010</v>
      </c>
      <c r="C416">
        <f t="shared" si="320"/>
        <v>1.0292635146383895</v>
      </c>
      <c r="D416">
        <f t="shared" si="321"/>
        <v>0.23902830276301376</v>
      </c>
      <c r="F416">
        <f t="shared" si="322"/>
        <v>8.6158796177887708E-5</v>
      </c>
      <c r="G416">
        <f t="shared" si="323"/>
        <v>3.497154273138417E-3</v>
      </c>
      <c r="H416">
        <f t="shared" si="324"/>
        <v>-3.1380954957268616</v>
      </c>
      <c r="J416">
        <f t="shared" si="325"/>
        <v>15</v>
      </c>
      <c r="M416">
        <f t="shared" si="326"/>
        <v>2.2344046247546145E-4</v>
      </c>
      <c r="N416">
        <f t="shared" si="327"/>
        <v>-1.5707963250000001</v>
      </c>
      <c r="O416">
        <f t="shared" si="328"/>
        <v>947.90510962271526</v>
      </c>
      <c r="P416">
        <f t="shared" si="329"/>
        <v>1.5697413686821722</v>
      </c>
      <c r="Q416">
        <f t="shared" si="330"/>
        <v>141.06027549858979</v>
      </c>
      <c r="R416">
        <f t="shared" si="331"/>
        <v>1.5637070993514832</v>
      </c>
      <c r="S416">
        <f t="shared" si="332"/>
        <v>0.24352332358029169</v>
      </c>
      <c r="T416">
        <f t="shared" si="333"/>
        <v>-1.3247994375382877</v>
      </c>
      <c r="U416">
        <f t="shared" si="334"/>
        <v>0.22380453550755361</v>
      </c>
      <c r="V416">
        <f t="shared" si="335"/>
        <v>-1.3450800415153314</v>
      </c>
      <c r="X416">
        <f t="shared" si="352"/>
        <v>-53.286833620910876</v>
      </c>
      <c r="Y416">
        <f t="shared" si="336"/>
        <v>-229.54376825941645</v>
      </c>
      <c r="Z416">
        <f t="shared" si="353"/>
        <v>-49.543768259416453</v>
      </c>
      <c r="AC416">
        <v>1</v>
      </c>
      <c r="AD416">
        <f t="shared" si="337"/>
        <v>947.90458214361001</v>
      </c>
      <c r="AE416">
        <f t="shared" si="338"/>
        <v>-1.0827753727843166</v>
      </c>
      <c r="AF416">
        <f t="shared" si="339"/>
        <v>0.24863695205454001</v>
      </c>
      <c r="AG416">
        <f t="shared" si="315"/>
        <v>190.08020498235345</v>
      </c>
      <c r="AH416">
        <f t="shared" si="316"/>
        <v>-831.79174736392838</v>
      </c>
      <c r="AJ416">
        <f t="shared" si="340"/>
        <v>18000</v>
      </c>
      <c r="AK416">
        <f t="shared" si="341"/>
        <v>71689.686574010411</v>
      </c>
      <c r="AL416">
        <v>1</v>
      </c>
      <c r="AM416">
        <f t="shared" si="342"/>
        <v>141.05673087002282</v>
      </c>
      <c r="AN416">
        <f t="shared" si="317"/>
        <v>509.11207916853175</v>
      </c>
      <c r="AO416">
        <f t="shared" si="318"/>
        <v>-123.99895994292187</v>
      </c>
      <c r="AQ416">
        <f t="shared" si="343"/>
        <v>2.4507395229047342E-3</v>
      </c>
      <c r="AR416">
        <f t="shared" si="344"/>
        <v>-4.9504938362675626</v>
      </c>
      <c r="AT416">
        <f t="shared" si="365"/>
        <v>-4117.314081312481</v>
      </c>
      <c r="AU416">
        <f t="shared" si="366"/>
        <v>-943.02938807170631</v>
      </c>
      <c r="AV416">
        <f t="shared" si="354"/>
        <v>-2.9164362769584433</v>
      </c>
      <c r="AW416">
        <f t="shared" si="355"/>
        <v>84.681989473173431</v>
      </c>
      <c r="AX416">
        <f t="shared" si="356"/>
        <v>-3609.9434026529798</v>
      </c>
      <c r="AY416">
        <f t="shared" si="364"/>
        <v>-1.5473426455852464</v>
      </c>
      <c r="BA416">
        <f t="shared" si="345"/>
        <v>1.169760091539884</v>
      </c>
      <c r="BB416">
        <f t="shared" si="357"/>
        <v>1.3619360109228382</v>
      </c>
      <c r="BC416">
        <f t="shared" si="358"/>
        <v>-1.369093631373197</v>
      </c>
      <c r="BD416">
        <f t="shared" si="346"/>
        <v>-258.44328692555843</v>
      </c>
      <c r="BF416">
        <f t="shared" si="347"/>
        <v>-56.159714798400714</v>
      </c>
      <c r="BG416">
        <f t="shared" si="348"/>
        <v>-244.54760179702737</v>
      </c>
      <c r="BH416">
        <f t="shared" si="359"/>
        <v>-64.547601797027369</v>
      </c>
      <c r="BI416">
        <f t="shared" si="360"/>
        <v>-64.547601797027369</v>
      </c>
      <c r="BJ416">
        <f t="shared" si="349"/>
        <v>0</v>
      </c>
      <c r="BK416">
        <f t="shared" si="361"/>
        <v>0</v>
      </c>
      <c r="BM416">
        <f t="shared" si="362"/>
        <v>-57.521650809323546</v>
      </c>
      <c r="BN416">
        <f t="shared" si="350"/>
        <v>-166.10431487146897</v>
      </c>
      <c r="BQ416" s="56">
        <f t="shared" si="363"/>
        <v>18.263896811207974</v>
      </c>
    </row>
    <row r="417" spans="1:69" x14ac:dyDescent="0.2">
      <c r="A417">
        <f t="shared" si="319"/>
        <v>1015000</v>
      </c>
      <c r="B417">
        <f t="shared" si="351"/>
        <v>1015</v>
      </c>
      <c r="C417">
        <f t="shared" si="320"/>
        <v>1.0295498007289317</v>
      </c>
      <c r="D417">
        <f t="shared" si="321"/>
        <v>0.24016673517867787</v>
      </c>
      <c r="F417">
        <f t="shared" si="322"/>
        <v>8.5311964007911051E-5</v>
      </c>
      <c r="G417">
        <f t="shared" si="323"/>
        <v>3.4799240763963334E-3</v>
      </c>
      <c r="H417">
        <f t="shared" si="324"/>
        <v>-3.1381127259236039</v>
      </c>
      <c r="J417">
        <f t="shared" si="325"/>
        <v>15</v>
      </c>
      <c r="M417">
        <f t="shared" si="326"/>
        <v>2.2233977054208481E-4</v>
      </c>
      <c r="N417">
        <f t="shared" si="327"/>
        <v>-1.5707963250000001</v>
      </c>
      <c r="O417">
        <f t="shared" si="328"/>
        <v>952.59770396560248</v>
      </c>
      <c r="P417">
        <f t="shared" si="329"/>
        <v>1.5697465655163385</v>
      </c>
      <c r="Q417">
        <f t="shared" si="330"/>
        <v>141.75855868567226</v>
      </c>
      <c r="R417">
        <f t="shared" si="331"/>
        <v>1.5637420204927395</v>
      </c>
      <c r="S417">
        <f t="shared" si="332"/>
        <v>0.2423943492950309</v>
      </c>
      <c r="T417">
        <f t="shared" si="333"/>
        <v>-1.3259632847187923</v>
      </c>
      <c r="U417">
        <f t="shared" si="334"/>
        <v>0.22275688479072389</v>
      </c>
      <c r="V417">
        <f t="shared" si="335"/>
        <v>-1.3461548261015326</v>
      </c>
      <c r="X417">
        <f t="shared" si="352"/>
        <v>-53.408436847422493</v>
      </c>
      <c r="Y417">
        <f t="shared" si="336"/>
        <v>-229.60549366580389</v>
      </c>
      <c r="Z417">
        <f t="shared" si="353"/>
        <v>-49.605493665803891</v>
      </c>
      <c r="AC417">
        <v>1</v>
      </c>
      <c r="AD417">
        <f t="shared" si="337"/>
        <v>952.59717908491496</v>
      </c>
      <c r="AE417">
        <f t="shared" si="338"/>
        <v>-1.0935224570402138</v>
      </c>
      <c r="AF417">
        <f t="shared" si="339"/>
        <v>0.24986782805481</v>
      </c>
      <c r="AG417">
        <f t="shared" si="315"/>
        <v>188.30480243113979</v>
      </c>
      <c r="AH417">
        <f t="shared" si="316"/>
        <v>-828.09992722065783</v>
      </c>
      <c r="AJ417">
        <f t="shared" si="340"/>
        <v>18000</v>
      </c>
      <c r="AK417">
        <f t="shared" si="341"/>
        <v>72044.586012495594</v>
      </c>
      <c r="AL417">
        <v>1</v>
      </c>
      <c r="AM417">
        <f t="shared" si="342"/>
        <v>141.75503151789422</v>
      </c>
      <c r="AN417">
        <f t="shared" si="317"/>
        <v>509.10344012696987</v>
      </c>
      <c r="AO417">
        <f t="shared" si="318"/>
        <v>-123.38818857138834</v>
      </c>
      <c r="AQ417">
        <f t="shared" si="343"/>
        <v>2.4266537827528495E-3</v>
      </c>
      <c r="AR417">
        <f t="shared" si="344"/>
        <v>-4.9261071789882847</v>
      </c>
      <c r="AT417">
        <f t="shared" si="365"/>
        <v>-4078.8520458402281</v>
      </c>
      <c r="AU417">
        <f t="shared" si="366"/>
        <v>-929.61915091489573</v>
      </c>
      <c r="AV417">
        <f t="shared" si="354"/>
        <v>-2.917508303377395</v>
      </c>
      <c r="AW417">
        <f t="shared" si="355"/>
        <v>88.93564609784589</v>
      </c>
      <c r="AX417">
        <f t="shared" si="356"/>
        <v>-3592.5147706448879</v>
      </c>
      <c r="AY417">
        <f t="shared" si="364"/>
        <v>-1.546045562952661</v>
      </c>
      <c r="BA417">
        <f t="shared" si="345"/>
        <v>1.1641330879923948</v>
      </c>
      <c r="BB417">
        <f t="shared" si="357"/>
        <v>1.3200526660138099</v>
      </c>
      <c r="BC417">
        <f t="shared" si="358"/>
        <v>-1.3714627404247339</v>
      </c>
      <c r="BD417">
        <f t="shared" si="346"/>
        <v>-258.57902687557282</v>
      </c>
      <c r="BF417">
        <f t="shared" si="347"/>
        <v>-56.284976171810264</v>
      </c>
      <c r="BG417">
        <f t="shared" si="348"/>
        <v>-244.61910159184347</v>
      </c>
      <c r="BH417">
        <f t="shared" si="359"/>
        <v>-64.619101591843474</v>
      </c>
      <c r="BI417">
        <f t="shared" si="360"/>
        <v>-64.619101591843474</v>
      </c>
      <c r="BJ417">
        <f t="shared" si="349"/>
        <v>0</v>
      </c>
      <c r="BK417">
        <f t="shared" si="361"/>
        <v>0</v>
      </c>
      <c r="BM417">
        <f t="shared" si="362"/>
        <v>-57.605028837824079</v>
      </c>
      <c r="BN417">
        <f t="shared" si="350"/>
        <v>-166.04007471627065</v>
      </c>
      <c r="BQ417" s="56">
        <f t="shared" si="363"/>
        <v>18.222013466298947</v>
      </c>
    </row>
    <row r="418" spans="1:69" x14ac:dyDescent="0.2">
      <c r="A418">
        <f t="shared" si="319"/>
        <v>1020000</v>
      </c>
      <c r="B418">
        <f t="shared" si="351"/>
        <v>1020</v>
      </c>
      <c r="C418">
        <f t="shared" si="320"/>
        <v>1.0298374204023477</v>
      </c>
      <c r="D418">
        <f t="shared" si="321"/>
        <v>0.24130453317069969</v>
      </c>
      <c r="F418">
        <f t="shared" si="322"/>
        <v>8.4477556020746736E-5</v>
      </c>
      <c r="G418">
        <f t="shared" si="323"/>
        <v>3.4628628445525791E-3</v>
      </c>
      <c r="H418">
        <f t="shared" si="324"/>
        <v>-3.1381297871554477</v>
      </c>
      <c r="J418">
        <f t="shared" si="325"/>
        <v>15</v>
      </c>
      <c r="M418">
        <f t="shared" si="326"/>
        <v>2.2124986970609419E-4</v>
      </c>
      <c r="N418">
        <f t="shared" si="327"/>
        <v>-1.5707963250000001</v>
      </c>
      <c r="O418">
        <f t="shared" si="328"/>
        <v>957.2902983339643</v>
      </c>
      <c r="P418">
        <f t="shared" si="329"/>
        <v>1.5697517114012061</v>
      </c>
      <c r="Q418">
        <f t="shared" si="330"/>
        <v>142.45684204393257</v>
      </c>
      <c r="R418">
        <f t="shared" si="331"/>
        <v>1.5637765992868196</v>
      </c>
      <c r="S418">
        <f t="shared" si="332"/>
        <v>0.24127547224917115</v>
      </c>
      <c r="T418">
        <f t="shared" si="333"/>
        <v>-1.3271163889587012</v>
      </c>
      <c r="U418">
        <f t="shared" si="334"/>
        <v>0.22171874413123907</v>
      </c>
      <c r="V418">
        <f t="shared" si="335"/>
        <v>-1.3472195940128375</v>
      </c>
      <c r="X418">
        <f t="shared" si="352"/>
        <v>-53.529463065432125</v>
      </c>
      <c r="Y418">
        <f t="shared" si="336"/>
        <v>-229.66607883688766</v>
      </c>
      <c r="Z418">
        <f t="shared" si="353"/>
        <v>-49.666078836887664</v>
      </c>
      <c r="AC418">
        <v>1</v>
      </c>
      <c r="AD418">
        <f t="shared" si="337"/>
        <v>957.28977602622001</v>
      </c>
      <c r="AE418">
        <f t="shared" si="338"/>
        <v>-1.1043226133171282</v>
      </c>
      <c r="AF418">
        <f t="shared" si="339"/>
        <v>0.25109870405508</v>
      </c>
      <c r="AG418">
        <f t="shared" si="315"/>
        <v>186.55373335427018</v>
      </c>
      <c r="AH418">
        <f t="shared" si="316"/>
        <v>-824.43876849497519</v>
      </c>
      <c r="AJ418">
        <f t="shared" si="340"/>
        <v>18000</v>
      </c>
      <c r="AK418">
        <f t="shared" si="341"/>
        <v>72399.485450980792</v>
      </c>
      <c r="AL418">
        <v>1</v>
      </c>
      <c r="AM418">
        <f t="shared" si="342"/>
        <v>142.4533321657656</v>
      </c>
      <c r="AN418">
        <f t="shared" si="317"/>
        <v>509.0949278101495</v>
      </c>
      <c r="AO418">
        <f t="shared" si="318"/>
        <v>-122.78340426488995</v>
      </c>
      <c r="AQ418">
        <f t="shared" si="343"/>
        <v>2.402921375691711E-3</v>
      </c>
      <c r="AR418">
        <f t="shared" si="344"/>
        <v>-4.90195960641109</v>
      </c>
      <c r="AT418">
        <f t="shared" si="365"/>
        <v>-4040.9172671680803</v>
      </c>
      <c r="AU418">
        <f t="shared" si="366"/>
        <v>-916.45992686758314</v>
      </c>
      <c r="AV418">
        <f t="shared" si="354"/>
        <v>-2.9185703401622565</v>
      </c>
      <c r="AW418">
        <f t="shared" si="355"/>
        <v>93.125222335621743</v>
      </c>
      <c r="AX418">
        <f t="shared" si="356"/>
        <v>-3575.2522183375313</v>
      </c>
      <c r="AY418">
        <f t="shared" si="364"/>
        <v>-1.5447550394161305</v>
      </c>
      <c r="BA418">
        <f t="shared" si="345"/>
        <v>1.1585570308424047</v>
      </c>
      <c r="BB418">
        <f t="shared" si="357"/>
        <v>1.2783483425031155</v>
      </c>
      <c r="BC418">
        <f t="shared" si="358"/>
        <v>-1.373815300746126</v>
      </c>
      <c r="BD418">
        <f t="shared" si="346"/>
        <v>-258.71381865319256</v>
      </c>
      <c r="BF418">
        <f t="shared" si="347"/>
        <v>-56.409626288236474</v>
      </c>
      <c r="BG418">
        <f t="shared" si="348"/>
        <v>-244.68967988308643</v>
      </c>
      <c r="BH418">
        <f t="shared" si="359"/>
        <v>-64.689679883086427</v>
      </c>
      <c r="BI418">
        <f t="shared" si="360"/>
        <v>-64.689679883086427</v>
      </c>
      <c r="BJ418">
        <f t="shared" si="349"/>
        <v>0</v>
      </c>
      <c r="BK418">
        <f t="shared" si="361"/>
        <v>0</v>
      </c>
      <c r="BM418">
        <f t="shared" si="362"/>
        <v>-57.687974630739589</v>
      </c>
      <c r="BN418">
        <f t="shared" si="350"/>
        <v>-165.97586122989389</v>
      </c>
      <c r="BQ418" s="56">
        <f t="shared" si="363"/>
        <v>18.180309142788253</v>
      </c>
    </row>
    <row r="419" spans="1:69" x14ac:dyDescent="0.2">
      <c r="A419">
        <f t="shared" si="319"/>
        <v>1025000</v>
      </c>
      <c r="B419">
        <f t="shared" si="351"/>
        <v>1025</v>
      </c>
      <c r="C419">
        <f t="shared" si="320"/>
        <v>1.0301263725415963</v>
      </c>
      <c r="D419">
        <f t="shared" si="321"/>
        <v>0.24244169432577503</v>
      </c>
      <c r="F419">
        <f t="shared" si="322"/>
        <v>8.3655330353756027E-5</v>
      </c>
      <c r="G419">
        <f t="shared" si="323"/>
        <v>3.4459681041480853E-3</v>
      </c>
      <c r="H419">
        <f t="shared" si="324"/>
        <v>-3.1381466818958521</v>
      </c>
      <c r="J419">
        <f t="shared" si="325"/>
        <v>15</v>
      </c>
      <c r="M419">
        <f t="shared" si="326"/>
        <v>2.2017060204899128E-4</v>
      </c>
      <c r="N419">
        <f t="shared" si="327"/>
        <v>-1.5707963250000001</v>
      </c>
      <c r="O419">
        <f t="shared" si="328"/>
        <v>961.98289272742807</v>
      </c>
      <c r="P419">
        <f t="shared" si="329"/>
        <v>1.5697568070823735</v>
      </c>
      <c r="Q419">
        <f t="shared" si="330"/>
        <v>143.15512557086581</v>
      </c>
      <c r="R419">
        <f t="shared" si="331"/>
        <v>1.5638108407433535</v>
      </c>
      <c r="S419">
        <f t="shared" si="332"/>
        <v>0.24016656212599272</v>
      </c>
      <c r="T419">
        <f t="shared" si="333"/>
        <v>-1.328258895294985</v>
      </c>
      <c r="U419">
        <f t="shared" si="334"/>
        <v>0.22068998819658123</v>
      </c>
      <c r="V419">
        <f t="shared" si="335"/>
        <v>-1.348274482247509</v>
      </c>
      <c r="X419">
        <f t="shared" si="352"/>
        <v>-53.64991725205779</v>
      </c>
      <c r="Y419">
        <f t="shared" si="336"/>
        <v>-229.72553988233707</v>
      </c>
      <c r="Z419">
        <f t="shared" si="353"/>
        <v>-49.725539882337074</v>
      </c>
      <c r="AC419">
        <v>1</v>
      </c>
      <c r="AD419">
        <f t="shared" si="337"/>
        <v>961.98237296752495</v>
      </c>
      <c r="AE419">
        <f t="shared" si="338"/>
        <v>-1.1151758416150597</v>
      </c>
      <c r="AF419">
        <f t="shared" si="339"/>
        <v>0.25232958005535</v>
      </c>
      <c r="AG419">
        <f t="shared" si="315"/>
        <v>184.8265630246101</v>
      </c>
      <c r="AH419">
        <f t="shared" si="316"/>
        <v>-820.80792084842642</v>
      </c>
      <c r="AJ419">
        <f t="shared" si="340"/>
        <v>18000</v>
      </c>
      <c r="AK419">
        <f t="shared" si="341"/>
        <v>72754.384889466004</v>
      </c>
      <c r="AL419">
        <v>1</v>
      </c>
      <c r="AM419">
        <f t="shared" si="342"/>
        <v>143.15163281363701</v>
      </c>
      <c r="AN419">
        <f t="shared" si="317"/>
        <v>509.08653975163509</v>
      </c>
      <c r="AO419">
        <f t="shared" si="318"/>
        <v>-122.18451942507035</v>
      </c>
      <c r="AQ419">
        <f t="shared" si="343"/>
        <v>2.3795354242628379E-3</v>
      </c>
      <c r="AR419">
        <f t="shared" si="344"/>
        <v>-4.8780476197388172</v>
      </c>
      <c r="AT419">
        <f t="shared" si="365"/>
        <v>-4003.5003232033723</v>
      </c>
      <c r="AU419">
        <f t="shared" si="366"/>
        <v>-903.54591735088013</v>
      </c>
      <c r="AV419">
        <f t="shared" si="354"/>
        <v>-2.9196225239155713</v>
      </c>
      <c r="AW419">
        <f t="shared" si="355"/>
        <v>97.25200367311291</v>
      </c>
      <c r="AX419">
        <f t="shared" si="356"/>
        <v>-3558.1533993870298</v>
      </c>
      <c r="AY419">
        <f t="shared" si="364"/>
        <v>-1.543470973909743</v>
      </c>
      <c r="BA419">
        <f t="shared" si="345"/>
        <v>1.1530312466133821</v>
      </c>
      <c r="BB419">
        <f t="shared" si="357"/>
        <v>1.2368215326744634</v>
      </c>
      <c r="BC419">
        <f t="shared" si="358"/>
        <v>-1.3761515500058283</v>
      </c>
      <c r="BD419">
        <f t="shared" si="346"/>
        <v>-258.847675875817</v>
      </c>
      <c r="BF419">
        <f t="shared" si="347"/>
        <v>-56.533670798676951</v>
      </c>
      <c r="BG419">
        <f t="shared" si="348"/>
        <v>-244.75935056814666</v>
      </c>
      <c r="BH419">
        <f t="shared" si="359"/>
        <v>-64.759350568146658</v>
      </c>
      <c r="BI419">
        <f t="shared" si="360"/>
        <v>-64.759350568146658</v>
      </c>
      <c r="BJ419">
        <f t="shared" si="349"/>
        <v>0</v>
      </c>
      <c r="BK419">
        <f t="shared" si="361"/>
        <v>0</v>
      </c>
      <c r="BM419">
        <f t="shared" si="362"/>
        <v>-57.770492331351413</v>
      </c>
      <c r="BN419">
        <f t="shared" si="350"/>
        <v>-165.91167469232965</v>
      </c>
      <c r="BQ419" s="56">
        <f t="shared" si="363"/>
        <v>18.1387823329596</v>
      </c>
    </row>
    <row r="420" spans="1:69" x14ac:dyDescent="0.2">
      <c r="A420">
        <f t="shared" si="319"/>
        <v>1030000</v>
      </c>
      <c r="B420">
        <f t="shared" si="351"/>
        <v>1030</v>
      </c>
      <c r="C420">
        <f t="shared" si="320"/>
        <v>1.0304166560257166</v>
      </c>
      <c r="D420">
        <f t="shared" si="321"/>
        <v>0.24357821623988862</v>
      </c>
      <c r="F420">
        <f t="shared" si="322"/>
        <v>8.2845051001386393E-5</v>
      </c>
      <c r="G420">
        <f t="shared" si="323"/>
        <v>3.4292374297714436E-3</v>
      </c>
      <c r="H420">
        <f t="shared" si="324"/>
        <v>-3.1381634125702287</v>
      </c>
      <c r="J420">
        <f t="shared" si="325"/>
        <v>15</v>
      </c>
      <c r="M420">
        <f t="shared" si="326"/>
        <v>2.1910181271865637E-4</v>
      </c>
      <c r="N420">
        <f t="shared" si="327"/>
        <v>-1.5707963250000001</v>
      </c>
      <c r="O420">
        <f t="shared" si="328"/>
        <v>966.67548714562804</v>
      </c>
      <c r="P420">
        <f t="shared" si="329"/>
        <v>1.5697618532909612</v>
      </c>
      <c r="Q420">
        <f t="shared" si="330"/>
        <v>143.85340926401571</v>
      </c>
      <c r="R420">
        <f t="shared" si="331"/>
        <v>1.5638447497747052</v>
      </c>
      <c r="S420">
        <f t="shared" si="332"/>
        <v>0.23906749075528533</v>
      </c>
      <c r="T420">
        <f t="shared" si="333"/>
        <v>-1.329390946221499</v>
      </c>
      <c r="U420">
        <f t="shared" si="334"/>
        <v>0.21967049377883735</v>
      </c>
      <c r="V420">
        <f t="shared" si="335"/>
        <v>-1.3493196253611839</v>
      </c>
      <c r="X420">
        <f t="shared" si="352"/>
        <v>-53.769804322299606</v>
      </c>
      <c r="Y420">
        <f t="shared" si="336"/>
        <v>-229.78389262927647</v>
      </c>
      <c r="Z420">
        <f t="shared" si="353"/>
        <v>-49.783892629276465</v>
      </c>
      <c r="AC420">
        <v>1</v>
      </c>
      <c r="AD420">
        <f t="shared" si="337"/>
        <v>966.67496990882989</v>
      </c>
      <c r="AE420">
        <f t="shared" si="338"/>
        <v>-1.1260821419340075</v>
      </c>
      <c r="AF420">
        <f t="shared" si="339"/>
        <v>0.25356045605562</v>
      </c>
      <c r="AG420">
        <f t="shared" si="315"/>
        <v>183.12286619501316</v>
      </c>
      <c r="AH420">
        <f t="shared" si="316"/>
        <v>-817.2070386106343</v>
      </c>
      <c r="AJ420">
        <f t="shared" si="340"/>
        <v>18000</v>
      </c>
      <c r="AK420">
        <f t="shared" si="341"/>
        <v>73109.284327951202</v>
      </c>
      <c r="AL420">
        <v>1</v>
      </c>
      <c r="AM420">
        <f t="shared" si="342"/>
        <v>143.84993346150841</v>
      </c>
      <c r="AN420">
        <f t="shared" si="317"/>
        <v>509.07827354470436</v>
      </c>
      <c r="AO420">
        <f t="shared" si="318"/>
        <v>-121.59144815409694</v>
      </c>
      <c r="AQ420">
        <f t="shared" si="343"/>
        <v>2.3564892175301118E-3</v>
      </c>
      <c r="AR420">
        <f t="shared" si="344"/>
        <v>-4.8543677881120306</v>
      </c>
      <c r="AT420">
        <f t="shared" si="365"/>
        <v>-3966.591997390216</v>
      </c>
      <c r="AU420">
        <f t="shared" si="366"/>
        <v>-890.87148249879704</v>
      </c>
      <c r="AV420">
        <f t="shared" si="354"/>
        <v>-2.9206649888049427</v>
      </c>
      <c r="AW420">
        <f t="shared" si="355"/>
        <v>101.31724344540439</v>
      </c>
      <c r="AX420">
        <f t="shared" si="356"/>
        <v>-3541.2160112154334</v>
      </c>
      <c r="AY420">
        <f t="shared" si="364"/>
        <v>-1.5421932675002621</v>
      </c>
      <c r="BA420">
        <f t="shared" si="345"/>
        <v>1.1475550731812694</v>
      </c>
      <c r="BB420">
        <f t="shared" si="357"/>
        <v>1.1954707452715383</v>
      </c>
      <c r="BC420">
        <f t="shared" si="358"/>
        <v>-1.3784717213046807</v>
      </c>
      <c r="BD420">
        <f t="shared" si="346"/>
        <v>-258.98061189914057</v>
      </c>
      <c r="BF420">
        <f t="shared" si="347"/>
        <v>-56.657115277489481</v>
      </c>
      <c r="BG420">
        <f t="shared" si="348"/>
        <v>-244.82812727942422</v>
      </c>
      <c r="BH420">
        <f t="shared" si="359"/>
        <v>-64.828127279424223</v>
      </c>
      <c r="BI420">
        <f t="shared" si="360"/>
        <v>-64.828127279424223</v>
      </c>
      <c r="BJ420">
        <f t="shared" si="349"/>
        <v>0</v>
      </c>
      <c r="BK420">
        <f t="shared" si="361"/>
        <v>0</v>
      </c>
      <c r="BM420">
        <f t="shared" si="362"/>
        <v>-57.852586022761024</v>
      </c>
      <c r="BN420">
        <f t="shared" si="350"/>
        <v>-165.84751538028368</v>
      </c>
      <c r="BQ420" s="56">
        <f t="shared" si="363"/>
        <v>18.097431545556674</v>
      </c>
    </row>
    <row r="421" spans="1:69" x14ac:dyDescent="0.2">
      <c r="A421">
        <f t="shared" si="319"/>
        <v>1035000</v>
      </c>
      <c r="B421">
        <f t="shared" si="351"/>
        <v>1035</v>
      </c>
      <c r="C421">
        <f t="shared" si="320"/>
        <v>1.0307082697298486</v>
      </c>
      <c r="D421">
        <f t="shared" si="321"/>
        <v>0.24471409651833267</v>
      </c>
      <c r="F421">
        <f t="shared" si="322"/>
        <v>8.2046487645781686E-5</v>
      </c>
      <c r="G421">
        <f t="shared" si="323"/>
        <v>3.4126684428977751E-3</v>
      </c>
      <c r="H421">
        <f t="shared" si="324"/>
        <v>-3.1381799815571023</v>
      </c>
      <c r="J421">
        <f t="shared" si="325"/>
        <v>15</v>
      </c>
      <c r="M421">
        <f t="shared" si="326"/>
        <v>2.1804334985528123E-4</v>
      </c>
      <c r="N421">
        <f t="shared" si="327"/>
        <v>-1.5707963250000001</v>
      </c>
      <c r="O421">
        <f t="shared" si="328"/>
        <v>971.36808158820588</v>
      </c>
      <c r="P421">
        <f t="shared" si="329"/>
        <v>1.5697668507439626</v>
      </c>
      <c r="Q421">
        <f t="shared" si="330"/>
        <v>144.55169312097343</v>
      </c>
      <c r="R421">
        <f t="shared" si="331"/>
        <v>1.5638783311983215</v>
      </c>
      <c r="S421">
        <f t="shared" si="332"/>
        <v>0.23797813207142307</v>
      </c>
      <c r="T421">
        <f t="shared" si="333"/>
        <v>-1.3305126817431836</v>
      </c>
      <c r="U421">
        <f t="shared" si="334"/>
        <v>0.21866013975151216</v>
      </c>
      <c r="V421">
        <f t="shared" si="335"/>
        <v>-1.3503551555200377</v>
      </c>
      <c r="X421">
        <f t="shared" si="352"/>
        <v>-53.889129130024926</v>
      </c>
      <c r="Y421">
        <f t="shared" si="336"/>
        <v>-229.84115262834828</v>
      </c>
      <c r="Z421">
        <f t="shared" si="353"/>
        <v>-49.841152628348283</v>
      </c>
      <c r="AC421">
        <v>1</v>
      </c>
      <c r="AD421">
        <f t="shared" si="337"/>
        <v>971.36756685013506</v>
      </c>
      <c r="AE421">
        <f t="shared" si="338"/>
        <v>-1.1370415142739725</v>
      </c>
      <c r="AF421">
        <f t="shared" si="339"/>
        <v>0.25479133205589</v>
      </c>
      <c r="AG421">
        <f t="shared" si="315"/>
        <v>181.44222685650962</v>
      </c>
      <c r="AH421">
        <f t="shared" si="316"/>
        <v>-813.63578072072426</v>
      </c>
      <c r="AJ421">
        <f t="shared" si="340"/>
        <v>18000</v>
      </c>
      <c r="AK421">
        <f t="shared" si="341"/>
        <v>73464.183766436399</v>
      </c>
      <c r="AL421">
        <v>1</v>
      </c>
      <c r="AM421">
        <f t="shared" si="342"/>
        <v>144.54823410937982</v>
      </c>
      <c r="AN421">
        <f t="shared" si="317"/>
        <v>509.07012684062261</v>
      </c>
      <c r="AO421">
        <f t="shared" si="318"/>
        <v>-121.00410621359768</v>
      </c>
      <c r="AQ421">
        <f t="shared" si="343"/>
        <v>2.3337762062647423E-3</v>
      </c>
      <c r="AR421">
        <f t="shared" si="344"/>
        <v>-4.8309167469680165</v>
      </c>
      <c r="AT421">
        <f t="shared" si="365"/>
        <v>-3930.1832734642944</v>
      </c>
      <c r="AU421">
        <f t="shared" si="366"/>
        <v>-878.43113615389393</v>
      </c>
      <c r="AV421">
        <f t="shared" si="354"/>
        <v>-2.9216978666160096</v>
      </c>
      <c r="AW421">
        <f t="shared" si="355"/>
        <v>105.32216379740952</v>
      </c>
      <c r="AX421">
        <f t="shared" si="356"/>
        <v>-3524.4377939980723</v>
      </c>
      <c r="AY421">
        <f t="shared" si="364"/>
        <v>-1.5409218233318032</v>
      </c>
      <c r="BA421">
        <f t="shared" si="345"/>
        <v>1.1421278595498094</v>
      </c>
      <c r="BB421">
        <f t="shared" si="357"/>
        <v>1.1542945053182403</v>
      </c>
      <c r="BC421">
        <f t="shared" si="358"/>
        <v>-1.3807760432842064</v>
      </c>
      <c r="BD421">
        <f t="shared" si="346"/>
        <v>-259.11263982335748</v>
      </c>
      <c r="BF421">
        <f t="shared" si="347"/>
        <v>-56.779965223738664</v>
      </c>
      <c r="BG421">
        <f t="shared" si="348"/>
        <v>-244.89602339059954</v>
      </c>
      <c r="BH421">
        <f t="shared" si="359"/>
        <v>-64.896023390599538</v>
      </c>
      <c r="BI421">
        <f t="shared" si="360"/>
        <v>-64.896023390599538</v>
      </c>
      <c r="BJ421">
        <f t="shared" si="349"/>
        <v>0</v>
      </c>
      <c r="BK421">
        <f t="shared" si="361"/>
        <v>0</v>
      </c>
      <c r="BM421">
        <f t="shared" si="362"/>
        <v>-57.934259729056905</v>
      </c>
      <c r="BN421">
        <f t="shared" si="350"/>
        <v>-165.78338356724208</v>
      </c>
      <c r="BQ421" s="56">
        <f t="shared" si="363"/>
        <v>18.056255305603376</v>
      </c>
    </row>
    <row r="422" spans="1:69" x14ac:dyDescent="0.2">
      <c r="A422">
        <f t="shared" si="319"/>
        <v>1040000</v>
      </c>
      <c r="B422">
        <f t="shared" si="351"/>
        <v>1040</v>
      </c>
      <c r="C422">
        <f t="shared" si="320"/>
        <v>1.0310012125252539</v>
      </c>
      <c r="D422">
        <f t="shared" si="321"/>
        <v>0.24584933277572543</v>
      </c>
      <c r="F422">
        <f t="shared" si="322"/>
        <v>8.1259415493080075E-5</v>
      </c>
      <c r="G422">
        <f t="shared" si="323"/>
        <v>3.3962588107611185E-3</v>
      </c>
      <c r="H422">
        <f t="shared" si="324"/>
        <v>-3.138196391189239</v>
      </c>
      <c r="J422">
        <f t="shared" si="325"/>
        <v>15</v>
      </c>
      <c r="M422">
        <f t="shared" si="326"/>
        <v>2.1699506451943853E-4</v>
      </c>
      <c r="N422">
        <f t="shared" si="327"/>
        <v>-1.5707963250000001</v>
      </c>
      <c r="O422">
        <f t="shared" si="328"/>
        <v>976.06067605480996</v>
      </c>
      <c r="P422">
        <f t="shared" si="329"/>
        <v>1.5697718001445817</v>
      </c>
      <c r="Q422">
        <f t="shared" si="330"/>
        <v>145.24997713937648</v>
      </c>
      <c r="R422">
        <f t="shared" si="331"/>
        <v>1.5639115897390128</v>
      </c>
      <c r="S422">
        <f t="shared" si="332"/>
        <v>0.2368983620723577</v>
      </c>
      <c r="T422">
        <f t="shared" si="333"/>
        <v>-1.3316242394289202</v>
      </c>
      <c r="U422">
        <f t="shared" si="334"/>
        <v>0.21765880702734089</v>
      </c>
      <c r="V422">
        <f t="shared" si="335"/>
        <v>-1.3513812025525966</v>
      </c>
      <c r="X422">
        <f t="shared" si="352"/>
        <v>-54.007896468935208</v>
      </c>
      <c r="Y422">
        <f t="shared" si="336"/>
        <v>-229.89733515962308</v>
      </c>
      <c r="Z422">
        <f t="shared" si="353"/>
        <v>-49.897335159623083</v>
      </c>
      <c r="AC422">
        <v>1</v>
      </c>
      <c r="AD422">
        <f t="shared" si="337"/>
        <v>976.06016379144</v>
      </c>
      <c r="AE422">
        <f t="shared" si="338"/>
        <v>-1.1480539586349541</v>
      </c>
      <c r="AF422">
        <f t="shared" si="339"/>
        <v>0.25602220805615999</v>
      </c>
      <c r="AG422">
        <f t="shared" si="315"/>
        <v>179.78423800349179</v>
      </c>
      <c r="AH422">
        <f t="shared" si="316"/>
        <v>-810.09381066888784</v>
      </c>
      <c r="AJ422">
        <f t="shared" si="340"/>
        <v>18000</v>
      </c>
      <c r="AK422">
        <f t="shared" si="341"/>
        <v>73819.083204921597</v>
      </c>
      <c r="AL422">
        <v>1</v>
      </c>
      <c r="AM422">
        <f t="shared" si="342"/>
        <v>145.24653475725123</v>
      </c>
      <c r="AN422">
        <f t="shared" si="317"/>
        <v>509.06209734697342</v>
      </c>
      <c r="AO422">
        <f t="shared" si="318"/>
        <v>-120.42241098478129</v>
      </c>
      <c r="AQ422">
        <f t="shared" si="343"/>
        <v>2.3113899982918828E-3</v>
      </c>
      <c r="AR422">
        <f t="shared" si="344"/>
        <v>-4.8076911964471165</v>
      </c>
      <c r="AT422">
        <f t="shared" si="365"/>
        <v>-3894.2653303595375</v>
      </c>
      <c r="AU422">
        <f t="shared" si="366"/>
        <v>-866.21954104099882</v>
      </c>
      <c r="AV422">
        <f t="shared" si="354"/>
        <v>-2.9227212868040802</v>
      </c>
      <c r="AW422">
        <f t="shared" si="355"/>
        <v>109.26795661185263</v>
      </c>
      <c r="AX422">
        <f t="shared" si="356"/>
        <v>-3507.8165296788761</v>
      </c>
      <c r="AY422">
        <f t="shared" si="364"/>
        <v>-1.539656546572207</v>
      </c>
      <c r="BA422">
        <f t="shared" si="345"/>
        <v>1.1367489656307264</v>
      </c>
      <c r="BB422">
        <f t="shared" si="357"/>
        <v>1.1132913539392713</v>
      </c>
      <c r="BC422">
        <f t="shared" si="358"/>
        <v>-1.3830647402318732</v>
      </c>
      <c r="BD422">
        <f t="shared" si="346"/>
        <v>-259.24377249919308</v>
      </c>
      <c r="BF422">
        <f t="shared" si="347"/>
        <v>-56.902226062513897</v>
      </c>
      <c r="BG422">
        <f t="shared" si="348"/>
        <v>-244.96305202272785</v>
      </c>
      <c r="BH422">
        <f t="shared" si="359"/>
        <v>-64.963052022727851</v>
      </c>
      <c r="BI422">
        <f t="shared" si="360"/>
        <v>-64.963052022727851</v>
      </c>
      <c r="BJ422">
        <f t="shared" si="349"/>
        <v>0</v>
      </c>
      <c r="BK422">
        <f t="shared" si="361"/>
        <v>0</v>
      </c>
      <c r="BM422">
        <f t="shared" si="362"/>
        <v>-58.015517416453164</v>
      </c>
      <c r="BN422">
        <f t="shared" si="350"/>
        <v>-165.71927952353477</v>
      </c>
      <c r="BQ422" s="56">
        <f t="shared" si="363"/>
        <v>18.01525215422441</v>
      </c>
    </row>
    <row r="423" spans="1:69" x14ac:dyDescent="0.2">
      <c r="A423">
        <f t="shared" si="319"/>
        <v>1045000</v>
      </c>
      <c r="B423">
        <f t="shared" si="351"/>
        <v>1045</v>
      </c>
      <c r="C423">
        <f t="shared" si="320"/>
        <v>1.031295483279334</v>
      </c>
      <c r="D423">
        <f t="shared" si="321"/>
        <v>0.24698392263602917</v>
      </c>
      <c r="F423">
        <f t="shared" si="322"/>
        <v>8.0483615115183081E-5</v>
      </c>
      <c r="G423">
        <f t="shared" si="323"/>
        <v>3.3800062452592028E-3</v>
      </c>
      <c r="H423">
        <f t="shared" si="324"/>
        <v>-3.1382126437547408</v>
      </c>
      <c r="J423">
        <f t="shared" si="325"/>
        <v>15</v>
      </c>
      <c r="M423">
        <f t="shared" si="326"/>
        <v>2.1595681062221636E-4</v>
      </c>
      <c r="N423">
        <f t="shared" si="327"/>
        <v>-1.5707963250000001</v>
      </c>
      <c r="O423">
        <f t="shared" si="328"/>
        <v>980.75327054509523</v>
      </c>
      <c r="P423">
        <f t="shared" si="329"/>
        <v>1.569776702182565</v>
      </c>
      <c r="Q423">
        <f t="shared" si="330"/>
        <v>145.94826131690758</v>
      </c>
      <c r="R423">
        <f t="shared" si="331"/>
        <v>1.5639445300311703</v>
      </c>
      <c r="S423">
        <f t="shared" si="332"/>
        <v>0.23582805877950577</v>
      </c>
      <c r="T423">
        <f t="shared" si="333"/>
        <v>-1.3327257544630788</v>
      </c>
      <c r="U423">
        <f t="shared" si="334"/>
        <v>0.21666637851707807</v>
      </c>
      <c r="V423">
        <f t="shared" si="335"/>
        <v>-1.3523978940002344</v>
      </c>
      <c r="X423">
        <f t="shared" si="352"/>
        <v>-54.126111073515006</v>
      </c>
      <c r="Y423">
        <f t="shared" si="336"/>
        <v>-229.95245523836203</v>
      </c>
      <c r="Z423">
        <f t="shared" si="353"/>
        <v>-49.952455238362035</v>
      </c>
      <c r="AC423">
        <v>1</v>
      </c>
      <c r="AD423">
        <f t="shared" si="337"/>
        <v>980.75276073274495</v>
      </c>
      <c r="AE423">
        <f t="shared" si="338"/>
        <v>-1.1591194750169522</v>
      </c>
      <c r="AF423">
        <f t="shared" si="339"/>
        <v>0.25725308405642999</v>
      </c>
      <c r="AG423">
        <f t="shared" si="315"/>
        <v>178.14850140567009</v>
      </c>
      <c r="AH423">
        <f t="shared" si="316"/>
        <v>-806.58079643811664</v>
      </c>
      <c r="AJ423">
        <f t="shared" si="340"/>
        <v>18000</v>
      </c>
      <c r="AK423">
        <f t="shared" si="341"/>
        <v>74173.982643406795</v>
      </c>
      <c r="AL423">
        <v>1</v>
      </c>
      <c r="AM423">
        <f t="shared" si="342"/>
        <v>145.9448354051226</v>
      </c>
      <c r="AN423">
        <f t="shared" si="317"/>
        <v>509.05418282604614</v>
      </c>
      <c r="AO423">
        <f t="shared" si="318"/>
        <v>-119.84628142970263</v>
      </c>
      <c r="AQ423">
        <f t="shared" si="343"/>
        <v>2.2893243539927307E-3</v>
      </c>
      <c r="AR423">
        <f t="shared" si="344"/>
        <v>-4.7846878998448066</v>
      </c>
      <c r="AT423">
        <f t="shared" si="365"/>
        <v>-3858.8295372617486</v>
      </c>
      <c r="AU423">
        <f t="shared" si="366"/>
        <v>-854.23150411194376</v>
      </c>
      <c r="AV423">
        <f t="shared" si="354"/>
        <v>-2.9237353765444531</v>
      </c>
      <c r="AW423">
        <f t="shared" si="355"/>
        <v>113.15578440519035</v>
      </c>
      <c r="AX423">
        <f t="shared" si="356"/>
        <v>-3491.3500410127617</v>
      </c>
      <c r="AY423">
        <f t="shared" si="364"/>
        <v>-1.5383973443610468</v>
      </c>
      <c r="BA423">
        <f t="shared" si="345"/>
        <v>1.1314177620286372</v>
      </c>
      <c r="BB423">
        <f t="shared" si="357"/>
        <v>1.0724598481810361</v>
      </c>
      <c r="BC423">
        <f t="shared" si="358"/>
        <v>-1.3853380321834063</v>
      </c>
      <c r="BD423">
        <f t="shared" si="346"/>
        <v>-259.37402253376581</v>
      </c>
      <c r="BF423">
        <f t="shared" si="347"/>
        <v>-57.023903146219972</v>
      </c>
      <c r="BG423">
        <f t="shared" si="348"/>
        <v>-245.02922605016317</v>
      </c>
      <c r="BH423">
        <f t="shared" si="359"/>
        <v>-65.029226050163174</v>
      </c>
      <c r="BI423">
        <f t="shared" si="360"/>
        <v>-65.029226050163174</v>
      </c>
      <c r="BJ423">
        <f t="shared" si="349"/>
        <v>0</v>
      </c>
      <c r="BK423">
        <f t="shared" si="361"/>
        <v>0</v>
      </c>
      <c r="BM423">
        <f t="shared" si="362"/>
        <v>-58.096362994401012</v>
      </c>
      <c r="BN423">
        <f t="shared" si="350"/>
        <v>-165.65520351639736</v>
      </c>
      <c r="BQ423" s="56">
        <f t="shared" si="363"/>
        <v>17.974420648466172</v>
      </c>
    </row>
    <row r="424" spans="1:69" x14ac:dyDescent="0.2">
      <c r="A424">
        <f t="shared" si="319"/>
        <v>1050000</v>
      </c>
      <c r="B424">
        <f t="shared" si="351"/>
        <v>1050</v>
      </c>
      <c r="C424">
        <f t="shared" si="320"/>
        <v>1.0315910808556523</v>
      </c>
      <c r="D424">
        <f t="shared" si="321"/>
        <v>0.24811786373256794</v>
      </c>
      <c r="F424">
        <f t="shared" si="322"/>
        <v>7.9718872296787195E-5</v>
      </c>
      <c r="G424">
        <f t="shared" si="323"/>
        <v>3.3639085018895344E-3</v>
      </c>
      <c r="H424">
        <f t="shared" si="324"/>
        <v>-3.1382287414981107</v>
      </c>
      <c r="J424">
        <f t="shared" si="325"/>
        <v>15</v>
      </c>
      <c r="M424">
        <f t="shared" si="326"/>
        <v>2.1492844485734866E-4</v>
      </c>
      <c r="N424">
        <f t="shared" si="327"/>
        <v>-1.5707963250000001</v>
      </c>
      <c r="O424">
        <f t="shared" si="328"/>
        <v>985.44586505872371</v>
      </c>
      <c r="P424">
        <f t="shared" si="329"/>
        <v>1.5697815575345206</v>
      </c>
      <c r="Q424">
        <f t="shared" si="330"/>
        <v>146.64654565129351</v>
      </c>
      <c r="R424">
        <f t="shared" si="331"/>
        <v>1.5639771566209175</v>
      </c>
      <c r="S424">
        <f t="shared" si="332"/>
        <v>0.23476710219851243</v>
      </c>
      <c r="T424">
        <f t="shared" si="333"/>
        <v>-1.3338173596957983</v>
      </c>
      <c r="U424">
        <f t="shared" si="334"/>
        <v>0.21568273908923746</v>
      </c>
      <c r="V424">
        <f t="shared" si="335"/>
        <v>-1.3534053551663923</v>
      </c>
      <c r="X424">
        <f t="shared" si="352"/>
        <v>-54.243777619963325</v>
      </c>
      <c r="Y424">
        <f t="shared" si="336"/>
        <v>-230.00652762063635</v>
      </c>
      <c r="Z424">
        <f t="shared" si="353"/>
        <v>-50.006527620636348</v>
      </c>
      <c r="AC424">
        <v>1</v>
      </c>
      <c r="AD424">
        <f t="shared" si="337"/>
        <v>985.44535767405</v>
      </c>
      <c r="AE424">
        <f t="shared" si="338"/>
        <v>-1.1702380634199676</v>
      </c>
      <c r="AF424">
        <f t="shared" si="339"/>
        <v>0.25848396005669999</v>
      </c>
      <c r="AG424">
        <f t="shared" ref="AG424:AG487" si="367">AC424*AE424/(AE424^2+AF424^2)+AD424*AF424/(AE424^2+AF424^2)</f>
        <v>176.53462738658445</v>
      </c>
      <c r="AH424">
        <f t="shared" ref="AH424:AH487" si="368">AD424*AE424/(AE424^2+AF424^2)-AC424*AF424/(AE424^2+AF424^2)</f>
        <v>-803.09641044615148</v>
      </c>
      <c r="AJ424">
        <f t="shared" si="340"/>
        <v>18000</v>
      </c>
      <c r="AK424">
        <f t="shared" si="341"/>
        <v>74528.882081892007</v>
      </c>
      <c r="AL424">
        <v>1</v>
      </c>
      <c r="AM424">
        <f t="shared" si="342"/>
        <v>146.64313605299401</v>
      </c>
      <c r="AN424">
        <f t="shared" ref="AN424:AN487" si="369">AJ424*AL424/(AL424^2+AM424^2)+AK424*AM424/(AL424^2+AM424^2)</f>
        <v>509.04638109327686</v>
      </c>
      <c r="AO424">
        <f t="shared" ref="AO424:AO487" si="370">AK424*AL424/(AL424^2+AM424^2)-AJ424*AM424/(AL424^2+AM424^2)</f>
        <v>-119.27563805363403</v>
      </c>
      <c r="AQ424">
        <f t="shared" si="343"/>
        <v>2.2675731819561946E-3</v>
      </c>
      <c r="AR424">
        <f t="shared" si="344"/>
        <v>-4.7619036821080085</v>
      </c>
      <c r="AT424">
        <f t="shared" si="365"/>
        <v>-3823.8674488045049</v>
      </c>
      <c r="AU424">
        <f t="shared" si="366"/>
        <v>-842.46197205459464</v>
      </c>
      <c r="AV424">
        <f t="shared" si="354"/>
        <v>-2.9247402607814674</v>
      </c>
      <c r="AW424">
        <f t="shared" si="355"/>
        <v>116.98678119273254</v>
      </c>
      <c r="AX424">
        <f t="shared" si="356"/>
        <v>-3475.0361906342323</v>
      </c>
      <c r="AY424">
        <f t="shared" si="364"/>
        <v>-1.5371441257592131</v>
      </c>
      <c r="BA424">
        <f t="shared" si="345"/>
        <v>1.1261336298305951</v>
      </c>
      <c r="BB424">
        <f t="shared" si="357"/>
        <v>1.0317985608329741</v>
      </c>
      <c r="BC424">
        <f t="shared" si="358"/>
        <v>-1.3875961350222543</v>
      </c>
      <c r="BD424">
        <f t="shared" si="346"/>
        <v>-259.5034022962862</v>
      </c>
      <c r="BF424">
        <f t="shared" si="347"/>
        <v>-57.145001755840468</v>
      </c>
      <c r="BG424">
        <f t="shared" si="348"/>
        <v>-245.09455810631698</v>
      </c>
      <c r="BH424">
        <f t="shared" si="359"/>
        <v>-65.094558106316981</v>
      </c>
      <c r="BI424">
        <f t="shared" si="360"/>
        <v>-65.094558106316981</v>
      </c>
      <c r="BJ424">
        <f t="shared" si="349"/>
        <v>0</v>
      </c>
      <c r="BK424">
        <f t="shared" si="361"/>
        <v>0</v>
      </c>
      <c r="BM424">
        <f t="shared" si="362"/>
        <v>-58.176800316673443</v>
      </c>
      <c r="BN424">
        <f t="shared" si="350"/>
        <v>-165.59115581003084</v>
      </c>
      <c r="BQ424" s="56">
        <f t="shared" si="363"/>
        <v>17.93375936111811</v>
      </c>
    </row>
    <row r="425" spans="1:69" x14ac:dyDescent="0.2">
      <c r="A425">
        <f t="shared" si="319"/>
        <v>1055000</v>
      </c>
      <c r="B425">
        <f t="shared" si="351"/>
        <v>1055</v>
      </c>
      <c r="C425">
        <f t="shared" si="320"/>
        <v>1.0318880041139531</v>
      </c>
      <c r="D425">
        <f t="shared" si="321"/>
        <v>0.24925115370804515</v>
      </c>
      <c r="F425">
        <f t="shared" si="322"/>
        <v>7.8964977887479296E-5</v>
      </c>
      <c r="G425">
        <f t="shared" si="323"/>
        <v>3.3479633787157417E-3</v>
      </c>
      <c r="H425">
        <f t="shared" si="324"/>
        <v>-3.1382446866212845</v>
      </c>
      <c r="J425">
        <f t="shared" si="325"/>
        <v>15</v>
      </c>
      <c r="M425">
        <f t="shared" si="326"/>
        <v>2.1390982663527591E-4</v>
      </c>
      <c r="N425">
        <f t="shared" si="327"/>
        <v>-1.5707963250000001</v>
      </c>
      <c r="O425">
        <f t="shared" si="328"/>
        <v>990.1384595953632</v>
      </c>
      <c r="P425">
        <f t="shared" si="329"/>
        <v>1.56978636686423</v>
      </c>
      <c r="Q425">
        <f t="shared" si="330"/>
        <v>147.34483014030431</v>
      </c>
      <c r="R425">
        <f t="shared" si="331"/>
        <v>1.5640094739682027</v>
      </c>
      <c r="S425">
        <f t="shared" si="332"/>
        <v>0.23371537428086914</v>
      </c>
      <c r="T425">
        <f t="shared" si="333"/>
        <v>-1.3348991856920287</v>
      </c>
      <c r="U425">
        <f t="shared" si="334"/>
        <v>0.21470777553075904</v>
      </c>
      <c r="V425">
        <f t="shared" si="335"/>
        <v>-1.3544037091645589</v>
      </c>
      <c r="X425">
        <f t="shared" si="352"/>
        <v>-54.360900727107911</v>
      </c>
      <c r="Y425">
        <f t="shared" si="336"/>
        <v>-230.05956680880664</v>
      </c>
      <c r="Z425">
        <f t="shared" si="353"/>
        <v>-50.059566808806636</v>
      </c>
      <c r="AC425">
        <v>1</v>
      </c>
      <c r="AD425">
        <f t="shared" si="337"/>
        <v>990.13795461535494</v>
      </c>
      <c r="AE425">
        <f t="shared" si="338"/>
        <v>-1.1814097238439993</v>
      </c>
      <c r="AF425">
        <f t="shared" si="339"/>
        <v>0.25971483605696999</v>
      </c>
      <c r="AG425">
        <f t="shared" si="367"/>
        <v>174.94223460846365</v>
      </c>
      <c r="AH425">
        <f t="shared" si="368"/>
        <v>-799.64032948769113</v>
      </c>
      <c r="AJ425">
        <f t="shared" si="340"/>
        <v>18000</v>
      </c>
      <c r="AK425">
        <f t="shared" si="341"/>
        <v>74883.781520377204</v>
      </c>
      <c r="AL425">
        <v>1</v>
      </c>
      <c r="AM425">
        <f t="shared" si="342"/>
        <v>147.34143670086542</v>
      </c>
      <c r="AN425">
        <f t="shared" si="369"/>
        <v>509.03869001574066</v>
      </c>
      <c r="AO425">
        <f t="shared" si="370"/>
        <v>-118.71040286850634</v>
      </c>
      <c r="AQ425">
        <f t="shared" si="343"/>
        <v>2.2461305347744806E-3</v>
      </c>
      <c r="AR425">
        <f t="shared" si="344"/>
        <v>-4.7393354283741544</v>
      </c>
      <c r="AT425">
        <f t="shared" si="365"/>
        <v>-3789.3708004028208</v>
      </c>
      <c r="AU425">
        <f t="shared" si="366"/>
        <v>-830.90602695973428</v>
      </c>
      <c r="AV425">
        <f t="shared" si="354"/>
        <v>-2.9257360622763167</v>
      </c>
      <c r="AW425">
        <f t="shared" si="355"/>
        <v>120.76205332416853</v>
      </c>
      <c r="AX425">
        <f t="shared" si="356"/>
        <v>-3458.8728801513389</v>
      </c>
      <c r="AY425">
        <f t="shared" si="364"/>
        <v>-1.5358968017000205</v>
      </c>
      <c r="BA425">
        <f t="shared" si="345"/>
        <v>1.1208959604001854</v>
      </c>
      <c r="BB425">
        <f t="shared" si="357"/>
        <v>0.99130608024958333</v>
      </c>
      <c r="BC425">
        <f t="shared" si="358"/>
        <v>-1.3898392605762961</v>
      </c>
      <c r="BD425">
        <f t="shared" si="346"/>
        <v>-259.63192392359758</v>
      </c>
      <c r="BF425">
        <f t="shared" si="347"/>
        <v>-57.265527102174772</v>
      </c>
      <c r="BG425">
        <f t="shared" si="348"/>
        <v>-245.15906058925759</v>
      </c>
      <c r="BH425">
        <f t="shared" si="359"/>
        <v>-65.159060589257592</v>
      </c>
      <c r="BI425">
        <f t="shared" si="360"/>
        <v>-65.159060589257592</v>
      </c>
      <c r="BJ425">
        <f t="shared" si="349"/>
        <v>0</v>
      </c>
      <c r="BK425">
        <f t="shared" si="361"/>
        <v>0</v>
      </c>
      <c r="BM425">
        <f t="shared" si="362"/>
        <v>-58.256833182424366</v>
      </c>
      <c r="BN425">
        <f t="shared" si="350"/>
        <v>-165.52713666566004</v>
      </c>
      <c r="BQ425" s="56">
        <f t="shared" si="363"/>
        <v>17.893266880534718</v>
      </c>
    </row>
    <row r="426" spans="1:69" x14ac:dyDescent="0.2">
      <c r="A426">
        <f t="shared" si="319"/>
        <v>1060000</v>
      </c>
      <c r="B426">
        <f t="shared" si="351"/>
        <v>1060</v>
      </c>
      <c r="C426">
        <f t="shared" si="320"/>
        <v>1.0321862519101814</v>
      </c>
      <c r="D426">
        <f t="shared" si="321"/>
        <v>0.25038379021456064</v>
      </c>
      <c r="F426">
        <f t="shared" si="322"/>
        <v>7.8221727658705218E-5</v>
      </c>
      <c r="G426">
        <f t="shared" si="323"/>
        <v>3.3321687153632096E-3</v>
      </c>
      <c r="H426">
        <f t="shared" si="324"/>
        <v>-3.1382604812846369</v>
      </c>
      <c r="J426">
        <f t="shared" si="325"/>
        <v>15</v>
      </c>
      <c r="M426">
        <f t="shared" si="326"/>
        <v>2.1290081801907178E-4</v>
      </c>
      <c r="N426">
        <f t="shared" si="327"/>
        <v>-1.5707963250000001</v>
      </c>
      <c r="O426">
        <f t="shared" si="328"/>
        <v>994.83105415468833</v>
      </c>
      <c r="P426">
        <f t="shared" si="329"/>
        <v>1.5697911308229506</v>
      </c>
      <c r="Q426">
        <f t="shared" si="330"/>
        <v>148.04311478175197</v>
      </c>
      <c r="R426">
        <f t="shared" si="331"/>
        <v>1.5640414864488299</v>
      </c>
      <c r="S426">
        <f t="shared" si="332"/>
        <v>0.23267275888636671</v>
      </c>
      <c r="T426">
        <f t="shared" si="333"/>
        <v>-1.3359713607793753</v>
      </c>
      <c r="U426">
        <f t="shared" si="334"/>
        <v>0.21374137650857944</v>
      </c>
      <c r="V426">
        <f t="shared" si="335"/>
        <v>-1.355393076965046</v>
      </c>
      <c r="X426">
        <f t="shared" si="352"/>
        <v>-54.477484957302579</v>
      </c>
      <c r="Y426">
        <f t="shared" si="336"/>
        <v>-230.11158705686714</v>
      </c>
      <c r="Z426">
        <f t="shared" si="353"/>
        <v>-50.111587056867137</v>
      </c>
      <c r="AC426">
        <v>1</v>
      </c>
      <c r="AD426">
        <f t="shared" si="337"/>
        <v>994.83055155666011</v>
      </c>
      <c r="AE426">
        <f t="shared" si="338"/>
        <v>-1.1926344562890481</v>
      </c>
      <c r="AF426">
        <f t="shared" si="339"/>
        <v>0.26094571205724004</v>
      </c>
      <c r="AG426">
        <f t="shared" si="367"/>
        <v>173.37094986322842</v>
      </c>
      <c r="AH426">
        <f t="shared" si="368"/>
        <v>-796.21223467688947</v>
      </c>
      <c r="AJ426">
        <f t="shared" si="340"/>
        <v>18000</v>
      </c>
      <c r="AK426">
        <f t="shared" si="341"/>
        <v>75238.680958862402</v>
      </c>
      <c r="AL426">
        <v>1</v>
      </c>
      <c r="AM426">
        <f t="shared" si="342"/>
        <v>148.03973734873682</v>
      </c>
      <c r="AN426">
        <f t="shared" si="369"/>
        <v>509.03110751069414</v>
      </c>
      <c r="AO426">
        <f t="shared" si="370"/>
        <v>-118.15049935738455</v>
      </c>
      <c r="AQ426">
        <f t="shared" si="343"/>
        <v>2.2249906049771704E-3</v>
      </c>
      <c r="AR426">
        <f t="shared" si="344"/>
        <v>-4.7169800825516015</v>
      </c>
      <c r="AT426">
        <f t="shared" si="365"/>
        <v>-3755.3315037201673</v>
      </c>
      <c r="AU426">
        <f t="shared" si="366"/>
        <v>-819.55888213962476</v>
      </c>
      <c r="AV426">
        <f t="shared" si="354"/>
        <v>-2.9267229016536649</v>
      </c>
      <c r="AW426">
        <f t="shared" si="355"/>
        <v>124.48268029064441</v>
      </c>
      <c r="AX426">
        <f t="shared" si="356"/>
        <v>-3442.8580492642259</v>
      </c>
      <c r="AY426">
        <f t="shared" si="364"/>
        <v>-1.5346552849417876</v>
      </c>
      <c r="BA426">
        <f t="shared" si="345"/>
        <v>1.1157041551760494</v>
      </c>
      <c r="BB426">
        <f t="shared" si="357"/>
        <v>0.95098101017302739</v>
      </c>
      <c r="BC426">
        <f t="shared" si="358"/>
        <v>-1.3920676167118773</v>
      </c>
      <c r="BD426">
        <f t="shared" si="346"/>
        <v>-259.75959932556435</v>
      </c>
      <c r="BF426">
        <f t="shared" si="347"/>
        <v>-57.385484327049468</v>
      </c>
      <c r="BG426">
        <f t="shared" si="348"/>
        <v>-245.22274566715436</v>
      </c>
      <c r="BH426">
        <f t="shared" si="359"/>
        <v>-65.222745667154356</v>
      </c>
      <c r="BI426">
        <f t="shared" si="360"/>
        <v>-65.222745667154356</v>
      </c>
      <c r="BJ426">
        <f t="shared" si="349"/>
        <v>0</v>
      </c>
      <c r="BK426">
        <f t="shared" si="361"/>
        <v>0</v>
      </c>
      <c r="BM426">
        <f t="shared" si="362"/>
        <v>-58.336465337222492</v>
      </c>
      <c r="BN426">
        <f t="shared" si="350"/>
        <v>-165.46314634159003</v>
      </c>
      <c r="BQ426" s="56">
        <f t="shared" si="363"/>
        <v>17.852941810458166</v>
      </c>
    </row>
    <row r="427" spans="1:69" x14ac:dyDescent="0.2">
      <c r="A427">
        <f t="shared" si="319"/>
        <v>1065000</v>
      </c>
      <c r="B427">
        <f t="shared" si="351"/>
        <v>1065</v>
      </c>
      <c r="C427">
        <f t="shared" si="320"/>
        <v>1.0324858230965044</v>
      </c>
      <c r="D427">
        <f t="shared" si="321"/>
        <v>0.25151577091362765</v>
      </c>
      <c r="F427">
        <f t="shared" si="322"/>
        <v>7.7488922165428506E-5</v>
      </c>
      <c r="G427">
        <f t="shared" si="323"/>
        <v>3.3165223920430028E-3</v>
      </c>
      <c r="H427">
        <f t="shared" si="324"/>
        <v>-3.1382761276079574</v>
      </c>
      <c r="J427">
        <f t="shared" si="325"/>
        <v>15</v>
      </c>
      <c r="M427">
        <f t="shared" si="326"/>
        <v>2.1190128366217474E-4</v>
      </c>
      <c r="N427">
        <f t="shared" si="327"/>
        <v>-1.5707963250000001</v>
      </c>
      <c r="O427">
        <f t="shared" si="328"/>
        <v>999.5236487363793</v>
      </c>
      <c r="P427">
        <f t="shared" si="329"/>
        <v>1.5697958500497091</v>
      </c>
      <c r="Q427">
        <f t="shared" si="330"/>
        <v>148.74139957348953</v>
      </c>
      <c r="R427">
        <f t="shared" si="331"/>
        <v>1.5640731983564353</v>
      </c>
      <c r="S427">
        <f t="shared" si="332"/>
        <v>0.23163914174636435</v>
      </c>
      <c r="T427">
        <f t="shared" si="333"/>
        <v>-1.3370340110947743</v>
      </c>
      <c r="U427">
        <f t="shared" si="334"/>
        <v>0.21278343253208348</v>
      </c>
      <c r="V427">
        <f t="shared" si="335"/>
        <v>-1.3563735774405925</v>
      </c>
      <c r="X427">
        <f t="shared" si="352"/>
        <v>-54.59353481730809</v>
      </c>
      <c r="Y427">
        <f t="shared" si="336"/>
        <v>-230.16260237565791</v>
      </c>
      <c r="Z427">
        <f t="shared" si="353"/>
        <v>-50.162602375657912</v>
      </c>
      <c r="AC427">
        <v>1</v>
      </c>
      <c r="AD427">
        <f t="shared" si="337"/>
        <v>999.52314849796505</v>
      </c>
      <c r="AE427">
        <f t="shared" si="338"/>
        <v>-1.2039122607551136</v>
      </c>
      <c r="AF427">
        <f t="shared" si="339"/>
        <v>0.26217658805750998</v>
      </c>
      <c r="AG427">
        <f t="shared" si="367"/>
        <v>171.82040786944611</v>
      </c>
      <c r="AH427">
        <f t="shared" si="368"/>
        <v>-792.81181139017633</v>
      </c>
      <c r="AJ427">
        <f t="shared" si="340"/>
        <v>18000</v>
      </c>
      <c r="AK427">
        <f t="shared" si="341"/>
        <v>75593.5803973476</v>
      </c>
      <c r="AL427">
        <v>1</v>
      </c>
      <c r="AM427">
        <f t="shared" si="342"/>
        <v>148.73803799660823</v>
      </c>
      <c r="AN427">
        <f t="shared" si="369"/>
        <v>509.0236315441652</v>
      </c>
      <c r="AO427">
        <f t="shared" si="370"/>
        <v>-117.59585243994339</v>
      </c>
      <c r="AQ427">
        <f t="shared" si="343"/>
        <v>2.2041477210986088E-3</v>
      </c>
      <c r="AR427">
        <f t="shared" si="344"/>
        <v>-4.6948346459400367</v>
      </c>
      <c r="AT427">
        <f t="shared" si="365"/>
        <v>-3721.7416422646338</v>
      </c>
      <c r="AU427">
        <f t="shared" si="366"/>
        <v>-808.41587809235943</v>
      </c>
      <c r="AV427">
        <f t="shared" si="354"/>
        <v>-2.9277008974470951</v>
      </c>
      <c r="AW427">
        <f t="shared" si="355"/>
        <v>128.14971550449644</v>
      </c>
      <c r="AX427">
        <f t="shared" si="356"/>
        <v>-3426.9896749074487</v>
      </c>
      <c r="AY427">
        <f t="shared" si="364"/>
        <v>-1.5334194900218323</v>
      </c>
      <c r="BA427">
        <f t="shared" si="345"/>
        <v>1.1105576254747698</v>
      </c>
      <c r="BB427">
        <f t="shared" si="357"/>
        <v>0.91082196955663686</v>
      </c>
      <c r="BC427">
        <f t="shared" si="358"/>
        <v>-1.3942814074252627</v>
      </c>
      <c r="BD427">
        <f t="shared" si="346"/>
        <v>-259.88644019031153</v>
      </c>
      <c r="BF427">
        <f t="shared" si="347"/>
        <v>-57.50487850450439</v>
      </c>
      <c r="BG427">
        <f t="shared" si="348"/>
        <v>-245.28562528357284</v>
      </c>
      <c r="BH427">
        <f t="shared" si="359"/>
        <v>-65.285625283572841</v>
      </c>
      <c r="BI427">
        <f t="shared" si="360"/>
        <v>-65.285625283572841</v>
      </c>
      <c r="BJ427">
        <f t="shared" si="349"/>
        <v>0</v>
      </c>
      <c r="BK427">
        <f t="shared" si="361"/>
        <v>0</v>
      </c>
      <c r="BM427">
        <f t="shared" si="362"/>
        <v>-58.415700474061026</v>
      </c>
      <c r="BN427">
        <f t="shared" si="350"/>
        <v>-165.39918509326134</v>
      </c>
      <c r="BQ427" s="56">
        <f t="shared" si="363"/>
        <v>17.812782769841775</v>
      </c>
    </row>
    <row r="428" spans="1:69" x14ac:dyDescent="0.2">
      <c r="A428">
        <f t="shared" ref="A428:A433" si="371">A427+5000</f>
        <v>1070000</v>
      </c>
      <c r="B428">
        <f t="shared" si="351"/>
        <v>1070</v>
      </c>
      <c r="C428">
        <f t="shared" si="320"/>
        <v>1.03278671652133</v>
      </c>
      <c r="D428">
        <f t="shared" si="321"/>
        <v>0.25264709347618935</v>
      </c>
      <c r="F428">
        <f t="shared" si="322"/>
        <v>7.6766366612304848E-5</v>
      </c>
      <c r="G428">
        <f t="shared" si="323"/>
        <v>3.3010223286031788E-3</v>
      </c>
      <c r="H428">
        <f t="shared" si="324"/>
        <v>-3.1382916276713972</v>
      </c>
      <c r="J428">
        <f t="shared" si="325"/>
        <v>15</v>
      </c>
      <c r="M428">
        <f t="shared" si="326"/>
        <v>2.1091109074786551E-4</v>
      </c>
      <c r="N428">
        <f t="shared" si="327"/>
        <v>-1.5707963250000001</v>
      </c>
      <c r="O428">
        <f t="shared" si="328"/>
        <v>1004.2162433401228</v>
      </c>
      <c r="P428">
        <f t="shared" si="329"/>
        <v>1.5698005251715887</v>
      </c>
      <c r="Q428">
        <f t="shared" si="330"/>
        <v>149.43968451341024</v>
      </c>
      <c r="R428">
        <f t="shared" si="331"/>
        <v>1.5641046139044061</v>
      </c>
      <c r="S428">
        <f t="shared" si="332"/>
        <v>0.23061441042785552</v>
      </c>
      <c r="T428">
        <f t="shared" si="333"/>
        <v>-1.3380872606300322</v>
      </c>
      <c r="U428">
        <f t="shared" si="334"/>
        <v>0.21183383591641522</v>
      </c>
      <c r="V428">
        <f t="shared" si="335"/>
        <v>-1.3573453274108338</v>
      </c>
      <c r="X428">
        <f t="shared" si="352"/>
        <v>-54.709054759156892</v>
      </c>
      <c r="Y428">
        <f t="shared" si="336"/>
        <v>-230.21262653794858</v>
      </c>
      <c r="Z428">
        <f t="shared" si="353"/>
        <v>-50.21262653794858</v>
      </c>
      <c r="AC428">
        <v>1</v>
      </c>
      <c r="AD428">
        <f t="shared" si="337"/>
        <v>1004.21574543927</v>
      </c>
      <c r="AE428">
        <f t="shared" si="338"/>
        <v>-1.2152431372421959</v>
      </c>
      <c r="AF428">
        <f t="shared" si="339"/>
        <v>0.26340746405777998</v>
      </c>
      <c r="AG428">
        <f t="shared" si="367"/>
        <v>170.29025107504839</v>
      </c>
      <c r="AH428">
        <f t="shared" si="368"/>
        <v>-789.43874920943483</v>
      </c>
      <c r="AJ428">
        <f t="shared" si="340"/>
        <v>18000</v>
      </c>
      <c r="AK428">
        <f t="shared" si="341"/>
        <v>75948.479835832797</v>
      </c>
      <c r="AL428">
        <v>1</v>
      </c>
      <c r="AM428">
        <f t="shared" si="342"/>
        <v>149.4363386444796</v>
      </c>
      <c r="AN428">
        <f t="shared" si="369"/>
        <v>509.01626012958849</v>
      </c>
      <c r="AO428">
        <f t="shared" si="370"/>
        <v>-117.04638843891102</v>
      </c>
      <c r="AQ428">
        <f t="shared" si="343"/>
        <v>2.1835963438736256E-3</v>
      </c>
      <c r="AR428">
        <f t="shared" si="344"/>
        <v>-4.6728961758895586</v>
      </c>
      <c r="AT428">
        <f t="shared" si="365"/>
        <v>-3688.5934671101595</v>
      </c>
      <c r="AU428">
        <f t="shared" si="366"/>
        <v>-797.4724786063523</v>
      </c>
      <c r="AV428">
        <f t="shared" si="354"/>
        <v>-2.9286701661434242</v>
      </c>
      <c r="AW428">
        <f t="shared" si="355"/>
        <v>131.76418705269262</v>
      </c>
      <c r="AX428">
        <f t="shared" si="356"/>
        <v>-3411.2657704153512</v>
      </c>
      <c r="AY428">
        <f t="shared" si="364"/>
        <v>-1.5321893332118417</v>
      </c>
      <c r="BA428">
        <f t="shared" si="345"/>
        <v>1.1054557922980051</v>
      </c>
      <c r="BB428">
        <f t="shared" si="357"/>
        <v>0.87082759238925955</v>
      </c>
      <c r="BC428">
        <f t="shared" si="358"/>
        <v>-1.3964808329315825</v>
      </c>
      <c r="BD428">
        <f t="shared" si="346"/>
        <v>-260.01245798932109</v>
      </c>
      <c r="BF428">
        <f t="shared" si="347"/>
        <v>-57.623714641954265</v>
      </c>
      <c r="BG428">
        <f t="shared" si="348"/>
        <v>-245.34771116262388</v>
      </c>
      <c r="BH428">
        <f t="shared" si="359"/>
        <v>-65.347711162623881</v>
      </c>
      <c r="BI428">
        <f t="shared" si="360"/>
        <v>-65.347711162623881</v>
      </c>
      <c r="BJ428">
        <f t="shared" si="349"/>
        <v>0</v>
      </c>
      <c r="BK428">
        <f t="shared" si="361"/>
        <v>0</v>
      </c>
      <c r="BM428">
        <f t="shared" si="362"/>
        <v>-58.494542234343534</v>
      </c>
      <c r="BN428">
        <f t="shared" si="350"/>
        <v>-165.33525317330285</v>
      </c>
      <c r="BQ428" s="56">
        <f t="shared" si="363"/>
        <v>17.772788392674396</v>
      </c>
    </row>
    <row r="429" spans="1:69" x14ac:dyDescent="0.2">
      <c r="A429">
        <f t="shared" si="371"/>
        <v>1075000</v>
      </c>
      <c r="B429">
        <f t="shared" si="351"/>
        <v>1075</v>
      </c>
      <c r="C429">
        <f t="shared" si="320"/>
        <v>1.0330889310293285</v>
      </c>
      <c r="D429">
        <f t="shared" si="321"/>
        <v>0.25377775558263505</v>
      </c>
      <c r="F429">
        <f t="shared" si="322"/>
        <v>7.6053870724204054E-5</v>
      </c>
      <c r="G429">
        <f t="shared" si="323"/>
        <v>3.2856664836065888E-3</v>
      </c>
      <c r="H429">
        <f t="shared" si="324"/>
        <v>-3.1383069835163937</v>
      </c>
      <c r="J429">
        <f t="shared" si="325"/>
        <v>15</v>
      </c>
      <c r="M429">
        <f t="shared" si="326"/>
        <v>2.0993010893043357E-4</v>
      </c>
      <c r="N429">
        <f t="shared" si="327"/>
        <v>-1.5707963250000001</v>
      </c>
      <c r="O429">
        <f t="shared" si="328"/>
        <v>1008.9088379656109</v>
      </c>
      <c r="P429">
        <f t="shared" si="329"/>
        <v>1.5698051568040055</v>
      </c>
      <c r="Q429">
        <f t="shared" si="330"/>
        <v>150.13796959944659</v>
      </c>
      <c r="R429">
        <f t="shared" si="331"/>
        <v>1.5641357372277465</v>
      </c>
      <c r="S429">
        <f t="shared" si="332"/>
        <v>0.22959845429831247</v>
      </c>
      <c r="T429">
        <f t="shared" si="333"/>
        <v>-1.3391312312762631</v>
      </c>
      <c r="U429">
        <f t="shared" si="334"/>
        <v>0.21089248074662501</v>
      </c>
      <c r="V429">
        <f t="shared" si="335"/>
        <v>-1.3583084416856634</v>
      </c>
      <c r="X429">
        <f t="shared" si="352"/>
        <v>-54.824049181001975</v>
      </c>
      <c r="Y429">
        <f t="shared" si="336"/>
        <v>-230.26167308339859</v>
      </c>
      <c r="Z429">
        <f t="shared" si="353"/>
        <v>-50.261673083398591</v>
      </c>
      <c r="AC429">
        <v>1</v>
      </c>
      <c r="AD429">
        <f t="shared" si="337"/>
        <v>1008.9083423805749</v>
      </c>
      <c r="AE429">
        <f t="shared" si="338"/>
        <v>-1.2266270857502948</v>
      </c>
      <c r="AF429">
        <f t="shared" si="339"/>
        <v>0.26463834005804998</v>
      </c>
      <c r="AG429">
        <f t="shared" si="367"/>
        <v>168.78012946562936</v>
      </c>
      <c r="AH429">
        <f t="shared" si="368"/>
        <v>-786.09274186555785</v>
      </c>
      <c r="AJ429">
        <f t="shared" si="340"/>
        <v>18000</v>
      </c>
      <c r="AK429">
        <f t="shared" si="341"/>
        <v>76303.379274317995</v>
      </c>
      <c r="AL429">
        <v>1</v>
      </c>
      <c r="AM429">
        <f t="shared" si="342"/>
        <v>150.13463929235101</v>
      </c>
      <c r="AN429">
        <f t="shared" si="369"/>
        <v>509.00899132648635</v>
      </c>
      <c r="AO429">
        <f t="shared" si="370"/>
        <v>-116.5020350474485</v>
      </c>
      <c r="AQ429">
        <f t="shared" si="343"/>
        <v>2.1633310625568279E-3</v>
      </c>
      <c r="AR429">
        <f t="shared" si="344"/>
        <v>-4.6511617844971802</v>
      </c>
      <c r="AT429">
        <f t="shared" si="365"/>
        <v>-3655.8793927388738</v>
      </c>
      <c r="AU429">
        <f t="shared" si="366"/>
        <v>-786.72426699954997</v>
      </c>
      <c r="AV429">
        <f t="shared" si="354"/>
        <v>-2.9296308222259215</v>
      </c>
      <c r="AW429">
        <f t="shared" si="355"/>
        <v>135.32709842499037</v>
      </c>
      <c r="AX429">
        <f t="shared" si="356"/>
        <v>-3395.6843847097648</v>
      </c>
      <c r="AY429">
        <f t="shared" si="364"/>
        <v>-1.5309647324745632</v>
      </c>
      <c r="BA429">
        <f t="shared" si="345"/>
        <v>1.1003980861437863</v>
      </c>
      <c r="BB429">
        <f t="shared" si="357"/>
        <v>0.8309965275205744</v>
      </c>
      <c r="BC429">
        <f t="shared" si="358"/>
        <v>-1.3986660897513583</v>
      </c>
      <c r="BD429">
        <f t="shared" si="346"/>
        <v>-260.13766398238948</v>
      </c>
      <c r="BF429">
        <f t="shared" si="347"/>
        <v>-57.741997681326367</v>
      </c>
      <c r="BG429">
        <f t="shared" si="348"/>
        <v>-245.4090148139737</v>
      </c>
      <c r="BH429">
        <f t="shared" si="359"/>
        <v>-65.409014813973698</v>
      </c>
      <c r="BI429">
        <f t="shared" si="360"/>
        <v>-65.409014813973698</v>
      </c>
      <c r="BJ429">
        <f t="shared" si="349"/>
        <v>0</v>
      </c>
      <c r="BK429">
        <f t="shared" si="361"/>
        <v>0</v>
      </c>
      <c r="BM429">
        <f t="shared" si="362"/>
        <v>-58.572994208846943</v>
      </c>
      <c r="BN429">
        <f t="shared" si="350"/>
        <v>-165.27135083158427</v>
      </c>
      <c r="BQ429" s="56">
        <f t="shared" si="363"/>
        <v>17.73295732780571</v>
      </c>
    </row>
    <row r="430" spans="1:69" x14ac:dyDescent="0.2">
      <c r="A430">
        <f t="shared" si="371"/>
        <v>1080000</v>
      </c>
      <c r="B430">
        <f t="shared" si="351"/>
        <v>1080</v>
      </c>
      <c r="C430">
        <f t="shared" si="320"/>
        <v>1.0333924654614515</v>
      </c>
      <c r="D430">
        <f t="shared" si="321"/>
        <v>0.25490775492281614</v>
      </c>
      <c r="F430">
        <f t="shared" si="322"/>
        <v>7.5351248620919361E-5</v>
      </c>
      <c r="G430">
        <f t="shared" si="323"/>
        <v>3.2704528534343064E-3</v>
      </c>
      <c r="H430">
        <f t="shared" si="324"/>
        <v>-3.1383221971465658</v>
      </c>
      <c r="J430">
        <f t="shared" si="325"/>
        <v>15</v>
      </c>
      <c r="M430">
        <f t="shared" si="326"/>
        <v>2.0895821027797787E-4</v>
      </c>
      <c r="N430">
        <f t="shared" si="327"/>
        <v>-1.5707963250000001</v>
      </c>
      <c r="O430">
        <f t="shared" si="328"/>
        <v>1013.601432612542</v>
      </c>
      <c r="P430">
        <f t="shared" si="329"/>
        <v>1.5698097455509787</v>
      </c>
      <c r="Q430">
        <f t="shared" si="330"/>
        <v>150.83625482956921</v>
      </c>
      <c r="R430">
        <f t="shared" si="331"/>
        <v>1.5641665723848925</v>
      </c>
      <c r="S430">
        <f t="shared" si="332"/>
        <v>0.22859116449129113</v>
      </c>
      <c r="T430">
        <f t="shared" si="333"/>
        <v>-1.3401660428672502</v>
      </c>
      <c r="U430">
        <f t="shared" si="334"/>
        <v>0.20995926284263422</v>
      </c>
      <c r="V430">
        <f t="shared" si="335"/>
        <v>-1.3592630331075242</v>
      </c>
      <c r="X430">
        <f t="shared" si="352"/>
        <v>-54.938522427950225</v>
      </c>
      <c r="Y430">
        <f t="shared" si="336"/>
        <v>-230.30975532339545</v>
      </c>
      <c r="Z430">
        <f t="shared" si="353"/>
        <v>-50.30975532339545</v>
      </c>
      <c r="AC430">
        <v>1</v>
      </c>
      <c r="AD430">
        <f t="shared" si="337"/>
        <v>1013.60093932188</v>
      </c>
      <c r="AE430">
        <f t="shared" si="338"/>
        <v>-1.2380641062794104</v>
      </c>
      <c r="AF430">
        <f t="shared" si="339"/>
        <v>0.26586921605831998</v>
      </c>
      <c r="AG430">
        <f t="shared" si="367"/>
        <v>167.2897003781504</v>
      </c>
      <c r="AH430">
        <f t="shared" si="368"/>
        <v>-782.7734871824116</v>
      </c>
      <c r="AJ430">
        <f t="shared" si="340"/>
        <v>18000</v>
      </c>
      <c r="AK430">
        <f t="shared" si="341"/>
        <v>76658.278712803207</v>
      </c>
      <c r="AL430">
        <v>1</v>
      </c>
      <c r="AM430">
        <f t="shared" si="342"/>
        <v>150.83293994022242</v>
      </c>
      <c r="AN430">
        <f t="shared" si="369"/>
        <v>509.00182323919125</v>
      </c>
      <c r="AO430">
        <f t="shared" si="370"/>
        <v>-115.96272129743528</v>
      </c>
      <c r="AQ430">
        <f t="shared" si="343"/>
        <v>2.1433465913608986E-3</v>
      </c>
      <c r="AR430">
        <f t="shared" si="344"/>
        <v>-4.6296286373395414</v>
      </c>
      <c r="AT430">
        <f t="shared" si="365"/>
        <v>-3623.591993000754</v>
      </c>
      <c r="AU430">
        <f t="shared" si="366"/>
        <v>-776.16694248819681</v>
      </c>
      <c r="AV430">
        <f t="shared" si="354"/>
        <v>-2.9305829782164516</v>
      </c>
      <c r="AW430">
        <f t="shared" si="355"/>
        <v>138.83942921777412</v>
      </c>
      <c r="AX430">
        <f t="shared" si="356"/>
        <v>-3380.243601509334</v>
      </c>
      <c r="AY430">
        <f t="shared" si="364"/>
        <v>-1.529745607421777</v>
      </c>
      <c r="BA430">
        <f t="shared" si="345"/>
        <v>1.0953839468218856</v>
      </c>
      <c r="BB430">
        <f t="shared" si="357"/>
        <v>0.79132743848744747</v>
      </c>
      <c r="BC430">
        <f t="shared" si="358"/>
        <v>-1.4008373707946746</v>
      </c>
      <c r="BD430">
        <f t="shared" si="346"/>
        <v>-260.26206922245041</v>
      </c>
      <c r="BF430">
        <f t="shared" si="347"/>
        <v>-57.859732500174673</v>
      </c>
      <c r="BG430">
        <f t="shared" si="348"/>
        <v>-245.46954753771666</v>
      </c>
      <c r="BH430">
        <f t="shared" si="359"/>
        <v>-65.469547537716664</v>
      </c>
      <c r="BI430">
        <f t="shared" si="360"/>
        <v>-65.469547537716664</v>
      </c>
      <c r="BJ430">
        <f t="shared" si="349"/>
        <v>0</v>
      </c>
      <c r="BK430">
        <f t="shared" si="361"/>
        <v>0</v>
      </c>
      <c r="BM430">
        <f t="shared" si="362"/>
        <v>-58.651059938662122</v>
      </c>
      <c r="BN430">
        <f t="shared" si="350"/>
        <v>-165.20747831526629</v>
      </c>
      <c r="BQ430" s="56">
        <f t="shared" si="363"/>
        <v>17.693288238772585</v>
      </c>
    </row>
    <row r="431" spans="1:69" x14ac:dyDescent="0.2">
      <c r="A431">
        <f t="shared" si="371"/>
        <v>1085000</v>
      </c>
      <c r="B431">
        <f t="shared" si="351"/>
        <v>1085</v>
      </c>
      <c r="C431">
        <f t="shared" si="320"/>
        <v>1.0336973186549536</v>
      </c>
      <c r="D431">
        <f t="shared" si="321"/>
        <v>0.25603708919606177</v>
      </c>
      <c r="F431">
        <f t="shared" si="322"/>
        <v>7.4658318695909563E-5</v>
      </c>
      <c r="G431">
        <f t="shared" si="323"/>
        <v>3.255379471413862E-3</v>
      </c>
      <c r="H431">
        <f t="shared" si="324"/>
        <v>-3.1383372705285861</v>
      </c>
      <c r="J431">
        <f t="shared" si="325"/>
        <v>15</v>
      </c>
      <c r="M431">
        <f t="shared" si="326"/>
        <v>2.0799526921678902E-4</v>
      </c>
      <c r="N431">
        <f t="shared" si="327"/>
        <v>-1.5707963250000001</v>
      </c>
      <c r="O431">
        <f t="shared" si="328"/>
        <v>1018.2940272806192</v>
      </c>
      <c r="P431">
        <f t="shared" si="329"/>
        <v>1.5698142920053941</v>
      </c>
      <c r="Q431">
        <f t="shared" si="330"/>
        <v>151.53454020178626</v>
      </c>
      <c r="R431">
        <f t="shared" si="331"/>
        <v>1.5641971233594758</v>
      </c>
      <c r="S431">
        <f t="shared" si="332"/>
        <v>0.22759243387277917</v>
      </c>
      <c r="T431">
        <f t="shared" si="333"/>
        <v>-1.3411918132217633</v>
      </c>
      <c r="U431">
        <f t="shared" si="334"/>
        <v>0.2090340797249948</v>
      </c>
      <c r="V431">
        <f t="shared" si="335"/>
        <v>-1.3602092125926522</v>
      </c>
      <c r="X431">
        <f t="shared" si="352"/>
        <v>-55.052478792880599</v>
      </c>
      <c r="Y431">
        <f t="shared" si="336"/>
        <v>-230.35688634577514</v>
      </c>
      <c r="Z431">
        <f t="shared" si="353"/>
        <v>-50.356886345775138</v>
      </c>
      <c r="AC431">
        <v>1</v>
      </c>
      <c r="AD431">
        <f t="shared" si="337"/>
        <v>1018.2935362631849</v>
      </c>
      <c r="AE431">
        <f t="shared" si="338"/>
        <v>-1.2495541988295431</v>
      </c>
      <c r="AF431">
        <f t="shared" si="339"/>
        <v>0.26710009205858998</v>
      </c>
      <c r="AG431">
        <f t="shared" si="367"/>
        <v>165.81862831988173</v>
      </c>
      <c r="AH431">
        <f t="shared" si="368"/>
        <v>-779.48068702123055</v>
      </c>
      <c r="AJ431">
        <f t="shared" si="340"/>
        <v>18000</v>
      </c>
      <c r="AK431">
        <f t="shared" si="341"/>
        <v>77013.17815128839</v>
      </c>
      <c r="AL431">
        <v>1</v>
      </c>
      <c r="AM431">
        <f t="shared" si="342"/>
        <v>151.53124058809382</v>
      </c>
      <c r="AN431">
        <f t="shared" si="369"/>
        <v>508.99475401560989</v>
      </c>
      <c r="AO431">
        <f t="shared" si="370"/>
        <v>-115.42837752863154</v>
      </c>
      <c r="AQ431">
        <f t="shared" si="343"/>
        <v>2.1236377660095213E-3</v>
      </c>
      <c r="AR431">
        <f t="shared" si="344"/>
        <v>-4.6082939522406612</v>
      </c>
      <c r="AT431">
        <f t="shared" si="365"/>
        <v>-3591.7239971869244</v>
      </c>
      <c r="AU431">
        <f t="shared" si="366"/>
        <v>-765.79631668018635</v>
      </c>
      <c r="AV431">
        <f t="shared" si="354"/>
        <v>-2.9315267447165847</v>
      </c>
      <c r="AW431">
        <f t="shared" si="355"/>
        <v>142.30213581449601</v>
      </c>
      <c r="AX431">
        <f t="shared" si="356"/>
        <v>-3364.9415385598072</v>
      </c>
      <c r="AY431">
        <f t="shared" si="364"/>
        <v>-1.5285318792735019</v>
      </c>
      <c r="BA431">
        <f t="shared" si="345"/>
        <v>1.0904128232731713</v>
      </c>
      <c r="BB431">
        <f t="shared" si="357"/>
        <v>0.75181900334143859</v>
      </c>
      <c r="BC431">
        <f t="shared" si="358"/>
        <v>-1.4029948654430828</v>
      </c>
      <c r="BD431">
        <f t="shared" si="346"/>
        <v>-260.38568456026752</v>
      </c>
      <c r="BF431">
        <f t="shared" si="347"/>
        <v>-57.976923912771269</v>
      </c>
      <c r="BG431">
        <f t="shared" si="348"/>
        <v>-245.52932042911712</v>
      </c>
      <c r="BH431">
        <f t="shared" si="359"/>
        <v>-65.529320429117121</v>
      </c>
      <c r="BI431">
        <f t="shared" si="360"/>
        <v>-65.529320429117121</v>
      </c>
      <c r="BJ431">
        <f t="shared" si="349"/>
        <v>0</v>
      </c>
      <c r="BK431">
        <f t="shared" si="361"/>
        <v>0</v>
      </c>
      <c r="BM431">
        <f t="shared" si="362"/>
        <v>-58.728742916112694</v>
      </c>
      <c r="BN431">
        <f t="shared" si="350"/>
        <v>-165.14363586884963</v>
      </c>
      <c r="BQ431" s="56">
        <f t="shared" si="363"/>
        <v>17.653779803626573</v>
      </c>
    </row>
    <row r="432" spans="1:69" x14ac:dyDescent="0.2">
      <c r="A432">
        <f t="shared" si="371"/>
        <v>1090000</v>
      </c>
      <c r="B432">
        <f t="shared" si="351"/>
        <v>1090</v>
      </c>
      <c r="C432">
        <f t="shared" si="320"/>
        <v>1.0340034894434111</v>
      </c>
      <c r="D432">
        <f t="shared" si="321"/>
        <v>0.25716575611119424</v>
      </c>
      <c r="F432">
        <f t="shared" si="322"/>
        <v>7.397490349892675E-5</v>
      </c>
      <c r="G432">
        <f t="shared" si="323"/>
        <v>3.2404444069714781E-3</v>
      </c>
      <c r="H432">
        <f t="shared" si="324"/>
        <v>-3.1383522055930286</v>
      </c>
      <c r="J432">
        <f t="shared" si="325"/>
        <v>15</v>
      </c>
      <c r="M432">
        <f t="shared" si="326"/>
        <v>2.0704116247726248E-4</v>
      </c>
      <c r="N432">
        <f t="shared" si="327"/>
        <v>-1.5707963250000001</v>
      </c>
      <c r="O432">
        <f t="shared" si="328"/>
        <v>1022.9866219695517</v>
      </c>
      <c r="P432">
        <f t="shared" si="329"/>
        <v>1.5698187967492587</v>
      </c>
      <c r="Q432">
        <f t="shared" si="330"/>
        <v>152.23282571414234</v>
      </c>
      <c r="R432">
        <f t="shared" si="331"/>
        <v>1.5642273940620388</v>
      </c>
      <c r="S432">
        <f t="shared" si="332"/>
        <v>0.22660215700826947</v>
      </c>
      <c r="T432">
        <f t="shared" si="333"/>
        <v>-1.3422086581848605</v>
      </c>
      <c r="U432">
        <f t="shared" si="334"/>
        <v>0.20811683058142541</v>
      </c>
      <c r="V432">
        <f t="shared" si="335"/>
        <v>-1.3611470891713113</v>
      </c>
      <c r="X432">
        <f t="shared" si="352"/>
        <v>-55.165922517247374</v>
      </c>
      <c r="Y432">
        <f t="shared" si="336"/>
        <v>-230.40307901942901</v>
      </c>
      <c r="Z432">
        <f t="shared" si="353"/>
        <v>-50.403079019429015</v>
      </c>
      <c r="AC432">
        <v>1</v>
      </c>
      <c r="AD432">
        <f t="shared" si="337"/>
        <v>1022.9861332044901</v>
      </c>
      <c r="AE432">
        <f t="shared" si="338"/>
        <v>-1.2610973634006926</v>
      </c>
      <c r="AF432">
        <f t="shared" si="339"/>
        <v>0.26833096805886003</v>
      </c>
      <c r="AG432">
        <f t="shared" si="367"/>
        <v>164.36658479241757</v>
      </c>
      <c r="AH432">
        <f t="shared" si="368"/>
        <v>-776.21404722546288</v>
      </c>
      <c r="AJ432">
        <f t="shared" si="340"/>
        <v>18000</v>
      </c>
      <c r="AK432">
        <f t="shared" si="341"/>
        <v>77368.077589773602</v>
      </c>
      <c r="AL432">
        <v>1</v>
      </c>
      <c r="AM432">
        <f t="shared" si="342"/>
        <v>152.2295412359652</v>
      </c>
      <c r="AN432">
        <f t="shared" si="369"/>
        <v>508.98778184602747</v>
      </c>
      <c r="AO432">
        <f t="shared" si="370"/>
        <v>-114.89893535868852</v>
      </c>
      <c r="AQ432">
        <f t="shared" si="343"/>
        <v>2.1041995404007365E-3</v>
      </c>
      <c r="AR432">
        <f t="shared" si="344"/>
        <v>-4.5871549980736051</v>
      </c>
      <c r="AT432">
        <f t="shared" si="365"/>
        <v>-3560.2682862130455</v>
      </c>
      <c r="AU432">
        <f t="shared" si="366"/>
        <v>-755.60831018825161</v>
      </c>
      <c r="AV432">
        <f t="shared" si="354"/>
        <v>-2.9324622304476899</v>
      </c>
      <c r="AW432">
        <f t="shared" si="355"/>
        <v>145.7161520436081</v>
      </c>
      <c r="AX432">
        <f t="shared" si="356"/>
        <v>-3349.776346884646</v>
      </c>
      <c r="AY432">
        <f t="shared" si="364"/>
        <v>-1.5273234708183969</v>
      </c>
      <c r="BA432">
        <f t="shared" si="345"/>
        <v>1.0854841733928555</v>
      </c>
      <c r="BB432">
        <f t="shared" si="357"/>
        <v>0.71246991447744989</v>
      </c>
      <c r="BC432">
        <f t="shared" si="358"/>
        <v>-1.405138759629293</v>
      </c>
      <c r="BD432">
        <f t="shared" si="346"/>
        <v>-260.50852064900039</v>
      </c>
      <c r="BF432">
        <f t="shared" si="347"/>
        <v>-58.093576671175349</v>
      </c>
      <c r="BG432">
        <f t="shared" si="348"/>
        <v>-245.58834438322322</v>
      </c>
      <c r="BH432">
        <f t="shared" si="359"/>
        <v>-65.588344383223216</v>
      </c>
      <c r="BI432">
        <f t="shared" si="360"/>
        <v>-65.588344383223216</v>
      </c>
      <c r="BJ432">
        <f t="shared" si="349"/>
        <v>0</v>
      </c>
      <c r="BK432">
        <f t="shared" si="361"/>
        <v>0</v>
      </c>
      <c r="BM432">
        <f t="shared" si="362"/>
        <v>-58.806046585652794</v>
      </c>
      <c r="BN432">
        <f t="shared" si="350"/>
        <v>-165.07982373422288</v>
      </c>
      <c r="BQ432" s="56">
        <f t="shared" si="363"/>
        <v>17.614430714762584</v>
      </c>
    </row>
    <row r="433" spans="1:69" x14ac:dyDescent="0.2">
      <c r="A433">
        <f t="shared" si="371"/>
        <v>1095000</v>
      </c>
      <c r="B433">
        <f t="shared" si="351"/>
        <v>1095</v>
      </c>
      <c r="C433">
        <f t="shared" si="320"/>
        <v>1.0343109766567438</v>
      </c>
      <c r="D433">
        <f t="shared" si="321"/>
        <v>0.25829375338654403</v>
      </c>
      <c r="F433">
        <f t="shared" si="322"/>
        <v>7.3300829622387477E-5</v>
      </c>
      <c r="G433">
        <f t="shared" si="323"/>
        <v>3.2256457648075481E-3</v>
      </c>
      <c r="H433">
        <f t="shared" si="324"/>
        <v>-3.1383670042351928</v>
      </c>
      <c r="J433">
        <f t="shared" si="325"/>
        <v>15</v>
      </c>
      <c r="M433">
        <f t="shared" si="326"/>
        <v>2.0609576904129324E-4</v>
      </c>
      <c r="N433">
        <f t="shared" si="327"/>
        <v>-1.5707963250000001</v>
      </c>
      <c r="O433">
        <f t="shared" si="328"/>
        <v>1027.679216679054</v>
      </c>
      <c r="P433">
        <f t="shared" si="329"/>
        <v>1.569823260353949</v>
      </c>
      <c r="Q433">
        <f t="shared" si="330"/>
        <v>152.93111136471785</v>
      </c>
      <c r="R433">
        <f t="shared" si="331"/>
        <v>1.5642573883317037</v>
      </c>
      <c r="S433">
        <f t="shared" si="332"/>
        <v>0.22562023013054266</v>
      </c>
      <c r="T433">
        <f t="shared" si="333"/>
        <v>-1.3432166916682016</v>
      </c>
      <c r="U433">
        <f t="shared" si="334"/>
        <v>0.20720741623410396</v>
      </c>
      <c r="V433">
        <f t="shared" si="335"/>
        <v>-1.3620767700270378</v>
      </c>
      <c r="X433">
        <f t="shared" si="352"/>
        <v>-55.278857791868823</v>
      </c>
      <c r="Y433">
        <f t="shared" si="336"/>
        <v>-230.44834599879852</v>
      </c>
      <c r="Z433">
        <f t="shared" si="353"/>
        <v>-50.448345998798516</v>
      </c>
      <c r="AC433">
        <v>1</v>
      </c>
      <c r="AD433">
        <f t="shared" si="337"/>
        <v>1027.678730145795</v>
      </c>
      <c r="AE433">
        <f t="shared" si="338"/>
        <v>-1.2726935999928584</v>
      </c>
      <c r="AF433">
        <f t="shared" si="339"/>
        <v>0.26956184405913003</v>
      </c>
      <c r="AG433">
        <f t="shared" si="367"/>
        <v>162.93324812060612</v>
      </c>
      <c r="AH433">
        <f t="shared" si="368"/>
        <v>-772.97327756608581</v>
      </c>
      <c r="AJ433">
        <f t="shared" si="340"/>
        <v>18000</v>
      </c>
      <c r="AK433">
        <f t="shared" si="341"/>
        <v>77722.9770282588</v>
      </c>
      <c r="AL433">
        <v>1</v>
      </c>
      <c r="AM433">
        <f t="shared" si="342"/>
        <v>152.92784188383661</v>
      </c>
      <c r="AN433">
        <f t="shared" si="369"/>
        <v>508.98090496194749</v>
      </c>
      <c r="AO433">
        <f t="shared" si="370"/>
        <v>-114.37432765398052</v>
      </c>
      <c r="AQ433">
        <f t="shared" si="343"/>
        <v>2.0850269833767054E-3</v>
      </c>
      <c r="AR433">
        <f t="shared" si="344"/>
        <v>-4.5662090935949848</v>
      </c>
      <c r="AT433">
        <f t="shared" si="365"/>
        <v>-3529.2178889093607</v>
      </c>
      <c r="AU433">
        <f t="shared" si="366"/>
        <v>-745.59894935843408</v>
      </c>
      <c r="AV433">
        <f t="shared" si="354"/>
        <v>-2.9333895422900511</v>
      </c>
      <c r="AW433">
        <f t="shared" si="355"/>
        <v>149.08238981482495</v>
      </c>
      <c r="AX433">
        <f t="shared" si="356"/>
        <v>-3334.7462100553121</v>
      </c>
      <c r="AY433">
        <f t="shared" si="364"/>
        <v>-1.5261203063753161</v>
      </c>
      <c r="BA433">
        <f t="shared" si="345"/>
        <v>1.0805974638575562</v>
      </c>
      <c r="BB433">
        <f t="shared" si="357"/>
        <v>0.67327887846366508</v>
      </c>
      <c r="BC433">
        <f t="shared" si="358"/>
        <v>-1.407269235914735</v>
      </c>
      <c r="BD433">
        <f t="shared" si="346"/>
        <v>-260.63058794864833</v>
      </c>
      <c r="BF433">
        <f t="shared" si="347"/>
        <v>-58.209695466280458</v>
      </c>
      <c r="BG433">
        <f t="shared" si="348"/>
        <v>-245.64663009935711</v>
      </c>
      <c r="BH433">
        <f t="shared" si="359"/>
        <v>-65.646630099357111</v>
      </c>
      <c r="BI433">
        <f t="shared" si="360"/>
        <v>-65.646630099357111</v>
      </c>
      <c r="BJ433">
        <f t="shared" si="349"/>
        <v>0</v>
      </c>
      <c r="BK433">
        <f t="shared" si="361"/>
        <v>0</v>
      </c>
      <c r="BM433">
        <f t="shared" si="362"/>
        <v>-58.882974344744127</v>
      </c>
      <c r="BN433">
        <f t="shared" si="350"/>
        <v>-165.01604215070873</v>
      </c>
      <c r="BQ433" s="56">
        <f t="shared" si="363"/>
        <v>17.575239678748801</v>
      </c>
    </row>
    <row r="434" spans="1:69" x14ac:dyDescent="0.2">
      <c r="A434">
        <f>A433+5000</f>
        <v>1100000</v>
      </c>
      <c r="B434">
        <f t="shared" si="351"/>
        <v>1100</v>
      </c>
      <c r="C434">
        <f t="shared" si="320"/>
        <v>1.0346197791212335</v>
      </c>
      <c r="D434">
        <f t="shared" si="321"/>
        <v>0.2594210787499644</v>
      </c>
      <c r="F434">
        <f t="shared" si="322"/>
        <v>7.2635927591352075E-5</v>
      </c>
      <c r="G434">
        <f t="shared" si="323"/>
        <v>3.2109816840946107E-3</v>
      </c>
      <c r="H434">
        <f t="shared" si="324"/>
        <v>-3.1383816683159056</v>
      </c>
      <c r="J434">
        <f t="shared" si="325"/>
        <v>15</v>
      </c>
      <c r="M434">
        <f t="shared" si="326"/>
        <v>2.0515897009110555E-4</v>
      </c>
      <c r="N434">
        <f t="shared" si="327"/>
        <v>-1.5707963250000001</v>
      </c>
      <c r="O434">
        <f t="shared" si="328"/>
        <v>1032.3718114088449</v>
      </c>
      <c r="P434">
        <f t="shared" si="329"/>
        <v>1.569827683380453</v>
      </c>
      <c r="Q434">
        <f t="shared" si="330"/>
        <v>153.62939715162807</v>
      </c>
      <c r="R434">
        <f t="shared" si="331"/>
        <v>1.564287109937796</v>
      </c>
      <c r="S434">
        <f t="shared" si="332"/>
        <v>0.22464655110814213</v>
      </c>
      <c r="T434">
        <f t="shared" si="333"/>
        <v>-1.3442160256893987</v>
      </c>
      <c r="U434">
        <f t="shared" si="334"/>
        <v>0.20630573910769773</v>
      </c>
      <c r="V434">
        <f t="shared" si="335"/>
        <v>-1.3629983605349283</v>
      </c>
      <c r="X434">
        <f t="shared" si="352"/>
        <v>-55.391288757701602</v>
      </c>
      <c r="Y434">
        <f t="shared" si="336"/>
        <v>-230.4926997282615</v>
      </c>
      <c r="Z434">
        <f t="shared" si="353"/>
        <v>-50.492699728261499</v>
      </c>
      <c r="AC434">
        <v>1</v>
      </c>
      <c r="AD434">
        <f t="shared" si="337"/>
        <v>1032.3713270871001</v>
      </c>
      <c r="AE434">
        <f t="shared" si="338"/>
        <v>-1.2843429086060414</v>
      </c>
      <c r="AF434">
        <f t="shared" si="339"/>
        <v>0.27079272005940003</v>
      </c>
      <c r="AG434">
        <f t="shared" si="367"/>
        <v>161.51830328624277</v>
      </c>
      <c r="AH434">
        <f t="shared" si="368"/>
        <v>-769.75809168740636</v>
      </c>
      <c r="AJ434">
        <f t="shared" si="340"/>
        <v>18000</v>
      </c>
      <c r="AK434">
        <f t="shared" si="341"/>
        <v>78077.876466743997</v>
      </c>
      <c r="AL434">
        <v>1</v>
      </c>
      <c r="AM434">
        <f t="shared" si="342"/>
        <v>153.62614253170801</v>
      </c>
      <c r="AN434">
        <f t="shared" si="369"/>
        <v>508.9741216349729</v>
      </c>
      <c r="AO434">
        <f t="shared" si="370"/>
        <v>-113.85448850123232</v>
      </c>
      <c r="AQ434">
        <f t="shared" si="343"/>
        <v>2.0661152755960172E-3</v>
      </c>
      <c r="AR434">
        <f t="shared" si="344"/>
        <v>-4.5454536063112387</v>
      </c>
      <c r="AT434">
        <f t="shared" si="365"/>
        <v>-3498.5659784140703</v>
      </c>
      <c r="AU434">
        <f t="shared" si="366"/>
        <v>-735.76436310947349</v>
      </c>
      <c r="AV434">
        <f t="shared" si="354"/>
        <v>-2.9343087853210275</v>
      </c>
      <c r="AW434">
        <f t="shared" si="355"/>
        <v>152.40173973453773</v>
      </c>
      <c r="AX434">
        <f t="shared" si="356"/>
        <v>-3319.8493434806624</v>
      </c>
      <c r="AY434">
        <f t="shared" si="364"/>
        <v>-1.5249223117559785</v>
      </c>
      <c r="BA434">
        <f t="shared" si="345"/>
        <v>1.0757521699560735</v>
      </c>
      <c r="BB434">
        <f t="shared" si="357"/>
        <v>0.63424461587267944</v>
      </c>
      <c r="BC434">
        <f t="shared" si="358"/>
        <v>-1.409386473565049</v>
      </c>
      <c r="BD434">
        <f t="shared" si="346"/>
        <v>-260.75189673037619</v>
      </c>
      <c r="BF434">
        <f t="shared" si="347"/>
        <v>-58.325284928840489</v>
      </c>
      <c r="BG434">
        <f t="shared" si="348"/>
        <v>-245.70418808548527</v>
      </c>
      <c r="BH434">
        <f t="shared" si="359"/>
        <v>-65.704188085485271</v>
      </c>
      <c r="BI434">
        <f t="shared" si="360"/>
        <v>-65.704188085485271</v>
      </c>
      <c r="BJ434">
        <f t="shared" si="349"/>
        <v>0</v>
      </c>
      <c r="BK434">
        <f t="shared" si="361"/>
        <v>0</v>
      </c>
      <c r="BM434">
        <f t="shared" si="362"/>
        <v>-58.959529544713178</v>
      </c>
      <c r="BN434">
        <f t="shared" si="350"/>
        <v>-164.95229135510914</v>
      </c>
      <c r="BQ434" s="56">
        <f t="shared" si="363"/>
        <v>17.536205416157816</v>
      </c>
    </row>
    <row r="435" spans="1:69" x14ac:dyDescent="0.2">
      <c r="A435">
        <f t="shared" ref="A435:A472" si="372">A434+5000</f>
        <v>1105000</v>
      </c>
      <c r="B435">
        <f t="shared" si="351"/>
        <v>1105</v>
      </c>
      <c r="C435">
        <f t="shared" si="320"/>
        <v>1.0349298956595463</v>
      </c>
      <c r="D435">
        <f t="shared" si="321"/>
        <v>0.2605477299388459</v>
      </c>
      <c r="F435">
        <f t="shared" si="322"/>
        <v>7.1980031756981348E-5</v>
      </c>
      <c r="G435">
        <f t="shared" si="323"/>
        <v>3.1964503376971081E-3</v>
      </c>
      <c r="H435">
        <f t="shared" si="324"/>
        <v>-3.1383961996623033</v>
      </c>
      <c r="J435">
        <f t="shared" si="325"/>
        <v>15</v>
      </c>
      <c r="M435">
        <f t="shared" si="326"/>
        <v>2.0423064895947157E-4</v>
      </c>
      <c r="N435">
        <f t="shared" si="327"/>
        <v>-1.5707963250000001</v>
      </c>
      <c r="O435">
        <f t="shared" si="328"/>
        <v>1037.0644061586499</v>
      </c>
      <c r="P435">
        <f t="shared" si="329"/>
        <v>1.5698320663796053</v>
      </c>
      <c r="Q435">
        <f t="shared" si="330"/>
        <v>154.32768307302237</v>
      </c>
      <c r="R435">
        <f t="shared" si="331"/>
        <v>1.5643165625814222</v>
      </c>
      <c r="S435">
        <f t="shared" si="332"/>
        <v>0.22368101941452562</v>
      </c>
      <c r="T435">
        <f t="shared" si="333"/>
        <v>-1.3452067704104322</v>
      </c>
      <c r="U435">
        <f t="shared" si="334"/>
        <v>0.20541170319811297</v>
      </c>
      <c r="V435">
        <f t="shared" si="335"/>
        <v>-1.3639119642989976</v>
      </c>
      <c r="X435">
        <f t="shared" si="352"/>
        <v>-55.50321950660107</v>
      </c>
      <c r="Y435">
        <f t="shared" si="336"/>
        <v>-230.53615244641432</v>
      </c>
      <c r="Z435">
        <f t="shared" si="353"/>
        <v>-50.53615244641432</v>
      </c>
      <c r="AC435">
        <v>1</v>
      </c>
      <c r="AD435">
        <f t="shared" si="337"/>
        <v>1037.0639240284049</v>
      </c>
      <c r="AE435">
        <f t="shared" si="338"/>
        <v>-1.296045289240241</v>
      </c>
      <c r="AF435">
        <f t="shared" si="339"/>
        <v>0.27202359605966997</v>
      </c>
      <c r="AG435">
        <f t="shared" si="367"/>
        <v>160.12144176637884</v>
      </c>
      <c r="AH435">
        <f t="shared" si="368"/>
        <v>-766.56820705336816</v>
      </c>
      <c r="AJ435">
        <f t="shared" si="340"/>
        <v>18000</v>
      </c>
      <c r="AK435">
        <f t="shared" si="341"/>
        <v>78432.775905229209</v>
      </c>
      <c r="AL435">
        <v>1</v>
      </c>
      <c r="AM435">
        <f t="shared" si="342"/>
        <v>154.32444317957942</v>
      </c>
      <c r="AN435">
        <f t="shared" si="369"/>
        <v>508.96743017571788</v>
      </c>
      <c r="AO435">
        <f t="shared" si="370"/>
        <v>-113.33935317991636</v>
      </c>
      <c r="AQ435">
        <f t="shared" si="343"/>
        <v>2.0474597065048409E-3</v>
      </c>
      <c r="AR435">
        <f t="shared" si="344"/>
        <v>-4.5248859513756985</v>
      </c>
      <c r="AT435">
        <f t="shared" si="365"/>
        <v>-3468.3058686668792</v>
      </c>
      <c r="AU435">
        <f t="shared" si="366"/>
        <v>-726.10077987893908</v>
      </c>
      <c r="AV435">
        <f t="shared" si="354"/>
        <v>-2.9352200628522844</v>
      </c>
      <c r="AW435">
        <f t="shared" si="355"/>
        <v>155.67507170114783</v>
      </c>
      <c r="AX435">
        <f t="shared" si="356"/>
        <v>-3305.0839937148339</v>
      </c>
      <c r="AY435">
        <f t="shared" si="364"/>
        <v>-1.5237294142287168</v>
      </c>
      <c r="BA435">
        <f t="shared" si="345"/>
        <v>1.0709477754238261</v>
      </c>
      <c r="BB435">
        <f t="shared" si="357"/>
        <v>0.59536586111411116</v>
      </c>
      <c r="BC435">
        <f t="shared" si="358"/>
        <v>-1.4114906486235677</v>
      </c>
      <c r="BD435">
        <f t="shared" si="346"/>
        <v>-260.87245708072373</v>
      </c>
      <c r="BF435">
        <f t="shared" si="347"/>
        <v>-58.440349630474742</v>
      </c>
      <c r="BG435">
        <f t="shared" si="348"/>
        <v>-245.761028662473</v>
      </c>
      <c r="BH435">
        <f t="shared" si="359"/>
        <v>-65.761028662472995</v>
      </c>
      <c r="BI435">
        <f t="shared" si="360"/>
        <v>-65.761028662472995</v>
      </c>
      <c r="BJ435">
        <f t="shared" si="349"/>
        <v>0</v>
      </c>
      <c r="BK435">
        <f t="shared" si="361"/>
        <v>0</v>
      </c>
      <c r="BM435">
        <f t="shared" si="362"/>
        <v>-59.03571549158886</v>
      </c>
      <c r="BN435">
        <f t="shared" si="350"/>
        <v>-164.88857158174926</v>
      </c>
      <c r="BQ435" s="56">
        <f t="shared" si="363"/>
        <v>17.497326661399249</v>
      </c>
    </row>
    <row r="436" spans="1:69" x14ac:dyDescent="0.2">
      <c r="A436">
        <f t="shared" si="372"/>
        <v>1110000</v>
      </c>
      <c r="B436">
        <f t="shared" si="351"/>
        <v>1110</v>
      </c>
      <c r="C436">
        <f t="shared" si="320"/>
        <v>1.0352413250907515</v>
      </c>
      <c r="D436">
        <f t="shared" si="321"/>
        <v>0.26167370470013079</v>
      </c>
      <c r="F436">
        <f t="shared" si="322"/>
        <v>7.1332980193345789E-5</v>
      </c>
      <c r="G436">
        <f t="shared" si="323"/>
        <v>3.1820499314122413E-3</v>
      </c>
      <c r="H436">
        <f t="shared" si="324"/>
        <v>-3.1384106000685881</v>
      </c>
      <c r="J436">
        <f t="shared" si="325"/>
        <v>15</v>
      </c>
      <c r="M436">
        <f t="shared" si="326"/>
        <v>2.0331069108127576E-4</v>
      </c>
      <c r="N436">
        <f t="shared" si="327"/>
        <v>-1.5707963250000001</v>
      </c>
      <c r="O436">
        <f t="shared" si="328"/>
        <v>1041.7570009281981</v>
      </c>
      <c r="P436">
        <f t="shared" si="329"/>
        <v>1.5698364098923152</v>
      </c>
      <c r="Q436">
        <f t="shared" si="330"/>
        <v>155.0259691270835</v>
      </c>
      <c r="R436">
        <f t="shared" si="331"/>
        <v>1.5643457498970075</v>
      </c>
      <c r="S436">
        <f t="shared" si="332"/>
        <v>0.22272353609787712</v>
      </c>
      <c r="T436">
        <f t="shared" si="333"/>
        <v>-1.346189034175155</v>
      </c>
      <c r="U436">
        <f t="shared" si="334"/>
        <v>0.20452521404194587</v>
      </c>
      <c r="V436">
        <f t="shared" si="335"/>
        <v>-1.3648176831886285</v>
      </c>
      <c r="X436">
        <f t="shared" si="352"/>
        <v>-55.614654082068014</v>
      </c>
      <c r="Y436">
        <f t="shared" si="336"/>
        <v>-230.57871619024993</v>
      </c>
      <c r="Z436">
        <f t="shared" si="353"/>
        <v>-50.578716190249935</v>
      </c>
      <c r="AC436">
        <v>1</v>
      </c>
      <c r="AD436">
        <f t="shared" si="337"/>
        <v>1041.75652096971</v>
      </c>
      <c r="AE436">
        <f t="shared" si="338"/>
        <v>-1.3078007418954574</v>
      </c>
      <c r="AF436">
        <f t="shared" si="339"/>
        <v>0.27325447205993997</v>
      </c>
      <c r="AG436">
        <f t="shared" si="367"/>
        <v>158.74236137610293</v>
      </c>
      <c r="AH436">
        <f t="shared" si="368"/>
        <v>-763.40334489437305</v>
      </c>
      <c r="AJ436">
        <f t="shared" si="340"/>
        <v>18000</v>
      </c>
      <c r="AK436">
        <f t="shared" si="341"/>
        <v>78787.675343714393</v>
      </c>
      <c r="AL436">
        <v>1</v>
      </c>
      <c r="AM436">
        <f t="shared" si="342"/>
        <v>155.02274382745082</v>
      </c>
      <c r="AN436">
        <f t="shared" si="369"/>
        <v>508.96082893275684</v>
      </c>
      <c r="AO436">
        <f t="shared" si="370"/>
        <v>-112.82885813539571</v>
      </c>
      <c r="AQ436">
        <f t="shared" si="343"/>
        <v>2.0290556714033618E-3</v>
      </c>
      <c r="AR436">
        <f t="shared" si="344"/>
        <v>-4.5045035905154629</v>
      </c>
      <c r="AT436">
        <f t="shared" si="365"/>
        <v>-3438.4310109995754</v>
      </c>
      <c r="AU436">
        <f t="shared" si="366"/>
        <v>-716.60452467208506</v>
      </c>
      <c r="AV436">
        <f t="shared" si="354"/>
        <v>-2.9361234764661219</v>
      </c>
      <c r="AW436">
        <f t="shared" si="355"/>
        <v>158.90323548107187</v>
      </c>
      <c r="AX436">
        <f t="shared" si="356"/>
        <v>-3290.4484377830972</v>
      </c>
      <c r="AY436">
        <f t="shared" si="364"/>
        <v>-1.5225415424832669</v>
      </c>
      <c r="BA436">
        <f t="shared" si="345"/>
        <v>1.0661837722808345</v>
      </c>
      <c r="BB436">
        <f t="shared" si="357"/>
        <v>0.55664136226847716</v>
      </c>
      <c r="BC436">
        <f t="shared" si="358"/>
        <v>-1.413581933982855</v>
      </c>
      <c r="BD436">
        <f t="shared" si="346"/>
        <v>-260.99227890570535</v>
      </c>
      <c r="BF436">
        <f t="shared" si="347"/>
        <v>-58.55489408465283</v>
      </c>
      <c r="BG436">
        <f t="shared" si="348"/>
        <v>-245.81716196822529</v>
      </c>
      <c r="BH436">
        <f t="shared" si="359"/>
        <v>-65.817161968225292</v>
      </c>
      <c r="BI436">
        <f t="shared" si="360"/>
        <v>-65.817161968225292</v>
      </c>
      <c r="BJ436">
        <f t="shared" si="349"/>
        <v>0</v>
      </c>
      <c r="BK436">
        <f t="shared" si="361"/>
        <v>0</v>
      </c>
      <c r="BM436">
        <f t="shared" si="362"/>
        <v>-59.111535446921309</v>
      </c>
      <c r="BN436">
        <f t="shared" si="350"/>
        <v>-164.82488306252</v>
      </c>
      <c r="BQ436" s="56">
        <f t="shared" si="363"/>
        <v>17.458602162553614</v>
      </c>
    </row>
    <row r="437" spans="1:69" x14ac:dyDescent="0.2">
      <c r="A437">
        <f t="shared" si="372"/>
        <v>1115000</v>
      </c>
      <c r="B437">
        <f t="shared" si="351"/>
        <v>1115</v>
      </c>
      <c r="C437">
        <f t="shared" si="320"/>
        <v>1.0355540662303429</v>
      </c>
      <c r="D437">
        <f t="shared" si="321"/>
        <v>0.26279900079032636</v>
      </c>
      <c r="F437">
        <f t="shared" si="322"/>
        <v>7.0694614597467318E-5</v>
      </c>
      <c r="G437">
        <f t="shared" si="323"/>
        <v>3.1677787032312688E-3</v>
      </c>
      <c r="H437">
        <f t="shared" si="324"/>
        <v>-3.1384248712967691</v>
      </c>
      <c r="J437">
        <f t="shared" si="325"/>
        <v>15</v>
      </c>
      <c r="M437">
        <f t="shared" si="326"/>
        <v>2.0239898394638214E-4</v>
      </c>
      <c r="N437">
        <f t="shared" si="327"/>
        <v>-1.5707963250000001</v>
      </c>
      <c r="O437">
        <f t="shared" si="328"/>
        <v>1046.4495957172239</v>
      </c>
      <c r="P437">
        <f t="shared" si="329"/>
        <v>1.5698407144497901</v>
      </c>
      <c r="Q437">
        <f t="shared" si="330"/>
        <v>155.72425531202671</v>
      </c>
      <c r="R437">
        <f t="shared" si="331"/>
        <v>1.5643746754537895</v>
      </c>
      <c r="S437">
        <f t="shared" si="332"/>
        <v>0.22177400375156459</v>
      </c>
      <c r="T437">
        <f t="shared" si="333"/>
        <v>-1.3471629235459119</v>
      </c>
      <c r="U437">
        <f t="shared" si="334"/>
        <v>0.20364617868661777</v>
      </c>
      <c r="V437">
        <f t="shared" si="335"/>
        <v>-1.3657156173741412</v>
      </c>
      <c r="X437">
        <f t="shared" si="352"/>
        <v>-55.725596479981746</v>
      </c>
      <c r="Y437">
        <f t="shared" si="336"/>
        <v>-230.62040279923781</v>
      </c>
      <c r="Z437">
        <f t="shared" si="353"/>
        <v>-50.620402799237809</v>
      </c>
      <c r="AC437">
        <v>1</v>
      </c>
      <c r="AD437">
        <f t="shared" si="337"/>
        <v>1046.4491179110148</v>
      </c>
      <c r="AE437">
        <f t="shared" si="338"/>
        <v>-1.3196092665716908</v>
      </c>
      <c r="AF437">
        <f t="shared" si="339"/>
        <v>0.27448534806020997</v>
      </c>
      <c r="AG437">
        <f t="shared" si="367"/>
        <v>157.3807661156572</v>
      </c>
      <c r="AH437">
        <f t="shared" si="368"/>
        <v>-760.26323015463015</v>
      </c>
      <c r="AJ437">
        <f t="shared" si="340"/>
        <v>18000</v>
      </c>
      <c r="AK437">
        <f t="shared" si="341"/>
        <v>79142.574782199605</v>
      </c>
      <c r="AL437">
        <v>1</v>
      </c>
      <c r="AM437">
        <f t="shared" si="342"/>
        <v>155.72104447532223</v>
      </c>
      <c r="AN437">
        <f t="shared" si="369"/>
        <v>508.95431629160601</v>
      </c>
      <c r="AO437">
        <f t="shared" si="370"/>
        <v>-112.32294095278993</v>
      </c>
      <c r="AQ437">
        <f t="shared" si="343"/>
        <v>2.0108986686041006E-3</v>
      </c>
      <c r="AR437">
        <f t="shared" si="344"/>
        <v>-4.4843040309871443</v>
      </c>
      <c r="AT437">
        <f t="shared" si="365"/>
        <v>-3408.9349908206691</v>
      </c>
      <c r="AU437">
        <f t="shared" si="366"/>
        <v>-707.27201620959306</v>
      </c>
      <c r="AV437">
        <f t="shared" si="354"/>
        <v>-2.9370191260509291</v>
      </c>
      <c r="AW437">
        <f t="shared" si="355"/>
        <v>162.08706126612597</v>
      </c>
      <c r="AX437">
        <f t="shared" si="356"/>
        <v>-3275.9409825251041</v>
      </c>
      <c r="AY437">
        <f t="shared" si="364"/>
        <v>-1.5213586265965688</v>
      </c>
      <c r="BA437">
        <f t="shared" si="345"/>
        <v>1.0614596606731919</v>
      </c>
      <c r="BB437">
        <f t="shared" si="357"/>
        <v>0.51806988092253969</v>
      </c>
      <c r="BC437">
        <f t="shared" si="358"/>
        <v>-1.4156604994543602</v>
      </c>
      <c r="BD437">
        <f t="shared" si="346"/>
        <v>-261.11137193480027</v>
      </c>
      <c r="BF437">
        <f t="shared" si="347"/>
        <v>-58.668922747659636</v>
      </c>
      <c r="BG437">
        <f t="shared" si="348"/>
        <v>-245.87259796171995</v>
      </c>
      <c r="BH437">
        <f t="shared" si="359"/>
        <v>-65.872597961719947</v>
      </c>
      <c r="BI437">
        <f t="shared" si="360"/>
        <v>-65.872597961719947</v>
      </c>
      <c r="BJ437">
        <f t="shared" si="349"/>
        <v>0</v>
      </c>
      <c r="BK437">
        <f t="shared" si="361"/>
        <v>0</v>
      </c>
      <c r="BM437">
        <f t="shared" si="362"/>
        <v>-59.186992628582182</v>
      </c>
      <c r="BN437">
        <f t="shared" si="350"/>
        <v>-164.76122602691973</v>
      </c>
      <c r="BQ437" s="56">
        <f t="shared" si="363"/>
        <v>17.420030681207678</v>
      </c>
    </row>
    <row r="438" spans="1:69" x14ac:dyDescent="0.2">
      <c r="A438">
        <f t="shared" si="372"/>
        <v>1120000</v>
      </c>
      <c r="B438">
        <f t="shared" si="351"/>
        <v>1120</v>
      </c>
      <c r="C438">
        <f t="shared" si="320"/>
        <v>1.0358681178902582</v>
      </c>
      <c r="D438">
        <f t="shared" si="321"/>
        <v>0.26392361597551878</v>
      </c>
      <c r="F438">
        <f t="shared" si="322"/>
        <v>7.006478019247814E-5</v>
      </c>
      <c r="G438">
        <f t="shared" si="323"/>
        <v>3.1536349226205895E-3</v>
      </c>
      <c r="H438">
        <f t="shared" si="324"/>
        <v>-3.1384390150773798</v>
      </c>
      <c r="J438">
        <f t="shared" si="325"/>
        <v>15</v>
      </c>
      <c r="M438">
        <f t="shared" si="326"/>
        <v>2.0149541705376437E-4</v>
      </c>
      <c r="N438">
        <f t="shared" si="327"/>
        <v>-1.5707963250000001</v>
      </c>
      <c r="O438">
        <f t="shared" si="328"/>
        <v>1051.1421905254665</v>
      </c>
      <c r="P438">
        <f t="shared" si="329"/>
        <v>1.5698449805737509</v>
      </c>
      <c r="Q438">
        <f t="shared" si="330"/>
        <v>156.42254162609925</v>
      </c>
      <c r="R438">
        <f t="shared" si="331"/>
        <v>1.5644033427572743</v>
      </c>
      <c r="S438">
        <f t="shared" si="332"/>
        <v>0.22083232648522821</v>
      </c>
      <c r="T438">
        <f t="shared" si="333"/>
        <v>-1.348128543339296</v>
      </c>
      <c r="U438">
        <f t="shared" si="334"/>
        <v>0.20277450566117691</v>
      </c>
      <c r="V438">
        <f t="shared" si="335"/>
        <v>-1.3666058653615074</v>
      </c>
      <c r="X438">
        <f t="shared" si="352"/>
        <v>-55.836050649320185</v>
      </c>
      <c r="Y438">
        <f t="shared" si="336"/>
        <v>-230.66122391930574</v>
      </c>
      <c r="Z438">
        <f t="shared" si="353"/>
        <v>-50.661223919305741</v>
      </c>
      <c r="AC438">
        <v>1</v>
      </c>
      <c r="AD438">
        <f t="shared" si="337"/>
        <v>1051.1417148523201</v>
      </c>
      <c r="AE438">
        <f t="shared" si="338"/>
        <v>-1.3314708632689407</v>
      </c>
      <c r="AF438">
        <f t="shared" si="339"/>
        <v>0.27571622406048002</v>
      </c>
      <c r="AG438">
        <f t="shared" si="367"/>
        <v>156.03636602175726</v>
      </c>
      <c r="AH438">
        <f t="shared" si="368"/>
        <v>-757.14759144004984</v>
      </c>
      <c r="AJ438">
        <f t="shared" si="340"/>
        <v>18000</v>
      </c>
      <c r="AK438">
        <f t="shared" si="341"/>
        <v>79497.474220684802</v>
      </c>
      <c r="AL438">
        <v>1</v>
      </c>
      <c r="AM438">
        <f t="shared" si="342"/>
        <v>156.41934512319361</v>
      </c>
      <c r="AN438">
        <f t="shared" si="369"/>
        <v>508.94789067373489</v>
      </c>
      <c r="AO438">
        <f t="shared" si="370"/>
        <v>-111.82154033153999</v>
      </c>
      <c r="AQ438">
        <f t="shared" si="343"/>
        <v>1.992984296678831E-3</v>
      </c>
      <c r="AR438">
        <f t="shared" si="344"/>
        <v>-4.4642848245605817</v>
      </c>
      <c r="AT438">
        <f t="shared" si="365"/>
        <v>-3379.811524391218</v>
      </c>
      <c r="AU438">
        <f t="shared" si="366"/>
        <v>-698.09976417051951</v>
      </c>
      <c r="AV438">
        <f t="shared" si="354"/>
        <v>-2.9379071098357787</v>
      </c>
      <c r="AW438">
        <f t="shared" si="355"/>
        <v>165.22736021298252</v>
      </c>
      <c r="AX438">
        <f t="shared" si="356"/>
        <v>-3261.5599639550214</v>
      </c>
      <c r="AY438">
        <f t="shared" si="364"/>
        <v>-1.5201805979995382</v>
      </c>
      <c r="BA438">
        <f t="shared" si="345"/>
        <v>1.0567749487179452</v>
      </c>
      <c r="BB438">
        <f t="shared" si="357"/>
        <v>0.47965019200615572</v>
      </c>
      <c r="BC438">
        <f t="shared" si="358"/>
        <v>-1.4177265118362405</v>
      </c>
      <c r="BD438">
        <f t="shared" si="346"/>
        <v>-261.22974572483906</v>
      </c>
      <c r="BF438">
        <f t="shared" si="347"/>
        <v>-58.782440019540935</v>
      </c>
      <c r="BG438">
        <f t="shared" si="348"/>
        <v>-245.92734642693355</v>
      </c>
      <c r="BH438">
        <f t="shared" si="359"/>
        <v>-65.927346426933553</v>
      </c>
      <c r="BI438">
        <f t="shared" si="360"/>
        <v>-65.927346426933553</v>
      </c>
      <c r="BJ438">
        <f t="shared" si="349"/>
        <v>0</v>
      </c>
      <c r="BK438">
        <f t="shared" si="361"/>
        <v>0</v>
      </c>
      <c r="BM438">
        <f t="shared" si="362"/>
        <v>-59.26209021154709</v>
      </c>
      <c r="BN438">
        <f t="shared" si="350"/>
        <v>-164.69760070209449</v>
      </c>
      <c r="BQ438" s="56">
        <f t="shared" si="363"/>
        <v>17.381610992291293</v>
      </c>
    </row>
    <row r="439" spans="1:69" x14ac:dyDescent="0.2">
      <c r="A439">
        <f t="shared" si="372"/>
        <v>1125000</v>
      </c>
      <c r="B439">
        <f t="shared" si="351"/>
        <v>1125</v>
      </c>
      <c r="C439">
        <f t="shared" si="320"/>
        <v>1.0361834788789008</v>
      </c>
      <c r="D439">
        <f t="shared" si="321"/>
        <v>0.26504754803138619</v>
      </c>
      <c r="F439">
        <f t="shared" si="322"/>
        <v>6.944332563378638E-5</v>
      </c>
      <c r="G439">
        <f t="shared" si="323"/>
        <v>3.1396168898220143E-3</v>
      </c>
      <c r="H439">
        <f t="shared" si="324"/>
        <v>-3.1384530331101783</v>
      </c>
      <c r="J439">
        <f t="shared" si="325"/>
        <v>15</v>
      </c>
      <c r="M439">
        <f t="shared" si="326"/>
        <v>2.0059988186685876E-4</v>
      </c>
      <c r="N439">
        <f t="shared" si="327"/>
        <v>-1.5707963250000001</v>
      </c>
      <c r="O439">
        <f t="shared" si="328"/>
        <v>1055.8347853526695</v>
      </c>
      <c r="P439">
        <f t="shared" si="329"/>
        <v>1.569849208776644</v>
      </c>
      <c r="Q439">
        <f t="shared" si="330"/>
        <v>157.12082806757945</v>
      </c>
      <c r="R439">
        <f t="shared" si="331"/>
        <v>1.5644317552506519</v>
      </c>
      <c r="S439">
        <f t="shared" si="332"/>
        <v>0.21989840989648438</v>
      </c>
      <c r="T439">
        <f t="shared" si="333"/>
        <v>-1.3490859966610649</v>
      </c>
      <c r="U439">
        <f t="shared" si="334"/>
        <v>0.2019101049477513</v>
      </c>
      <c r="V439">
        <f t="shared" si="335"/>
        <v>-1.3674885240262309</v>
      </c>
      <c r="X439">
        <f t="shared" si="352"/>
        <v>-55.946020492866928</v>
      </c>
      <c r="Y439">
        <f t="shared" si="336"/>
        <v>-230.7011910067279</v>
      </c>
      <c r="Z439">
        <f t="shared" si="353"/>
        <v>-50.701191006727896</v>
      </c>
      <c r="AC439">
        <v>1</v>
      </c>
      <c r="AD439">
        <f t="shared" si="337"/>
        <v>1055.8343117936249</v>
      </c>
      <c r="AE439">
        <f t="shared" si="338"/>
        <v>-1.3433855319872074</v>
      </c>
      <c r="AF439">
        <f t="shared" si="339"/>
        <v>0.27694710006075002</v>
      </c>
      <c r="AG439">
        <f t="shared" si="367"/>
        <v>154.70887702298347</v>
      </c>
      <c r="AH439">
        <f t="shared" si="368"/>
        <v>-754.05616096667984</v>
      </c>
      <c r="AJ439">
        <f t="shared" si="340"/>
        <v>18000</v>
      </c>
      <c r="AK439">
        <f t="shared" si="341"/>
        <v>79852.37365917</v>
      </c>
      <c r="AL439">
        <v>1</v>
      </c>
      <c r="AM439">
        <f t="shared" si="342"/>
        <v>157.11764577106501</v>
      </c>
      <c r="AN439">
        <f t="shared" si="369"/>
        <v>508.94155053561059</v>
      </c>
      <c r="AO439">
        <f t="shared" si="370"/>
        <v>-111.32459606065179</v>
      </c>
      <c r="AQ439">
        <f t="shared" si="343"/>
        <v>1.9753082517909625E-3</v>
      </c>
      <c r="AR439">
        <f t="shared" si="344"/>
        <v>-4.4444435665296655</v>
      </c>
      <c r="AT439">
        <f t="shared" si="365"/>
        <v>-3351.054455689009</v>
      </c>
      <c r="AU439">
        <f t="shared" si="366"/>
        <v>-689.08436652689943</v>
      </c>
      <c r="AV439">
        <f t="shared" si="354"/>
        <v>-2.9387875244241992</v>
      </c>
      <c r="AW439">
        <f t="shared" si="355"/>
        <v>168.32492496534289</v>
      </c>
      <c r="AX439">
        <f t="shared" si="356"/>
        <v>-3247.3037466380488</v>
      </c>
      <c r="AY439">
        <f t="shared" si="364"/>
        <v>-1.5190073894447835</v>
      </c>
      <c r="BA439">
        <f t="shared" si="345"/>
        <v>1.0521291523512899</v>
      </c>
      <c r="BB439">
        <f t="shared" si="357"/>
        <v>0.44138108363050316</v>
      </c>
      <c r="BC439">
        <f t="shared" si="358"/>
        <v>-1.4197801349794157</v>
      </c>
      <c r="BD439">
        <f t="shared" si="346"/>
        <v>-261.34740966378786</v>
      </c>
      <c r="BF439">
        <f t="shared" si="347"/>
        <v>-58.895450245030112</v>
      </c>
      <c r="BG439">
        <f t="shared" si="348"/>
        <v>-245.98141697666543</v>
      </c>
      <c r="BH439">
        <f t="shared" si="359"/>
        <v>-65.981416976665429</v>
      </c>
      <c r="BI439">
        <f t="shared" si="360"/>
        <v>-65.981416976665429</v>
      </c>
      <c r="BJ439">
        <f t="shared" si="349"/>
        <v>0</v>
      </c>
      <c r="BK439">
        <f t="shared" si="361"/>
        <v>0</v>
      </c>
      <c r="BM439">
        <f t="shared" si="362"/>
        <v>-59.336831328660615</v>
      </c>
      <c r="BN439">
        <f t="shared" si="350"/>
        <v>-164.6340073128776</v>
      </c>
      <c r="BQ439" s="56">
        <f t="shared" si="363"/>
        <v>17.343341883915638</v>
      </c>
    </row>
    <row r="440" spans="1:69" x14ac:dyDescent="0.2">
      <c r="A440">
        <f t="shared" si="372"/>
        <v>1130000</v>
      </c>
      <c r="B440">
        <f t="shared" si="351"/>
        <v>1130</v>
      </c>
      <c r="C440">
        <f t="shared" si="320"/>
        <v>1.0365001480011582</v>
      </c>
      <c r="D440">
        <f t="shared" si="321"/>
        <v>0.26617079474321187</v>
      </c>
      <c r="F440">
        <f t="shared" si="322"/>
        <v>6.8830102918142016E-5</v>
      </c>
      <c r="G440">
        <f t="shared" si="323"/>
        <v>3.1257229351716203E-3</v>
      </c>
      <c r="H440">
        <f t="shared" si="324"/>
        <v>-3.1384669270648287</v>
      </c>
      <c r="J440">
        <f t="shared" si="325"/>
        <v>15</v>
      </c>
      <c r="M440">
        <f t="shared" si="326"/>
        <v>1.9971227177010276E-4</v>
      </c>
      <c r="N440">
        <f t="shared" si="327"/>
        <v>-1.5707963250000001</v>
      </c>
      <c r="O440">
        <f t="shared" si="328"/>
        <v>1060.5273801985816</v>
      </c>
      <c r="P440">
        <f t="shared" si="329"/>
        <v>1.5698533995618458</v>
      </c>
      <c r="Q440">
        <f t="shared" si="330"/>
        <v>157.81911463477613</v>
      </c>
      <c r="R440">
        <f t="shared" si="331"/>
        <v>1.5644599163161754</v>
      </c>
      <c r="S440">
        <f t="shared" si="332"/>
        <v>0.21897216104323136</v>
      </c>
      <c r="T440">
        <f t="shared" si="333"/>
        <v>-1.3500353849402416</v>
      </c>
      <c r="U440">
        <f t="shared" si="334"/>
        <v>0.20105288795363588</v>
      </c>
      <c r="V440">
        <f t="shared" si="335"/>
        <v>-1.3683636886464166</v>
      </c>
      <c r="X440">
        <f t="shared" si="352"/>
        <v>-56.05550986790572</v>
      </c>
      <c r="Y440">
        <f t="shared" si="336"/>
        <v>-230.7403153319211</v>
      </c>
      <c r="Z440">
        <f t="shared" si="353"/>
        <v>-50.740315331921096</v>
      </c>
      <c r="AC440">
        <v>1</v>
      </c>
      <c r="AD440">
        <f t="shared" si="337"/>
        <v>1060.52690873493</v>
      </c>
      <c r="AE440">
        <f t="shared" si="338"/>
        <v>-1.3553532727264912</v>
      </c>
      <c r="AF440">
        <f t="shared" si="339"/>
        <v>0.27817797606102002</v>
      </c>
      <c r="AG440">
        <f t="shared" si="367"/>
        <v>153.39802079912388</v>
      </c>
      <c r="AH440">
        <f t="shared" si="368"/>
        <v>-750.98867450970874</v>
      </c>
      <c r="AJ440">
        <f t="shared" si="340"/>
        <v>18000</v>
      </c>
      <c r="AK440">
        <f t="shared" si="341"/>
        <v>80207.273097655197</v>
      </c>
      <c r="AL440">
        <v>1</v>
      </c>
      <c r="AM440">
        <f t="shared" si="342"/>
        <v>157.81594641893639</v>
      </c>
      <c r="AN440">
        <f t="shared" si="369"/>
        <v>508.93529436777118</v>
      </c>
      <c r="AO440">
        <f t="shared" si="370"/>
        <v>-110.83204899459685</v>
      </c>
      <c r="AQ440">
        <f t="shared" si="343"/>
        <v>1.95786632511036E-3</v>
      </c>
      <c r="AR440">
        <f t="shared" si="344"/>
        <v>-4.4247778947494139</v>
      </c>
      <c r="AT440">
        <f t="shared" si="365"/>
        <v>-3322.6577533584605</v>
      </c>
      <c r="AU440">
        <f t="shared" si="366"/>
        <v>-680.22250696663593</v>
      </c>
      <c r="AV440">
        <f t="shared" si="354"/>
        <v>-2.9396604648271349</v>
      </c>
      <c r="AW440">
        <f t="shared" si="355"/>
        <v>171.38053015946818</v>
      </c>
      <c r="AX440">
        <f t="shared" si="356"/>
        <v>-3233.170723082837</v>
      </c>
      <c r="AY440">
        <f t="shared" si="364"/>
        <v>-1.5178389349752348</v>
      </c>
      <c r="BA440">
        <f t="shared" si="345"/>
        <v>1.0475217951800331</v>
      </c>
      <c r="BB440">
        <f t="shared" si="357"/>
        <v>0.40326135692795484</v>
      </c>
      <c r="BC440">
        <f t="shared" si="358"/>
        <v>-1.4218215298519001</v>
      </c>
      <c r="BD440">
        <f t="shared" si="346"/>
        <v>-261.46437297443447</v>
      </c>
      <c r="BF440">
        <f t="shared" si="347"/>
        <v>-59.007957714456303</v>
      </c>
      <c r="BG440">
        <f t="shared" si="348"/>
        <v>-246.03481905626211</v>
      </c>
      <c r="BH440">
        <f t="shared" si="359"/>
        <v>-66.034819056262108</v>
      </c>
      <c r="BI440">
        <f t="shared" si="360"/>
        <v>-66.034819056262108</v>
      </c>
      <c r="BJ440">
        <f t="shared" si="349"/>
        <v>0</v>
      </c>
      <c r="BK440">
        <f t="shared" si="361"/>
        <v>0</v>
      </c>
      <c r="BM440">
        <f t="shared" si="362"/>
        <v>-59.411219071384252</v>
      </c>
      <c r="BN440">
        <f t="shared" si="350"/>
        <v>-164.57044608182764</v>
      </c>
      <c r="BQ440" s="56">
        <f t="shared" si="363"/>
        <v>17.305222157213091</v>
      </c>
    </row>
    <row r="441" spans="1:69" x14ac:dyDescent="0.2">
      <c r="A441">
        <f t="shared" si="372"/>
        <v>1135000</v>
      </c>
      <c r="B441">
        <f t="shared" si="351"/>
        <v>1135</v>
      </c>
      <c r="C441">
        <f t="shared" si="320"/>
        <v>1.0368181240584249</v>
      </c>
      <c r="D441">
        <f t="shared" si="321"/>
        <v>0.26729335390589642</v>
      </c>
      <c r="F441">
        <f t="shared" si="322"/>
        <v>6.8224967295501431E-5</v>
      </c>
      <c r="G441">
        <f t="shared" si="323"/>
        <v>3.1119514184366178E-3</v>
      </c>
      <c r="H441">
        <f t="shared" si="324"/>
        <v>-3.1384806985815636</v>
      </c>
      <c r="J441">
        <f t="shared" si="325"/>
        <v>15</v>
      </c>
      <c r="M441">
        <f t="shared" si="326"/>
        <v>1.9883248202662212E-4</v>
      </c>
      <c r="N441">
        <f t="shared" si="327"/>
        <v>-1.5707963250000001</v>
      </c>
      <c r="O441">
        <f t="shared" si="328"/>
        <v>1065.219975062955</v>
      </c>
      <c r="P441">
        <f t="shared" si="329"/>
        <v>1.5698575534238626</v>
      </c>
      <c r="Q441">
        <f t="shared" si="330"/>
        <v>158.51740132602791</v>
      </c>
      <c r="R441">
        <f t="shared" si="331"/>
        <v>1.5644878292765019</v>
      </c>
      <c r="S441">
        <f t="shared" si="332"/>
        <v>0.21805348841654287</v>
      </c>
      <c r="T441">
        <f t="shared" si="333"/>
        <v>-1.3509768079624183</v>
      </c>
      <c r="U441">
        <f t="shared" si="334"/>
        <v>0.20020276748399821</v>
      </c>
      <c r="V441">
        <f t="shared" si="335"/>
        <v>-1.3692314529350538</v>
      </c>
      <c r="X441">
        <f t="shared" si="352"/>
        <v>-56.164522586902478</v>
      </c>
      <c r="Y441">
        <f t="shared" si="336"/>
        <v>-230.77860798315129</v>
      </c>
      <c r="Z441">
        <f t="shared" si="353"/>
        <v>-50.778607983151289</v>
      </c>
      <c r="AC441">
        <v>1</v>
      </c>
      <c r="AD441">
        <f t="shared" si="337"/>
        <v>1065.219505676235</v>
      </c>
      <c r="AE441">
        <f t="shared" si="338"/>
        <v>-1.3673740854867913</v>
      </c>
      <c r="AF441">
        <f t="shared" si="339"/>
        <v>0.27940885206129001</v>
      </c>
      <c r="AG441">
        <f t="shared" si="367"/>
        <v>152.10352464434496</v>
      </c>
      <c r="AH441">
        <f t="shared" si="368"/>
        <v>-747.94487135302802</v>
      </c>
      <c r="AJ441">
        <f t="shared" si="340"/>
        <v>18000</v>
      </c>
      <c r="AK441">
        <f t="shared" si="341"/>
        <v>80562.172536140395</v>
      </c>
      <c r="AL441">
        <v>1</v>
      </c>
      <c r="AM441">
        <f t="shared" si="342"/>
        <v>158.5142470668078</v>
      </c>
      <c r="AN441">
        <f t="shared" si="369"/>
        <v>508.92912069392605</v>
      </c>
      <c r="AO441">
        <f t="shared" si="370"/>
        <v>-110.34384102984917</v>
      </c>
      <c r="AQ441">
        <f t="shared" si="343"/>
        <v>1.9406544003077101E-3</v>
      </c>
      <c r="AR441">
        <f t="shared" si="344"/>
        <v>-4.4052854886985022</v>
      </c>
      <c r="AT441">
        <f t="shared" si="365"/>
        <v>-3294.6155077435587</v>
      </c>
      <c r="AU441">
        <f t="shared" si="366"/>
        <v>-671.51095240140671</v>
      </c>
      <c r="AV441">
        <f t="shared" si="354"/>
        <v>-2.9405260244951199</v>
      </c>
      <c r="AW441">
        <f t="shared" si="355"/>
        <v>174.39493291366523</v>
      </c>
      <c r="AX441">
        <f t="shared" si="356"/>
        <v>-3219.1593131493137</v>
      </c>
      <c r="AY441">
        <f t="shared" si="364"/>
        <v>-1.5166751698936549</v>
      </c>
      <c r="BA441">
        <f t="shared" si="345"/>
        <v>1.0429524083362258</v>
      </c>
      <c r="BB441">
        <f t="shared" si="357"/>
        <v>0.36528982589340847</v>
      </c>
      <c r="BC441">
        <f t="shared" si="358"/>
        <v>-1.423850854601465</v>
      </c>
      <c r="BD441">
        <f t="shared" si="346"/>
        <v>-261.58064471797888</v>
      </c>
      <c r="BF441">
        <f t="shared" si="347"/>
        <v>-59.119966664634518</v>
      </c>
      <c r="BG441">
        <f t="shared" si="348"/>
        <v>-246.08756194724469</v>
      </c>
      <c r="BH441">
        <f t="shared" si="359"/>
        <v>-66.087561947244694</v>
      </c>
      <c r="BI441">
        <f t="shared" si="360"/>
        <v>-66.087561947244694</v>
      </c>
      <c r="BJ441">
        <f t="shared" si="349"/>
        <v>0</v>
      </c>
      <c r="BK441">
        <f t="shared" si="361"/>
        <v>0</v>
      </c>
      <c r="BM441">
        <f t="shared" si="362"/>
        <v>-59.485256490527931</v>
      </c>
      <c r="BN441">
        <f t="shared" si="350"/>
        <v>-164.50691722926587</v>
      </c>
      <c r="BQ441" s="56">
        <f t="shared" si="363"/>
        <v>17.267250626178544</v>
      </c>
    </row>
    <row r="442" spans="1:69" x14ac:dyDescent="0.2">
      <c r="A442">
        <f t="shared" si="372"/>
        <v>1140000</v>
      </c>
      <c r="B442">
        <f t="shared" si="351"/>
        <v>1140</v>
      </c>
      <c r="C442">
        <f t="shared" si="320"/>
        <v>1.0371374058486205</v>
      </c>
      <c r="D442">
        <f t="shared" si="321"/>
        <v>0.26841522332397066</v>
      </c>
      <c r="F442">
        <f t="shared" si="322"/>
        <v>6.7627777183592081E-5</v>
      </c>
      <c r="G442">
        <f t="shared" si="323"/>
        <v>3.0983007281696756E-3</v>
      </c>
      <c r="H442">
        <f t="shared" si="324"/>
        <v>-3.1384943492718307</v>
      </c>
      <c r="J442">
        <f t="shared" si="325"/>
        <v>15</v>
      </c>
      <c r="M442">
        <f t="shared" si="326"/>
        <v>1.9796040973703167E-4</v>
      </c>
      <c r="N442">
        <f t="shared" si="327"/>
        <v>-1.5707963250000001</v>
      </c>
      <c r="O442">
        <f t="shared" si="328"/>
        <v>1069.9125699455474</v>
      </c>
      <c r="P442">
        <f t="shared" si="329"/>
        <v>1.5698616708485253</v>
      </c>
      <c r="Q442">
        <f t="shared" si="330"/>
        <v>159.21568813970251</v>
      </c>
      <c r="R442">
        <f t="shared" si="331"/>
        <v>1.5645154973960009</v>
      </c>
      <c r="S442">
        <f t="shared" si="332"/>
        <v>0.21714230191413569</v>
      </c>
      <c r="T442">
        <f t="shared" si="333"/>
        <v>-1.3519103639022874</v>
      </c>
      <c r="U442">
        <f t="shared" si="334"/>
        <v>0.19935965771518824</v>
      </c>
      <c r="V442">
        <f t="shared" si="335"/>
        <v>-1.37009190907153</v>
      </c>
      <c r="X442">
        <f t="shared" si="352"/>
        <v>-56.273062418175179</v>
      </c>
      <c r="Y442">
        <f t="shared" si="336"/>
        <v>-230.81607987015352</v>
      </c>
      <c r="Z442">
        <f t="shared" si="353"/>
        <v>-50.816079870153516</v>
      </c>
      <c r="AC442">
        <v>1</v>
      </c>
      <c r="AD442">
        <f t="shared" si="337"/>
        <v>1069.9121026175399</v>
      </c>
      <c r="AE442">
        <f t="shared" si="338"/>
        <v>-1.3794479702681086</v>
      </c>
      <c r="AF442">
        <f t="shared" si="339"/>
        <v>0.28063972806156001</v>
      </c>
      <c r="AG442">
        <f t="shared" si="367"/>
        <v>150.82512133407522</v>
      </c>
      <c r="AH442">
        <f t="shared" si="368"/>
        <v>-744.92449423936773</v>
      </c>
      <c r="AJ442">
        <f t="shared" si="340"/>
        <v>18000</v>
      </c>
      <c r="AK442">
        <f t="shared" si="341"/>
        <v>80917.071974625593</v>
      </c>
      <c r="AL442">
        <v>1</v>
      </c>
      <c r="AM442">
        <f t="shared" si="342"/>
        <v>159.2125477146792</v>
      </c>
      <c r="AN442">
        <f t="shared" si="369"/>
        <v>508.92302807008627</v>
      </c>
      <c r="AO442">
        <f t="shared" si="370"/>
        <v>-109.85991508204009</v>
      </c>
      <c r="AQ442">
        <f t="shared" si="343"/>
        <v>1.9236684511256441E-3</v>
      </c>
      <c r="AR442">
        <f t="shared" si="344"/>
        <v>-4.3859640685664685</v>
      </c>
      <c r="AT442">
        <f t="shared" si="365"/>
        <v>-3266.9219280013685</v>
      </c>
      <c r="AU442">
        <f t="shared" si="366"/>
        <v>-662.94655055647081</v>
      </c>
      <c r="AV442">
        <f t="shared" si="354"/>
        <v>-2.9413842953496934</v>
      </c>
      <c r="AW442">
        <f t="shared" si="355"/>
        <v>177.36887330230621</v>
      </c>
      <c r="AX442">
        <f t="shared" si="356"/>
        <v>-3205.2679634714864</v>
      </c>
      <c r="AY442">
        <f t="shared" si="364"/>
        <v>-1.5155160307330042</v>
      </c>
      <c r="BA442">
        <f t="shared" si="345"/>
        <v>1.0384205303349074</v>
      </c>
      <c r="BB442">
        <f t="shared" si="357"/>
        <v>0.32746531722721561</v>
      </c>
      <c r="BC442">
        <f t="shared" si="358"/>
        <v>-1.4258682646166891</v>
      </c>
      <c r="BD442">
        <f t="shared" si="346"/>
        <v>-261.69623379753068</v>
      </c>
      <c r="BF442">
        <f t="shared" si="347"/>
        <v>-59.231481279738119</v>
      </c>
      <c r="BG442">
        <f t="shared" si="348"/>
        <v>-246.13965477084332</v>
      </c>
      <c r="BH442">
        <f t="shared" si="359"/>
        <v>-66.139654770843322</v>
      </c>
      <c r="BI442">
        <f t="shared" si="360"/>
        <v>-66.139654770843322</v>
      </c>
      <c r="BJ442">
        <f t="shared" si="349"/>
        <v>0</v>
      </c>
      <c r="BK442">
        <f t="shared" si="361"/>
        <v>0</v>
      </c>
      <c r="BM442">
        <f t="shared" si="362"/>
        <v>-59.558946596965335</v>
      </c>
      <c r="BN442">
        <f t="shared" si="350"/>
        <v>-164.44342097331264</v>
      </c>
      <c r="BQ442" s="56">
        <f t="shared" si="363"/>
        <v>17.229426117512354</v>
      </c>
    </row>
    <row r="443" spans="1:69" x14ac:dyDescent="0.2">
      <c r="A443">
        <f t="shared" si="372"/>
        <v>1145000</v>
      </c>
      <c r="B443">
        <f t="shared" si="351"/>
        <v>1145</v>
      </c>
      <c r="C443">
        <f t="shared" si="320"/>
        <v>1.0374579921662117</v>
      </c>
      <c r="D443">
        <f t="shared" si="321"/>
        <v>0.26953640081160724</v>
      </c>
      <c r="F443">
        <f t="shared" si="322"/>
        <v>6.703839408508373E-5</v>
      </c>
      <c r="G443">
        <f t="shared" si="323"/>
        <v>3.0847692810801698E-3</v>
      </c>
      <c r="H443">
        <f t="shared" si="324"/>
        <v>-3.1385078807189202</v>
      </c>
      <c r="J443">
        <f t="shared" si="325"/>
        <v>15</v>
      </c>
      <c r="M443">
        <f t="shared" si="326"/>
        <v>1.9709595379931535E-4</v>
      </c>
      <c r="N443">
        <f t="shared" si="327"/>
        <v>-1.5707963250000001</v>
      </c>
      <c r="O443">
        <f t="shared" si="328"/>
        <v>1074.6051648461194</v>
      </c>
      <c r="P443">
        <f t="shared" si="329"/>
        <v>1.5698657523131787</v>
      </c>
      <c r="Q443">
        <f t="shared" si="330"/>
        <v>159.91397507419623</v>
      </c>
      <c r="R443">
        <f t="shared" si="331"/>
        <v>1.5645429238820259</v>
      </c>
      <c r="S443">
        <f t="shared" si="332"/>
        <v>0.2162385128143984</v>
      </c>
      <c r="T443">
        <f t="shared" si="333"/>
        <v>-1.3528361493554171</v>
      </c>
      <c r="U443">
        <f t="shared" si="334"/>
        <v>0.19852347416863619</v>
      </c>
      <c r="V443">
        <f t="shared" si="335"/>
        <v>-1.3709451477324019</v>
      </c>
      <c r="X443">
        <f t="shared" si="352"/>
        <v>-56.38113308655192</v>
      </c>
      <c r="Y443">
        <f t="shared" si="336"/>
        <v>-230.852741727667</v>
      </c>
      <c r="Z443">
        <f t="shared" si="353"/>
        <v>-50.852741727666995</v>
      </c>
      <c r="AC443">
        <v>1</v>
      </c>
      <c r="AD443">
        <f t="shared" si="337"/>
        <v>1074.6046995588451</v>
      </c>
      <c r="AE443">
        <f t="shared" si="338"/>
        <v>-1.3915749270704425</v>
      </c>
      <c r="AF443">
        <f t="shared" si="339"/>
        <v>0.28187060406182995</v>
      </c>
      <c r="AG443">
        <f t="shared" si="367"/>
        <v>149.562548995491</v>
      </c>
      <c r="AH443">
        <f t="shared" si="368"/>
        <v>-741.92728932101249</v>
      </c>
      <c r="AJ443">
        <f t="shared" si="340"/>
        <v>18000</v>
      </c>
      <c r="AK443">
        <f t="shared" si="341"/>
        <v>81271.971413110805</v>
      </c>
      <c r="AL443">
        <v>1</v>
      </c>
      <c r="AM443">
        <f t="shared" si="342"/>
        <v>159.91084836255061</v>
      </c>
      <c r="AN443">
        <f t="shared" si="369"/>
        <v>508.91701508371932</v>
      </c>
      <c r="AO443">
        <f t="shared" si="370"/>
        <v>-109.38021506371111</v>
      </c>
      <c r="AQ443">
        <f t="shared" si="343"/>
        <v>1.9069045390239434E-3</v>
      </c>
      <c r="AR443">
        <f t="shared" si="344"/>
        <v>-4.3668113943648299</v>
      </c>
      <c r="AT443">
        <f t="shared" si="365"/>
        <v>-3239.5713392936618</v>
      </c>
      <c r="AU443">
        <f t="shared" si="366"/>
        <v>-654.52622763939019</v>
      </c>
      <c r="AV443">
        <f t="shared" si="354"/>
        <v>-2.942235367814066</v>
      </c>
      <c r="AW443">
        <f t="shared" si="355"/>
        <v>180.30307481494125</v>
      </c>
      <c r="AX443">
        <f t="shared" si="356"/>
        <v>-3191.495146894777</v>
      </c>
      <c r="AY443">
        <f t="shared" si="364"/>
        <v>-1.5143614552276328</v>
      </c>
      <c r="BA443">
        <f t="shared" si="345"/>
        <v>1.0339257069348864</v>
      </c>
      <c r="BB443">
        <f t="shared" si="357"/>
        <v>0.28978667017968873</v>
      </c>
      <c r="BC443">
        <f t="shared" si="358"/>
        <v>-1.4278739125864333</v>
      </c>
      <c r="BD443">
        <f t="shared" si="346"/>
        <v>-261.81114896151735</v>
      </c>
      <c r="BF443">
        <f t="shared" si="347"/>
        <v>-59.342505692154013</v>
      </c>
      <c r="BG443">
        <f t="shared" si="348"/>
        <v>-246.19110649143968</v>
      </c>
      <c r="BH443">
        <f t="shared" si="359"/>
        <v>-66.191106491439683</v>
      </c>
      <c r="BI443">
        <f t="shared" si="360"/>
        <v>-66.191106491439683</v>
      </c>
      <c r="BJ443">
        <f t="shared" si="349"/>
        <v>0</v>
      </c>
      <c r="BK443">
        <f t="shared" si="361"/>
        <v>0</v>
      </c>
      <c r="BM443">
        <f t="shared" si="362"/>
        <v>-59.6322923623337</v>
      </c>
      <c r="BN443">
        <f t="shared" si="350"/>
        <v>-164.37995752992239</v>
      </c>
      <c r="BQ443" s="56">
        <f t="shared" si="363"/>
        <v>17.191747470464826</v>
      </c>
    </row>
    <row r="444" spans="1:69" x14ac:dyDescent="0.2">
      <c r="A444">
        <f t="shared" si="372"/>
        <v>1150000</v>
      </c>
      <c r="B444">
        <f t="shared" si="351"/>
        <v>1150</v>
      </c>
      <c r="C444">
        <f t="shared" si="320"/>
        <v>1.0377798818022321</v>
      </c>
      <c r="D444">
        <f t="shared" si="321"/>
        <v>0.27065688419263245</v>
      </c>
      <c r="F444">
        <f t="shared" si="322"/>
        <v>6.6456682507275348E-5</v>
      </c>
      <c r="G444">
        <f t="shared" si="323"/>
        <v>3.0713555214218501E-3</v>
      </c>
      <c r="H444">
        <f t="shared" si="324"/>
        <v>-3.1385212944785783</v>
      </c>
      <c r="J444">
        <f t="shared" si="325"/>
        <v>15</v>
      </c>
      <c r="M444">
        <f t="shared" si="326"/>
        <v>1.962390148697531E-4</v>
      </c>
      <c r="N444">
        <f t="shared" si="327"/>
        <v>-1.5707963250000001</v>
      </c>
      <c r="O444">
        <f t="shared" si="328"/>
        <v>1079.2977597644372</v>
      </c>
      <c r="P444">
        <f t="shared" si="329"/>
        <v>1.5698697982868655</v>
      </c>
      <c r="Q444">
        <f t="shared" si="330"/>
        <v>160.61226212793326</v>
      </c>
      <c r="R444">
        <f t="shared" si="331"/>
        <v>1.5645701118861535</v>
      </c>
      <c r="S444">
        <f t="shared" si="332"/>
        <v>0.21534203375096744</v>
      </c>
      <c r="T444">
        <f t="shared" si="333"/>
        <v>-1.3537542593692944</v>
      </c>
      <c r="U444">
        <f t="shared" si="334"/>
        <v>0.19769413368532551</v>
      </c>
      <c r="V444">
        <f t="shared" si="335"/>
        <v>-1.3717912581214371</v>
      </c>
      <c r="X444">
        <f t="shared" si="352"/>
        <v>-56.488738274017138</v>
      </c>
      <c r="Y444">
        <f t="shared" si="336"/>
        <v>-230.88860411888803</v>
      </c>
      <c r="Z444">
        <f t="shared" si="353"/>
        <v>-50.888604118888026</v>
      </c>
      <c r="AC444">
        <v>1</v>
      </c>
      <c r="AD444">
        <f t="shared" si="337"/>
        <v>1079.29729650015</v>
      </c>
      <c r="AE444">
        <f t="shared" si="338"/>
        <v>-1.4037549558937934</v>
      </c>
      <c r="AF444">
        <f t="shared" si="339"/>
        <v>0.28310148006210001</v>
      </c>
      <c r="AG444">
        <f t="shared" si="367"/>
        <v>148.31555098149238</v>
      </c>
      <c r="AH444">
        <f t="shared" si="368"/>
        <v>-738.95300611109315</v>
      </c>
      <c r="AJ444">
        <f t="shared" si="340"/>
        <v>18000</v>
      </c>
      <c r="AK444">
        <f t="shared" si="341"/>
        <v>81626.870851596002</v>
      </c>
      <c r="AL444">
        <v>1</v>
      </c>
      <c r="AM444">
        <f t="shared" si="342"/>
        <v>160.60914901042202</v>
      </c>
      <c r="AN444">
        <f t="shared" si="369"/>
        <v>508.91108035293047</v>
      </c>
      <c r="AO444">
        <f t="shared" si="370"/>
        <v>-108.904685862647</v>
      </c>
      <c r="AQ444">
        <f t="shared" si="343"/>
        <v>1.8903588108962551E-3</v>
      </c>
      <c r="AR444">
        <f t="shared" si="344"/>
        <v>-4.3478252650613864</v>
      </c>
      <c r="AT444">
        <f t="shared" si="365"/>
        <v>-3212.5581800542814</v>
      </c>
      <c r="AU444">
        <f t="shared" si="366"/>
        <v>-646.24698608477308</v>
      </c>
      <c r="AV444">
        <f t="shared" si="354"/>
        <v>-2.9430793308430654</v>
      </c>
      <c r="AW444">
        <f t="shared" si="355"/>
        <v>183.19824480103637</v>
      </c>
      <c r="AX444">
        <f t="shared" si="356"/>
        <v>-3177.8393619274466</v>
      </c>
      <c r="AY444">
        <f t="shared" si="364"/>
        <v>-1.5132113822852713</v>
      </c>
      <c r="BA444">
        <f t="shared" si="345"/>
        <v>1.0294674910024912</v>
      </c>
      <c r="BB444">
        <f t="shared" si="357"/>
        <v>0.25225273639721901</v>
      </c>
      <c r="BC444">
        <f t="shared" si="358"/>
        <v>-1.4298679485577941</v>
      </c>
      <c r="BD444">
        <f t="shared" si="346"/>
        <v>-261.92539880700411</v>
      </c>
      <c r="BF444">
        <f t="shared" si="347"/>
        <v>-59.453043983320953</v>
      </c>
      <c r="BG444">
        <f t="shared" si="348"/>
        <v>-246.24192591992249</v>
      </c>
      <c r="BH444">
        <f t="shared" si="359"/>
        <v>-66.241925919922494</v>
      </c>
      <c r="BI444">
        <f t="shared" si="360"/>
        <v>-66.241925919922494</v>
      </c>
      <c r="BJ444">
        <f t="shared" si="349"/>
        <v>0</v>
      </c>
      <c r="BK444">
        <f t="shared" si="361"/>
        <v>0</v>
      </c>
      <c r="BM444">
        <f t="shared" si="362"/>
        <v>-59.705296719718177</v>
      </c>
      <c r="BN444">
        <f t="shared" si="350"/>
        <v>-164.31652711291841</v>
      </c>
      <c r="BQ444" s="56">
        <f t="shared" si="363"/>
        <v>17.154213536682356</v>
      </c>
    </row>
    <row r="445" spans="1:69" x14ac:dyDescent="0.2">
      <c r="A445">
        <f t="shared" si="372"/>
        <v>1155000</v>
      </c>
      <c r="B445">
        <f t="shared" si="351"/>
        <v>1155</v>
      </c>
      <c r="C445">
        <f t="shared" si="320"/>
        <v>1.0381030735443033</v>
      </c>
      <c r="D445">
        <f t="shared" si="321"/>
        <v>0.27177667130053779</v>
      </c>
      <c r="F445">
        <f t="shared" si="322"/>
        <v>6.5882509884210825E-5</v>
      </c>
      <c r="G445">
        <f t="shared" si="323"/>
        <v>3.0580579203964039E-3</v>
      </c>
      <c r="H445">
        <f t="shared" si="324"/>
        <v>-3.1385345920796039</v>
      </c>
      <c r="J445">
        <f t="shared" si="325"/>
        <v>15</v>
      </c>
      <c r="M445">
        <f t="shared" si="326"/>
        <v>1.9538949532486239E-4</v>
      </c>
      <c r="N445">
        <f t="shared" si="327"/>
        <v>-1.5707963250000001</v>
      </c>
      <c r="O445">
        <f t="shared" si="328"/>
        <v>1083.99035470027</v>
      </c>
      <c r="P445">
        <f t="shared" si="329"/>
        <v>1.5698738092305071</v>
      </c>
      <c r="Q445">
        <f t="shared" si="330"/>
        <v>161.31054929936499</v>
      </c>
      <c r="R445">
        <f t="shared" si="331"/>
        <v>1.5645970645053917</v>
      </c>
      <c r="S445">
        <f t="shared" si="332"/>
        <v>0.21445277868783949</v>
      </c>
      <c r="T445">
        <f t="shared" si="333"/>
        <v>-1.3546647874736528</v>
      </c>
      <c r="U445">
        <f t="shared" si="334"/>
        <v>0.19687155440082507</v>
      </c>
      <c r="V445">
        <f t="shared" si="335"/>
        <v>-1.3726303279989527</v>
      </c>
      <c r="X445">
        <f t="shared" si="352"/>
        <v>-56.595881620346589</v>
      </c>
      <c r="Y445">
        <f t="shared" si="336"/>
        <v>-230.92367743884267</v>
      </c>
      <c r="Z445">
        <f t="shared" si="353"/>
        <v>-50.923677438842674</v>
      </c>
      <c r="AC445">
        <v>1</v>
      </c>
      <c r="AD445">
        <f t="shared" si="337"/>
        <v>1083.989893441455</v>
      </c>
      <c r="AE445">
        <f t="shared" si="338"/>
        <v>-1.4159880567381606</v>
      </c>
      <c r="AF445">
        <f t="shared" si="339"/>
        <v>0.28433235606237001</v>
      </c>
      <c r="AG445">
        <f t="shared" si="367"/>
        <v>147.08387574806807</v>
      </c>
      <c r="AH445">
        <f t="shared" si="368"/>
        <v>-736.00139743546993</v>
      </c>
      <c r="AJ445">
        <f t="shared" si="340"/>
        <v>18000</v>
      </c>
      <c r="AK445">
        <f t="shared" si="341"/>
        <v>81981.7702900812</v>
      </c>
      <c r="AL445">
        <v>1</v>
      </c>
      <c r="AM445">
        <f t="shared" si="342"/>
        <v>161.30744965829342</v>
      </c>
      <c r="AN445">
        <f t="shared" si="369"/>
        <v>508.90522252566905</v>
      </c>
      <c r="AO445">
        <f t="shared" si="370"/>
        <v>-108.43327332077158</v>
      </c>
      <c r="AQ445">
        <f t="shared" si="343"/>
        <v>1.8740274968558504E-3</v>
      </c>
      <c r="AR445">
        <f t="shared" si="344"/>
        <v>-4.3290035177370143</v>
      </c>
      <c r="AT445">
        <f t="shared" si="365"/>
        <v>-3185.8769993300116</v>
      </c>
      <c r="AU445">
        <f t="shared" si="366"/>
        <v>-638.10590237229906</v>
      </c>
      <c r="AV445">
        <f t="shared" si="354"/>
        <v>-2.9439162719523804</v>
      </c>
      <c r="AW445">
        <f t="shared" si="355"/>
        <v>186.05507490084756</v>
      </c>
      <c r="AX445">
        <f t="shared" si="356"/>
        <v>-3164.2991322057273</v>
      </c>
      <c r="AY445">
        <f t="shared" si="364"/>
        <v>-1.5120657519597975</v>
      </c>
      <c r="BA445">
        <f t="shared" si="345"/>
        <v>1.0250454423782218</v>
      </c>
      <c r="BB445">
        <f t="shared" si="357"/>
        <v>0.214862379769997</v>
      </c>
      <c r="BC445">
        <f t="shared" si="358"/>
        <v>-1.4318505199925828</v>
      </c>
      <c r="BD445">
        <f t="shared" si="346"/>
        <v>-262.03899178293051</v>
      </c>
      <c r="BF445">
        <f t="shared" si="347"/>
        <v>-59.563100184551459</v>
      </c>
      <c r="BG445">
        <f t="shared" si="348"/>
        <v>-246.29212171695676</v>
      </c>
      <c r="BH445">
        <f t="shared" si="359"/>
        <v>-66.292121716956757</v>
      </c>
      <c r="BI445">
        <f t="shared" si="360"/>
        <v>-66.292121716956757</v>
      </c>
      <c r="BJ445">
        <f t="shared" si="349"/>
        <v>0</v>
      </c>
      <c r="BK445">
        <f t="shared" si="361"/>
        <v>0</v>
      </c>
      <c r="BM445">
        <f t="shared" si="362"/>
        <v>-59.777962564321456</v>
      </c>
      <c r="BN445">
        <f t="shared" si="350"/>
        <v>-164.25312993402625</v>
      </c>
      <c r="BQ445" s="56">
        <f t="shared" si="363"/>
        <v>17.116823180055135</v>
      </c>
    </row>
    <row r="446" spans="1:69" x14ac:dyDescent="0.2">
      <c r="A446">
        <f t="shared" si="372"/>
        <v>1160000</v>
      </c>
      <c r="B446">
        <f t="shared" si="351"/>
        <v>1160</v>
      </c>
      <c r="C446">
        <f t="shared" si="320"/>
        <v>1.0384275661766542</v>
      </c>
      <c r="D446">
        <f t="shared" si="321"/>
        <v>0.27289575997849097</v>
      </c>
      <c r="F446">
        <f t="shared" si="322"/>
        <v>6.5315746501140058E-5</v>
      </c>
      <c r="G446">
        <f t="shared" si="323"/>
        <v>3.0448749755724678E-3</v>
      </c>
      <c r="H446">
        <f t="shared" si="324"/>
        <v>-3.1385477750244277</v>
      </c>
      <c r="J446">
        <f t="shared" si="325"/>
        <v>15</v>
      </c>
      <c r="M446">
        <f t="shared" si="326"/>
        <v>1.9454729922432421E-4</v>
      </c>
      <c r="N446">
        <f t="shared" si="327"/>
        <v>-1.5707963250000001</v>
      </c>
      <c r="O446">
        <f t="shared" si="328"/>
        <v>1088.6829496533912</v>
      </c>
      <c r="P446">
        <f t="shared" si="329"/>
        <v>1.5698777855970778</v>
      </c>
      <c r="Q446">
        <f t="shared" si="330"/>
        <v>162.00883658696961</v>
      </c>
      <c r="R446">
        <f t="shared" si="331"/>
        <v>1.5646237847833551</v>
      </c>
      <c r="S446">
        <f t="shared" si="332"/>
        <v>0.21357066289500592</v>
      </c>
      <c r="T446">
        <f t="shared" si="333"/>
        <v>-1.3555678257101031</v>
      </c>
      <c r="U446">
        <f t="shared" si="334"/>
        <v>0.19605565572086892</v>
      </c>
      <c r="V446">
        <f t="shared" si="335"/>
        <v>-1.3734624437104648</v>
      </c>
      <c r="X446">
        <f t="shared" si="352"/>
        <v>-56.702566723730982</v>
      </c>
      <c r="Y446">
        <f t="shared" si="336"/>
        <v>-230.95797191768091</v>
      </c>
      <c r="Z446">
        <f t="shared" si="353"/>
        <v>-50.957971917680908</v>
      </c>
      <c r="AC446">
        <v>1</v>
      </c>
      <c r="AD446">
        <f t="shared" si="337"/>
        <v>1088.6824903827601</v>
      </c>
      <c r="AE446">
        <f t="shared" si="338"/>
        <v>-1.4282742296035449</v>
      </c>
      <c r="AF446">
        <f t="shared" si="339"/>
        <v>0.28556323206264</v>
      </c>
      <c r="AG446">
        <f t="shared" si="367"/>
        <v>145.86727673494434</v>
      </c>
      <c r="AH446">
        <f t="shared" si="368"/>
        <v>-733.0722193851974</v>
      </c>
      <c r="AJ446">
        <f t="shared" si="340"/>
        <v>18000</v>
      </c>
      <c r="AK446">
        <f t="shared" si="341"/>
        <v>82336.669728566398</v>
      </c>
      <c r="AL446">
        <v>1</v>
      </c>
      <c r="AM446">
        <f t="shared" si="342"/>
        <v>162.00575030616483</v>
      </c>
      <c r="AN446">
        <f t="shared" si="369"/>
        <v>508.89944027895848</v>
      </c>
      <c r="AO446">
        <f t="shared" si="370"/>
        <v>-107.96592421358916</v>
      </c>
      <c r="AQ446">
        <f t="shared" si="343"/>
        <v>1.8579069080880447E-3</v>
      </c>
      <c r="AR446">
        <f t="shared" si="344"/>
        <v>-4.3103440267642634</v>
      </c>
      <c r="AT446">
        <f t="shared" si="365"/>
        <v>-3159.5224541926973</v>
      </c>
      <c r="AU446">
        <f t="shared" si="366"/>
        <v>-630.10012491536031</v>
      </c>
      <c r="AV446">
        <f t="shared" si="354"/>
        <v>-2.9447462772471154</v>
      </c>
      <c r="AW446">
        <f t="shared" si="355"/>
        <v>188.87424146292375</v>
      </c>
      <c r="AX446">
        <f t="shared" si="356"/>
        <v>-3150.873005972242</v>
      </c>
      <c r="AY446">
        <f t="shared" si="364"/>
        <v>-1.5109245054247527</v>
      </c>
      <c r="BA446">
        <f t="shared" si="345"/>
        <v>1.0206591277462345</v>
      </c>
      <c r="BB446">
        <f t="shared" si="357"/>
        <v>0.17761447628134727</v>
      </c>
      <c r="BC446">
        <f t="shared" si="358"/>
        <v>-1.4338217718223627</v>
      </c>
      <c r="BD446">
        <f t="shared" si="346"/>
        <v>-262.1519361932634</v>
      </c>
      <c r="BF446">
        <f t="shared" si="347"/>
        <v>-59.672678277837562</v>
      </c>
      <c r="BG446">
        <f t="shared" si="348"/>
        <v>-246.34170239616958</v>
      </c>
      <c r="BH446">
        <f t="shared" si="359"/>
        <v>-66.34170239616958</v>
      </c>
      <c r="BI446">
        <f t="shared" si="360"/>
        <v>-66.34170239616958</v>
      </c>
      <c r="BJ446">
        <f t="shared" si="349"/>
        <v>0</v>
      </c>
      <c r="BK446">
        <f t="shared" si="361"/>
        <v>0</v>
      </c>
      <c r="BM446">
        <f t="shared" si="362"/>
        <v>-59.850292754118904</v>
      </c>
      <c r="BN446">
        <f t="shared" si="350"/>
        <v>-164.18976620290624</v>
      </c>
      <c r="BQ446" s="56">
        <f t="shared" si="363"/>
        <v>17.079575276566484</v>
      </c>
    </row>
    <row r="447" spans="1:69" x14ac:dyDescent="0.2">
      <c r="A447">
        <f t="shared" si="372"/>
        <v>1165000</v>
      </c>
      <c r="B447">
        <f t="shared" si="351"/>
        <v>1165</v>
      </c>
      <c r="C447">
        <f t="shared" si="320"/>
        <v>1.0387533584801432</v>
      </c>
      <c r="D447">
        <f t="shared" si="321"/>
        <v>0.27401414807934693</v>
      </c>
      <c r="F447">
        <f t="shared" si="322"/>
        <v>6.4756265421244853E-5</v>
      </c>
      <c r="G447">
        <f t="shared" si="323"/>
        <v>3.0318052103195927E-3</v>
      </c>
      <c r="H447">
        <f t="shared" si="324"/>
        <v>-3.1385608447896804</v>
      </c>
      <c r="J447">
        <f t="shared" si="325"/>
        <v>15</v>
      </c>
      <c r="M447">
        <f t="shared" si="326"/>
        <v>1.9371233227486359E-4</v>
      </c>
      <c r="N447">
        <f t="shared" si="327"/>
        <v>-1.5707963250000001</v>
      </c>
      <c r="O447">
        <f t="shared" si="328"/>
        <v>1093.3755446235784</v>
      </c>
      <c r="P447">
        <f t="shared" si="329"/>
        <v>1.5698817278317749</v>
      </c>
      <c r="Q447">
        <f t="shared" si="330"/>
        <v>162.70712398925139</v>
      </c>
      <c r="R447">
        <f t="shared" si="331"/>
        <v>1.5646502757114105</v>
      </c>
      <c r="S447">
        <f t="shared" si="332"/>
        <v>0.21269560292459891</v>
      </c>
      <c r="T447">
        <f t="shared" si="333"/>
        <v>-1.356463464661088</v>
      </c>
      <c r="U447">
        <f t="shared" si="334"/>
        <v>0.19524635829746823</v>
      </c>
      <c r="V447">
        <f t="shared" si="335"/>
        <v>-1.374287690214669</v>
      </c>
      <c r="X447">
        <f t="shared" si="352"/>
        <v>-56.808797141388645</v>
      </c>
      <c r="Y447">
        <f t="shared" si="336"/>
        <v>-230.99149762389561</v>
      </c>
      <c r="Z447">
        <f t="shared" si="353"/>
        <v>-50.991497623895611</v>
      </c>
      <c r="AC447">
        <v>1</v>
      </c>
      <c r="AD447">
        <f t="shared" si="337"/>
        <v>1093.3750873240649</v>
      </c>
      <c r="AE447">
        <f t="shared" si="338"/>
        <v>-1.4406134744899459</v>
      </c>
      <c r="AF447">
        <f t="shared" si="339"/>
        <v>0.28679410806291</v>
      </c>
      <c r="AG447">
        <f t="shared" si="367"/>
        <v>144.66551224942242</v>
      </c>
      <c r="AH447">
        <f t="shared" si="368"/>
        <v>-730.16523126958236</v>
      </c>
      <c r="AJ447">
        <f t="shared" si="340"/>
        <v>18000</v>
      </c>
      <c r="AK447">
        <f t="shared" si="341"/>
        <v>82691.569167051595</v>
      </c>
      <c r="AL447">
        <v>1</v>
      </c>
      <c r="AM447">
        <f t="shared" si="342"/>
        <v>162.70405095403623</v>
      </c>
      <c r="AN447">
        <f t="shared" si="369"/>
        <v>508.89373231814875</v>
      </c>
      <c r="AO447">
        <f t="shared" si="370"/>
        <v>-107.50258623015523</v>
      </c>
      <c r="AQ447">
        <f t="shared" si="343"/>
        <v>1.8419934347669998E-3</v>
      </c>
      <c r="AR447">
        <f t="shared" si="344"/>
        <v>-4.2918447030071096</v>
      </c>
      <c r="AT447">
        <f t="shared" si="365"/>
        <v>-3133.4893072205173</v>
      </c>
      <c r="AU447">
        <f t="shared" si="366"/>
        <v>-622.22687201778751</v>
      </c>
      <c r="AV447">
        <f t="shared" si="354"/>
        <v>-2.9455694314496825</v>
      </c>
      <c r="AW447">
        <f t="shared" si="355"/>
        <v>191.65640594871044</v>
      </c>
      <c r="AX447">
        <f t="shared" si="356"/>
        <v>-3137.5595555673358</v>
      </c>
      <c r="AY447">
        <f t="shared" si="364"/>
        <v>-1.5097875849475817</v>
      </c>
      <c r="BA447">
        <f t="shared" si="345"/>
        <v>1.0163081205066031</v>
      </c>
      <c r="BB447">
        <f t="shared" si="357"/>
        <v>0.14050791385873546</v>
      </c>
      <c r="BC447">
        <f t="shared" si="358"/>
        <v>-1.4357818465021008</v>
      </c>
      <c r="BD447">
        <f t="shared" si="346"/>
        <v>-262.26424020007119</v>
      </c>
      <c r="BF447">
        <f t="shared" si="347"/>
        <v>-59.781782196640791</v>
      </c>
      <c r="BG447">
        <f t="shared" si="348"/>
        <v>-246.39067632725653</v>
      </c>
      <c r="BH447">
        <f t="shared" si="359"/>
        <v>-66.390676327256529</v>
      </c>
      <c r="BI447">
        <f t="shared" si="360"/>
        <v>-66.390676327256529</v>
      </c>
      <c r="BJ447">
        <f t="shared" si="349"/>
        <v>0</v>
      </c>
      <c r="BK447">
        <f t="shared" si="361"/>
        <v>0</v>
      </c>
      <c r="BM447">
        <f t="shared" si="362"/>
        <v>-59.922290110499517</v>
      </c>
      <c r="BN447">
        <f t="shared" si="350"/>
        <v>-164.1264361271854</v>
      </c>
      <c r="BQ447" s="56">
        <f t="shared" si="363"/>
        <v>17.042468714143872</v>
      </c>
    </row>
    <row r="448" spans="1:69" x14ac:dyDescent="0.2">
      <c r="A448">
        <f t="shared" si="372"/>
        <v>1170000</v>
      </c>
      <c r="B448">
        <f t="shared" si="351"/>
        <v>1170</v>
      </c>
      <c r="C448">
        <f t="shared" si="320"/>
        <v>1.0390804492322769</v>
      </c>
      <c r="D448">
        <f t="shared" si="321"/>
        <v>0.27513183346565817</v>
      </c>
      <c r="F448">
        <f t="shared" si="322"/>
        <v>6.4203942414552438E-5</v>
      </c>
      <c r="G448">
        <f t="shared" si="323"/>
        <v>3.0188471732567421E-3</v>
      </c>
      <c r="H448">
        <f t="shared" si="324"/>
        <v>-3.1385738028267434</v>
      </c>
      <c r="J448">
        <f t="shared" si="325"/>
        <v>15</v>
      </c>
      <c r="M448">
        <f t="shared" si="326"/>
        <v>1.9288450179505648E-4</v>
      </c>
      <c r="N448">
        <f t="shared" si="327"/>
        <v>-1.5707963250000001</v>
      </c>
      <c r="O448">
        <f t="shared" si="328"/>
        <v>1098.0681396106129</v>
      </c>
      <c r="P448">
        <f t="shared" si="329"/>
        <v>1.5698856363721867</v>
      </c>
      <c r="Q448">
        <f t="shared" si="330"/>
        <v>163.40541150474007</v>
      </c>
      <c r="R448">
        <f t="shared" si="331"/>
        <v>1.5646765402297933</v>
      </c>
      <c r="S448">
        <f t="shared" si="332"/>
        <v>0.21182751658753612</v>
      </c>
      <c r="T448">
        <f t="shared" si="333"/>
        <v>-1.357351793478174</v>
      </c>
      <c r="U448">
        <f t="shared" si="334"/>
        <v>0.19444358400554423</v>
      </c>
      <c r="V448">
        <f t="shared" si="335"/>
        <v>-1.3751061511107714</v>
      </c>
      <c r="X448">
        <f t="shared" si="352"/>
        <v>-56.914576390167532</v>
      </c>
      <c r="Y448">
        <f t="shared" si="336"/>
        <v>-231.02426446746657</v>
      </c>
      <c r="Z448">
        <f t="shared" si="353"/>
        <v>-51.024264467466566</v>
      </c>
      <c r="AC448">
        <v>1</v>
      </c>
      <c r="AD448">
        <f t="shared" si="337"/>
        <v>1098.06768426537</v>
      </c>
      <c r="AE448">
        <f t="shared" si="338"/>
        <v>-1.4530057913973637</v>
      </c>
      <c r="AF448">
        <f t="shared" si="339"/>
        <v>0.28802498406318</v>
      </c>
      <c r="AG448">
        <f t="shared" si="367"/>
        <v>143.4783453533077</v>
      </c>
      <c r="AH448">
        <f t="shared" si="368"/>
        <v>-727.28019556983122</v>
      </c>
      <c r="AJ448">
        <f t="shared" si="340"/>
        <v>18000</v>
      </c>
      <c r="AK448">
        <f t="shared" si="341"/>
        <v>83046.468605536807</v>
      </c>
      <c r="AL448">
        <v>1</v>
      </c>
      <c r="AM448">
        <f t="shared" si="342"/>
        <v>163.40235160190761</v>
      </c>
      <c r="AN448">
        <f t="shared" si="369"/>
        <v>508.88809737619226</v>
      </c>
      <c r="AO448">
        <f t="shared" si="370"/>
        <v>-107.04320795356051</v>
      </c>
      <c r="AQ448">
        <f t="shared" si="343"/>
        <v>1.8262835440347096E-3</v>
      </c>
      <c r="AR448">
        <f t="shared" si="344"/>
        <v>-4.2735034930412201</v>
      </c>
      <c r="AT448">
        <f t="shared" si="365"/>
        <v>-3107.7724240463313</v>
      </c>
      <c r="AU448">
        <f t="shared" si="366"/>
        <v>-614.48342989620653</v>
      </c>
      <c r="AV448">
        <f t="shared" si="354"/>
        <v>-2.9463858179270428</v>
      </c>
      <c r="AW448">
        <f t="shared" si="355"/>
        <v>194.402215324709</v>
      </c>
      <c r="AX448">
        <f t="shared" si="356"/>
        <v>-3124.3573769329496</v>
      </c>
      <c r="AY448">
        <f t="shared" si="364"/>
        <v>-1.5086549338645796</v>
      </c>
      <c r="BA448">
        <f t="shared" si="345"/>
        <v>1.0119920006502838</v>
      </c>
      <c r="BB448">
        <f t="shared" si="357"/>
        <v>0.10354159222637659</v>
      </c>
      <c r="BC448">
        <f t="shared" si="358"/>
        <v>-1.4377308840624632</v>
      </c>
      <c r="BD448">
        <f t="shared" si="346"/>
        <v>-262.37591182652</v>
      </c>
      <c r="BF448">
        <f t="shared" si="347"/>
        <v>-59.890415826666874</v>
      </c>
      <c r="BG448">
        <f t="shared" si="348"/>
        <v>-246.43905173900842</v>
      </c>
      <c r="BH448">
        <f t="shared" si="359"/>
        <v>-66.43905173900842</v>
      </c>
      <c r="BI448">
        <f t="shared" si="360"/>
        <v>-66.43905173900842</v>
      </c>
      <c r="BJ448">
        <f t="shared" si="349"/>
        <v>0</v>
      </c>
      <c r="BK448">
        <f t="shared" si="361"/>
        <v>0</v>
      </c>
      <c r="BM448">
        <f t="shared" si="362"/>
        <v>-59.993957418893245</v>
      </c>
      <c r="BN448">
        <f t="shared" si="350"/>
        <v>-164.06313991248842</v>
      </c>
      <c r="BQ448" s="56">
        <f t="shared" si="363"/>
        <v>17.005502392511513</v>
      </c>
    </row>
    <row r="449" spans="1:69" x14ac:dyDescent="0.2">
      <c r="A449">
        <f t="shared" si="372"/>
        <v>1175000</v>
      </c>
      <c r="B449">
        <f t="shared" si="351"/>
        <v>1175</v>
      </c>
      <c r="C449">
        <f t="shared" si="320"/>
        <v>1.0394088372072321</v>
      </c>
      <c r="D449">
        <f t="shared" si="321"/>
        <v>0.27624881400968521</v>
      </c>
      <c r="F449">
        <f t="shared" si="322"/>
        <v>6.3658655888962262E-5</v>
      </c>
      <c r="G449">
        <f t="shared" si="323"/>
        <v>3.0059994377148666E-3</v>
      </c>
      <c r="H449">
        <f t="shared" si="324"/>
        <v>-3.1385866505622855</v>
      </c>
      <c r="J449">
        <f t="shared" si="325"/>
        <v>15</v>
      </c>
      <c r="M449">
        <f t="shared" si="326"/>
        <v>1.9206371668103496E-4</v>
      </c>
      <c r="N449">
        <f t="shared" si="327"/>
        <v>-1.5707963250000001</v>
      </c>
      <c r="O449">
        <f t="shared" si="328"/>
        <v>1102.7607346142793</v>
      </c>
      <c r="P449">
        <f t="shared" si="329"/>
        <v>1.5698895116484524</v>
      </c>
      <c r="Q449">
        <f t="shared" si="330"/>
        <v>164.10369913199062</v>
      </c>
      <c r="R449">
        <f t="shared" si="331"/>
        <v>1.5647025812286963</v>
      </c>
      <c r="S449">
        <f t="shared" si="332"/>
        <v>0.2109663229306537</v>
      </c>
      <c r="T449">
        <f t="shared" si="333"/>
        <v>-1.3582328999097031</v>
      </c>
      <c r="U449">
        <f t="shared" si="334"/>
        <v>0.19364725592006807</v>
      </c>
      <c r="V449">
        <f t="shared" si="335"/>
        <v>-1.3759179086651838</v>
      </c>
      <c r="X449">
        <f t="shared" si="352"/>
        <v>-57.01990794713651</v>
      </c>
      <c r="Y449">
        <f t="shared" si="336"/>
        <v>-231.05628220293326</v>
      </c>
      <c r="Z449">
        <f t="shared" si="353"/>
        <v>-51.056282202933261</v>
      </c>
      <c r="AC449">
        <v>1</v>
      </c>
      <c r="AD449">
        <f t="shared" si="337"/>
        <v>1102.760281206675</v>
      </c>
      <c r="AE449">
        <f t="shared" si="338"/>
        <v>-1.4654511803257981</v>
      </c>
      <c r="AF449">
        <f t="shared" si="339"/>
        <v>0.28925586006345</v>
      </c>
      <c r="AG449">
        <f t="shared" si="367"/>
        <v>142.30554375283916</v>
      </c>
      <c r="AH449">
        <f t="shared" si="368"/>
        <v>-724.41687789328944</v>
      </c>
      <c r="AJ449">
        <f t="shared" si="340"/>
        <v>18000</v>
      </c>
      <c r="AK449">
        <f t="shared" si="341"/>
        <v>83401.368044022005</v>
      </c>
      <c r="AL449">
        <v>1</v>
      </c>
      <c r="AM449">
        <f t="shared" si="342"/>
        <v>164.10065224977902</v>
      </c>
      <c r="AN449">
        <f t="shared" si="369"/>
        <v>508.88253421293985</v>
      </c>
      <c r="AO449">
        <f t="shared" si="370"/>
        <v>-106.58773884191318</v>
      </c>
      <c r="AQ449">
        <f t="shared" si="343"/>
        <v>1.8107737780400583E-3</v>
      </c>
      <c r="AR449">
        <f t="shared" si="344"/>
        <v>-4.2553183783941373</v>
      </c>
      <c r="AT449">
        <f t="shared" si="365"/>
        <v>-3082.366770971119</v>
      </c>
      <c r="AU449">
        <f t="shared" si="366"/>
        <v>-606.86715076568635</v>
      </c>
      <c r="AV449">
        <f t="shared" si="354"/>
        <v>-2.9471955187173156</v>
      </c>
      <c r="AW449">
        <f t="shared" si="355"/>
        <v>197.11230244262384</v>
      </c>
      <c r="AX449">
        <f t="shared" si="356"/>
        <v>-3111.2650891286744</v>
      </c>
      <c r="AY449">
        <f t="shared" si="364"/>
        <v>-1.5075264965565172</v>
      </c>
      <c r="BA449">
        <f t="shared" si="345"/>
        <v>1.0077103546367296</v>
      </c>
      <c r="BB449">
        <f t="shared" si="357"/>
        <v>6.6714422759523551E-2</v>
      </c>
      <c r="BC449">
        <f t="shared" si="358"/>
        <v>-1.4396690221607984</v>
      </c>
      <c r="BD449">
        <f t="shared" si="346"/>
        <v>-262.48695895979506</v>
      </c>
      <c r="BF449">
        <f t="shared" si="347"/>
        <v>-59.998583006625338</v>
      </c>
      <c r="BG449">
        <f t="shared" si="348"/>
        <v>-246.48683672226304</v>
      </c>
      <c r="BH449">
        <f t="shared" si="359"/>
        <v>-66.486836722263035</v>
      </c>
      <c r="BI449">
        <f t="shared" si="360"/>
        <v>-66.486836722263035</v>
      </c>
      <c r="BJ449">
        <f t="shared" si="349"/>
        <v>0</v>
      </c>
      <c r="BK449">
        <f t="shared" si="361"/>
        <v>0</v>
      </c>
      <c r="BM449">
        <f t="shared" si="362"/>
        <v>-60.065297429384856</v>
      </c>
      <c r="BN449">
        <f t="shared" si="350"/>
        <v>-163.99987776246806</v>
      </c>
      <c r="BQ449" s="56">
        <f t="shared" si="363"/>
        <v>16.968675223044659</v>
      </c>
    </row>
    <row r="450" spans="1:69" x14ac:dyDescent="0.2">
      <c r="A450">
        <f t="shared" si="372"/>
        <v>1180000</v>
      </c>
      <c r="B450">
        <f t="shared" si="351"/>
        <v>1180</v>
      </c>
      <c r="C450">
        <f t="shared" si="320"/>
        <v>1.0397385211758758</v>
      </c>
      <c r="D450">
        <f t="shared" si="321"/>
        <v>0.27736508759340628</v>
      </c>
      <c r="F450">
        <f t="shared" si="322"/>
        <v>6.3120286823314698E-5</v>
      </c>
      <c r="G450">
        <f t="shared" si="323"/>
        <v>2.993260601213155E-3</v>
      </c>
      <c r="H450">
        <f t="shared" si="324"/>
        <v>-3.1385993893987871</v>
      </c>
      <c r="J450">
        <f t="shared" si="325"/>
        <v>15</v>
      </c>
      <c r="M450">
        <f t="shared" si="326"/>
        <v>1.9124988737306449E-4</v>
      </c>
      <c r="N450">
        <f t="shared" si="327"/>
        <v>-1.5707963250000001</v>
      </c>
      <c r="O450">
        <f t="shared" si="328"/>
        <v>1107.4533296343666</v>
      </c>
      <c r="P450">
        <f t="shared" si="329"/>
        <v>1.5698933540834203</v>
      </c>
      <c r="Q450">
        <f t="shared" si="330"/>
        <v>164.80198686958238</v>
      </c>
      <c r="R450">
        <f t="shared" si="331"/>
        <v>1.5647284015493279</v>
      </c>
      <c r="S450">
        <f t="shared" si="332"/>
        <v>0.21011194221431531</v>
      </c>
      <c r="T450">
        <f t="shared" si="333"/>
        <v>-1.3591068703278151</v>
      </c>
      <c r="U450">
        <f t="shared" si="334"/>
        <v>0.19285729829369624</v>
      </c>
      <c r="V450">
        <f t="shared" si="335"/>
        <v>-1.3767230438376026</v>
      </c>
      <c r="X450">
        <f t="shared" si="352"/>
        <v>-57.124795250166436</v>
      </c>
      <c r="Y450">
        <f t="shared" si="336"/>
        <v>-231.08756043239691</v>
      </c>
      <c r="Z450">
        <f t="shared" si="353"/>
        <v>-51.087560432396913</v>
      </c>
      <c r="AC450">
        <v>1</v>
      </c>
      <c r="AD450">
        <f t="shared" si="337"/>
        <v>1107.4528781479801</v>
      </c>
      <c r="AE450">
        <f t="shared" si="338"/>
        <v>-1.4779496412752495</v>
      </c>
      <c r="AF450">
        <f t="shared" si="339"/>
        <v>0.29048673606372</v>
      </c>
      <c r="AG450">
        <f t="shared" si="367"/>
        <v>141.14687969153087</v>
      </c>
      <c r="AH450">
        <f t="shared" si="368"/>
        <v>-721.57504692827058</v>
      </c>
      <c r="AJ450">
        <f t="shared" si="340"/>
        <v>18000</v>
      </c>
      <c r="AK450">
        <f t="shared" si="341"/>
        <v>83756.267482507188</v>
      </c>
      <c r="AL450">
        <v>1</v>
      </c>
      <c r="AM450">
        <f t="shared" si="342"/>
        <v>164.79895289765039</v>
      </c>
      <c r="AN450">
        <f t="shared" si="369"/>
        <v>508.87704161445959</v>
      </c>
      <c r="AO450">
        <f t="shared" si="370"/>
        <v>-106.13612920980471</v>
      </c>
      <c r="AQ450">
        <f t="shared" si="343"/>
        <v>1.7954607520359179E-3</v>
      </c>
      <c r="AR450">
        <f t="shared" si="344"/>
        <v>-4.2372873748047661</v>
      </c>
      <c r="AT450">
        <f t="shared" si="365"/>
        <v>-3057.2674126405591</v>
      </c>
      <c r="AU450">
        <f t="shared" si="366"/>
        <v>-599.3754509864192</v>
      </c>
      <c r="AV450">
        <f t="shared" si="354"/>
        <v>-2.9479986145557757</v>
      </c>
      <c r="AW450">
        <f t="shared" si="355"/>
        <v>199.78728640792056</v>
      </c>
      <c r="AX450">
        <f t="shared" si="356"/>
        <v>-3098.2813338596402</v>
      </c>
      <c r="AY450">
        <f t="shared" si="364"/>
        <v>-1.5064022184249262</v>
      </c>
      <c r="BA450">
        <f t="shared" si="345"/>
        <v>1.0034627752740883</v>
      </c>
      <c r="BB450">
        <f t="shared" si="357"/>
        <v>3.0025328340373393E-2</v>
      </c>
      <c r="BC450">
        <f t="shared" si="358"/>
        <v>-1.4415963961308496</v>
      </c>
      <c r="BD450">
        <f t="shared" si="346"/>
        <v>-262.59738935394853</v>
      </c>
      <c r="BF450">
        <f t="shared" si="347"/>
        <v>-60.106287528974335</v>
      </c>
      <c r="BG450">
        <f t="shared" si="348"/>
        <v>-246.53403923278253</v>
      </c>
      <c r="BH450">
        <f t="shared" si="359"/>
        <v>-66.534039232782533</v>
      </c>
      <c r="BI450">
        <f t="shared" si="360"/>
        <v>-66.534039232782533</v>
      </c>
      <c r="BJ450">
        <f t="shared" si="349"/>
        <v>0</v>
      </c>
      <c r="BK450">
        <f t="shared" si="361"/>
        <v>0</v>
      </c>
      <c r="BM450">
        <f t="shared" si="362"/>
        <v>-60.136312857314714</v>
      </c>
      <c r="BN450">
        <f t="shared" si="350"/>
        <v>-163.93664987883406</v>
      </c>
      <c r="BQ450" s="56">
        <f t="shared" si="363"/>
        <v>16.93198612862551</v>
      </c>
    </row>
    <row r="451" spans="1:69" x14ac:dyDescent="0.2">
      <c r="A451">
        <f t="shared" si="372"/>
        <v>1185000</v>
      </c>
      <c r="B451">
        <f t="shared" si="351"/>
        <v>1185</v>
      </c>
      <c r="C451">
        <f t="shared" si="320"/>
        <v>1.0400694999057851</v>
      </c>
      <c r="D451">
        <f t="shared" si="321"/>
        <v>0.2784806521085274</v>
      </c>
      <c r="F451">
        <f t="shared" si="322"/>
        <v>6.2588718702432573E-5</v>
      </c>
      <c r="G451">
        <f t="shared" si="323"/>
        <v>2.9806292849485438E-3</v>
      </c>
      <c r="H451">
        <f t="shared" si="324"/>
        <v>-3.1386120207150516</v>
      </c>
      <c r="J451">
        <f t="shared" si="325"/>
        <v>15</v>
      </c>
      <c r="M451">
        <f t="shared" si="326"/>
        <v>1.9044292582296715E-4</v>
      </c>
      <c r="N451">
        <f t="shared" si="327"/>
        <v>-1.5707963250000001</v>
      </c>
      <c r="O451">
        <f t="shared" si="328"/>
        <v>1112.1459246706661</v>
      </c>
      <c r="P451">
        <f t="shared" si="329"/>
        <v>1.5698971640928032</v>
      </c>
      <c r="Q451">
        <f t="shared" si="330"/>
        <v>165.50027471611864</v>
      </c>
      <c r="R451">
        <f t="shared" si="331"/>
        <v>1.5647540039849472</v>
      </c>
      <c r="S451">
        <f t="shared" si="332"/>
        <v>0.20926429589048715</v>
      </c>
      <c r="T451">
        <f t="shared" si="333"/>
        <v>-1.3599737897548618</v>
      </c>
      <c r="U451">
        <f t="shared" si="334"/>
        <v>0.19207363653488926</v>
      </c>
      <c r="V451">
        <f t="shared" si="335"/>
        <v>-1.3775216363064886</v>
      </c>
      <c r="X451">
        <f t="shared" si="352"/>
        <v>-57.229241698501056</v>
      </c>
      <c r="Y451">
        <f t="shared" si="336"/>
        <v>-231.11810860845443</v>
      </c>
      <c r="Z451">
        <f t="shared" si="353"/>
        <v>-51.118108608454435</v>
      </c>
      <c r="AC451">
        <v>1</v>
      </c>
      <c r="AD451">
        <f t="shared" si="337"/>
        <v>1112.1454750892849</v>
      </c>
      <c r="AE451">
        <f t="shared" si="338"/>
        <v>-1.4905011742457175</v>
      </c>
      <c r="AF451">
        <f t="shared" si="339"/>
        <v>0.29171761206398999</v>
      </c>
      <c r="AG451">
        <f t="shared" si="367"/>
        <v>140.00212984583851</v>
      </c>
      <c r="AH451">
        <f t="shared" si="368"/>
        <v>-718.7544743994772</v>
      </c>
      <c r="AJ451">
        <f t="shared" si="340"/>
        <v>18000</v>
      </c>
      <c r="AK451">
        <f t="shared" si="341"/>
        <v>84111.1669209924</v>
      </c>
      <c r="AL451">
        <v>1</v>
      </c>
      <c r="AM451">
        <f t="shared" si="342"/>
        <v>165.4972535455218</v>
      </c>
      <c r="AN451">
        <f t="shared" si="369"/>
        <v>508.87161839237348</v>
      </c>
      <c r="AO451">
        <f t="shared" si="370"/>
        <v>-105.68833021024427</v>
      </c>
      <c r="AQ451">
        <f t="shared" si="343"/>
        <v>1.7803411525323305E-3</v>
      </c>
      <c r="AR451">
        <f t="shared" si="344"/>
        <v>-4.2194085315016236</v>
      </c>
      <c r="AT451">
        <f t="shared" si="365"/>
        <v>-3032.4695097829126</v>
      </c>
      <c r="AU451">
        <f t="shared" si="366"/>
        <v>-592.00580926926932</v>
      </c>
      <c r="AV451">
        <f t="shared" si="354"/>
        <v>-2.9487951849002481</v>
      </c>
      <c r="AW451">
        <f t="shared" si="355"/>
        <v>202.42777293719396</v>
      </c>
      <c r="AX451">
        <f t="shared" si="356"/>
        <v>-3085.4047750159016</v>
      </c>
      <c r="AY451">
        <f t="shared" si="364"/>
        <v>-1.5052820458690237</v>
      </c>
      <c r="BA451">
        <f t="shared" si="345"/>
        <v>0.99924886160193105</v>
      </c>
      <c r="BB451">
        <f t="shared" si="357"/>
        <v>-6.5267567843441546E-3</v>
      </c>
      <c r="BC451">
        <f t="shared" si="358"/>
        <v>-1.4435131390312244</v>
      </c>
      <c r="BD451">
        <f t="shared" si="346"/>
        <v>-262.70721063267717</v>
      </c>
      <c r="BF451">
        <f t="shared" si="347"/>
        <v>-60.213533140651315</v>
      </c>
      <c r="BG451">
        <f t="shared" si="348"/>
        <v>-246.58066709405966</v>
      </c>
      <c r="BH451">
        <f t="shared" si="359"/>
        <v>-66.580667094059663</v>
      </c>
      <c r="BI451">
        <f t="shared" si="360"/>
        <v>-66.580667094059663</v>
      </c>
      <c r="BJ451">
        <f t="shared" si="349"/>
        <v>0</v>
      </c>
      <c r="BK451">
        <f t="shared" si="361"/>
        <v>0</v>
      </c>
      <c r="BM451">
        <f t="shared" si="362"/>
        <v>-60.207006383866968</v>
      </c>
      <c r="BN451">
        <f t="shared" si="350"/>
        <v>-163.87345646138252</v>
      </c>
      <c r="BQ451" s="56">
        <f t="shared" si="363"/>
        <v>16.895434043500792</v>
      </c>
    </row>
    <row r="452" spans="1:69" x14ac:dyDescent="0.2">
      <c r="A452">
        <f t="shared" si="372"/>
        <v>1190000</v>
      </c>
      <c r="B452">
        <f t="shared" si="351"/>
        <v>1190</v>
      </c>
      <c r="C452">
        <f t="shared" si="320"/>
        <v>1.0404017721612693</v>
      </c>
      <c r="D452">
        <f t="shared" si="321"/>
        <v>0.27959550545649142</v>
      </c>
      <c r="F452">
        <f t="shared" si="322"/>
        <v>6.2063837454069611E-5</v>
      </c>
      <c r="G452">
        <f t="shared" si="323"/>
        <v>2.9681041332981105E-3</v>
      </c>
      <c r="H452">
        <f t="shared" si="324"/>
        <v>-3.1386245458667021</v>
      </c>
      <c r="J452">
        <f t="shared" si="325"/>
        <v>15</v>
      </c>
      <c r="M452">
        <f t="shared" si="326"/>
        <v>1.8964274546236646E-4</v>
      </c>
      <c r="N452">
        <f t="shared" si="327"/>
        <v>-1.5707963250000001</v>
      </c>
      <c r="O452">
        <f t="shared" si="328"/>
        <v>1116.8385197229748</v>
      </c>
      <c r="P452">
        <f t="shared" si="329"/>
        <v>1.5699009420853265</v>
      </c>
      <c r="Q452">
        <f t="shared" si="330"/>
        <v>166.19856267022621</v>
      </c>
      <c r="R452">
        <f t="shared" si="331"/>
        <v>1.5647793912818708</v>
      </c>
      <c r="S452">
        <f t="shared" si="332"/>
        <v>0.20842330658126784</v>
      </c>
      <c r="T452">
        <f t="shared" si="333"/>
        <v>-1.3608337418892245</v>
      </c>
      <c r="U452">
        <f t="shared" si="334"/>
        <v>0.19129619718650154</v>
      </c>
      <c r="V452">
        <f t="shared" si="335"/>
        <v>-1.3783137644939591</v>
      </c>
      <c r="X452">
        <f t="shared" si="352"/>
        <v>-57.333250653317911</v>
      </c>
      <c r="Y452">
        <f t="shared" si="336"/>
        <v>-231.14793603706556</v>
      </c>
      <c r="Z452">
        <f t="shared" si="353"/>
        <v>-51.147936037065563</v>
      </c>
      <c r="AC452">
        <v>1</v>
      </c>
      <c r="AD452">
        <f t="shared" si="337"/>
        <v>1116.83807203059</v>
      </c>
      <c r="AE452">
        <f t="shared" si="338"/>
        <v>-1.5031057792372025</v>
      </c>
      <c r="AF452">
        <f t="shared" si="339"/>
        <v>0.29294848806425999</v>
      </c>
      <c r="AG452">
        <f t="shared" si="367"/>
        <v>138.87107522356825</v>
      </c>
      <c r="AH452">
        <f t="shared" si="368"/>
        <v>-715.95493502401143</v>
      </c>
      <c r="AJ452">
        <f t="shared" si="340"/>
        <v>18000</v>
      </c>
      <c r="AK452">
        <f t="shared" si="341"/>
        <v>84466.066359477598</v>
      </c>
      <c r="AL452">
        <v>1</v>
      </c>
      <c r="AM452">
        <f t="shared" si="342"/>
        <v>166.19555419339321</v>
      </c>
      <c r="AN452">
        <f t="shared" si="369"/>
        <v>508.86626338321526</v>
      </c>
      <c r="AO452">
        <f t="shared" si="370"/>
        <v>-105.24429381704911</v>
      </c>
      <c r="AQ452">
        <f t="shared" si="343"/>
        <v>1.7654117355038954E-3</v>
      </c>
      <c r="AR452">
        <f t="shared" si="344"/>
        <v>-4.2016799304992709</v>
      </c>
      <c r="AT452">
        <f t="shared" si="365"/>
        <v>-3007.9683170063763</v>
      </c>
      <c r="AU452">
        <f t="shared" si="366"/>
        <v>-584.75576493810456</v>
      </c>
      <c r="AV452">
        <f t="shared" si="354"/>
        <v>-2.9495853079559247</v>
      </c>
      <c r="AW452">
        <f t="shared" si="355"/>
        <v>205.03435470473266</v>
      </c>
      <c r="AX452">
        <f t="shared" si="356"/>
        <v>-3072.6340982229985</v>
      </c>
      <c r="AY452">
        <f t="shared" si="364"/>
        <v>-1.5041659262632576</v>
      </c>
      <c r="BA452">
        <f t="shared" si="345"/>
        <v>0.99506821877644847</v>
      </c>
      <c r="BB452">
        <f t="shared" si="357"/>
        <v>-4.2942887144147353E-2</v>
      </c>
      <c r="BC452">
        <f t="shared" si="358"/>
        <v>-1.445419381692667</v>
      </c>
      <c r="BD452">
        <f t="shared" si="346"/>
        <v>-262.81643029203042</v>
      </c>
      <c r="BF452">
        <f t="shared" si="347"/>
        <v>-60.320323543789414</v>
      </c>
      <c r="BG452">
        <f t="shared" si="348"/>
        <v>-246.6267280000537</v>
      </c>
      <c r="BH452">
        <f t="shared" si="359"/>
        <v>-66.626728000053703</v>
      </c>
      <c r="BI452">
        <f t="shared" si="360"/>
        <v>-66.626728000053703</v>
      </c>
      <c r="BJ452">
        <f t="shared" si="349"/>
        <v>0</v>
      </c>
      <c r="BK452">
        <f t="shared" si="361"/>
        <v>0</v>
      </c>
      <c r="BM452">
        <f t="shared" si="362"/>
        <v>-60.277380656645263</v>
      </c>
      <c r="BN452">
        <f t="shared" si="350"/>
        <v>-163.81029770802331</v>
      </c>
      <c r="BQ452" s="56">
        <f t="shared" si="363"/>
        <v>16.859017913140988</v>
      </c>
    </row>
    <row r="453" spans="1:69" x14ac:dyDescent="0.2">
      <c r="A453">
        <f t="shared" si="372"/>
        <v>1195000</v>
      </c>
      <c r="B453">
        <f t="shared" si="351"/>
        <v>1195</v>
      </c>
      <c r="C453">
        <f t="shared" si="320"/>
        <v>1.0407353367033887</v>
      </c>
      <c r="D453">
        <f t="shared" si="321"/>
        <v>0.28070964554848721</v>
      </c>
      <c r="F453">
        <f t="shared" si="322"/>
        <v>6.154553138770201E-5</v>
      </c>
      <c r="G453">
        <f t="shared" si="323"/>
        <v>2.9556838133339538E-3</v>
      </c>
      <c r="H453">
        <f t="shared" si="324"/>
        <v>-3.1386369661866662</v>
      </c>
      <c r="J453">
        <f t="shared" si="325"/>
        <v>15</v>
      </c>
      <c r="M453">
        <f t="shared" si="326"/>
        <v>1.8884926117172893E-4</v>
      </c>
      <c r="N453">
        <f t="shared" si="327"/>
        <v>-1.5707963250000001</v>
      </c>
      <c r="O453">
        <f t="shared" si="328"/>
        <v>1121.5311147910904</v>
      </c>
      <c r="P453">
        <f t="shared" si="329"/>
        <v>1.5699046884628745</v>
      </c>
      <c r="Q453">
        <f t="shared" si="330"/>
        <v>166.89685073055483</v>
      </c>
      <c r="R453">
        <f t="shared" si="331"/>
        <v>1.5648045661404542</v>
      </c>
      <c r="S453">
        <f t="shared" si="332"/>
        <v>0.20758889805786251</v>
      </c>
      <c r="T453">
        <f t="shared" si="333"/>
        <v>-1.3616868091305534</v>
      </c>
      <c r="U453">
        <f t="shared" si="334"/>
        <v>0.19052490790483176</v>
      </c>
      <c r="V453">
        <f t="shared" si="335"/>
        <v>-1.379099505590113</v>
      </c>
      <c r="X453">
        <f t="shared" si="352"/>
        <v>-57.43682543827962</v>
      </c>
      <c r="Y453">
        <f t="shared" si="336"/>
        <v>-231.17705188035532</v>
      </c>
      <c r="Z453">
        <f t="shared" si="353"/>
        <v>-51.177051880355322</v>
      </c>
      <c r="AC453">
        <v>1</v>
      </c>
      <c r="AD453">
        <f t="shared" si="337"/>
        <v>1121.530668971895</v>
      </c>
      <c r="AE453">
        <f t="shared" si="338"/>
        <v>-1.5157634562497042</v>
      </c>
      <c r="AF453">
        <f t="shared" si="339"/>
        <v>0.29417936406452999</v>
      </c>
      <c r="AG453">
        <f t="shared" si="367"/>
        <v>137.75350106494741</v>
      </c>
      <c r="AH453">
        <f t="shared" si="368"/>
        <v>-713.17620646797218</v>
      </c>
      <c r="AJ453">
        <f t="shared" si="340"/>
        <v>18000</v>
      </c>
      <c r="AK453">
        <f t="shared" si="341"/>
        <v>84820.965797962795</v>
      </c>
      <c r="AL453">
        <v>1</v>
      </c>
      <c r="AM453">
        <f t="shared" si="342"/>
        <v>166.89385484126461</v>
      </c>
      <c r="AN453">
        <f t="shared" si="369"/>
        <v>508.86097544780608</v>
      </c>
      <c r="AO453">
        <f t="shared" si="370"/>
        <v>-104.80397280767642</v>
      </c>
      <c r="AQ453">
        <f t="shared" si="343"/>
        <v>1.7506693246495467E-3</v>
      </c>
      <c r="AR453">
        <f t="shared" si="344"/>
        <v>-4.1840996859124164</v>
      </c>
      <c r="AT453">
        <f t="shared" si="365"/>
        <v>-2983.7591806541736</v>
      </c>
      <c r="AU453">
        <f t="shared" si="366"/>
        <v>-577.62291624691557</v>
      </c>
      <c r="AV453">
        <f t="shared" si="354"/>
        <v>-2.9503690606996069</v>
      </c>
      <c r="AW453">
        <f t="shared" si="355"/>
        <v>207.60761167865377</v>
      </c>
      <c r="AX453">
        <f t="shared" si="356"/>
        <v>-3059.9680104033687</v>
      </c>
      <c r="AY453">
        <f t="shared" si="364"/>
        <v>-1.5030538079354503</v>
      </c>
      <c r="BA453">
        <f t="shared" si="345"/>
        <v>0.99092045795806316</v>
      </c>
      <c r="BB453">
        <f t="shared" si="357"/>
        <v>-7.9224106183911194E-2</v>
      </c>
      <c r="BC453">
        <f t="shared" si="358"/>
        <v>-1.4473152527641566</v>
      </c>
      <c r="BD453">
        <f t="shared" si="346"/>
        <v>-262.92505570305184</v>
      </c>
      <c r="BF453">
        <f t="shared" si="347"/>
        <v>-60.426662396420248</v>
      </c>
      <c r="BG453">
        <f t="shared" si="348"/>
        <v>-246.67222951785948</v>
      </c>
      <c r="BH453">
        <f t="shared" si="359"/>
        <v>-66.672229517859478</v>
      </c>
      <c r="BI453">
        <f t="shared" si="360"/>
        <v>-66.672229517859478</v>
      </c>
      <c r="BJ453">
        <f t="shared" si="349"/>
        <v>0</v>
      </c>
      <c r="BK453">
        <f t="shared" si="361"/>
        <v>0</v>
      </c>
      <c r="BM453">
        <f t="shared" si="362"/>
        <v>-60.34743829023634</v>
      </c>
      <c r="BN453">
        <f t="shared" si="350"/>
        <v>-163.74717381480767</v>
      </c>
      <c r="BQ453" s="56">
        <f t="shared" si="363"/>
        <v>16.822736694101227</v>
      </c>
    </row>
    <row r="454" spans="1:69" x14ac:dyDescent="0.2">
      <c r="A454">
        <f t="shared" si="372"/>
        <v>1200000</v>
      </c>
      <c r="B454">
        <f t="shared" si="351"/>
        <v>1200</v>
      </c>
      <c r="C454">
        <f t="shared" si="320"/>
        <v>1.0410701922899763</v>
      </c>
      <c r="D454">
        <f t="shared" si="321"/>
        <v>0.2818230703054585</v>
      </c>
      <c r="F454">
        <f t="shared" si="322"/>
        <v>6.1033691135101748E-5</v>
      </c>
      <c r="G454">
        <f t="shared" si="323"/>
        <v>2.9433670143502182E-3</v>
      </c>
      <c r="H454">
        <f t="shared" si="324"/>
        <v>-3.13864928298565</v>
      </c>
      <c r="J454">
        <f t="shared" si="325"/>
        <v>15</v>
      </c>
      <c r="M454">
        <f t="shared" si="326"/>
        <v>1.8806238925018006E-4</v>
      </c>
      <c r="N454">
        <f t="shared" si="327"/>
        <v>-1.5707963250000001</v>
      </c>
      <c r="O454">
        <f t="shared" si="328"/>
        <v>1126.2237098748164</v>
      </c>
      <c r="P454">
        <f t="shared" si="329"/>
        <v>1.5699084036206346</v>
      </c>
      <c r="Q454">
        <f t="shared" si="330"/>
        <v>167.59513889577687</v>
      </c>
      <c r="R454">
        <f t="shared" si="331"/>
        <v>1.5648295312160496</v>
      </c>
      <c r="S454">
        <f t="shared" si="332"/>
        <v>0.20676099521999194</v>
      </c>
      <c r="T454">
        <f t="shared" si="333"/>
        <v>-1.3625330726044422</v>
      </c>
      <c r="U454">
        <f t="shared" si="334"/>
        <v>0.18975969743912224</v>
      </c>
      <c r="V454">
        <f t="shared" si="335"/>
        <v>-1.3798789355767989</v>
      </c>
      <c r="X454">
        <f t="shared" si="352"/>
        <v>-57.539969340075459</v>
      </c>
      <c r="Y454">
        <f t="shared" si="336"/>
        <v>-231.20546515935303</v>
      </c>
      <c r="Z454">
        <f t="shared" si="353"/>
        <v>-51.205465159353025</v>
      </c>
      <c r="AC454">
        <v>1</v>
      </c>
      <c r="AD454">
        <f t="shared" si="337"/>
        <v>1126.2232659131998</v>
      </c>
      <c r="AE454">
        <f t="shared" si="338"/>
        <v>-1.5284742052832228</v>
      </c>
      <c r="AF454">
        <f t="shared" si="339"/>
        <v>0.29541024006479999</v>
      </c>
      <c r="AG454">
        <f t="shared" si="367"/>
        <v>136.6491967462789</v>
      </c>
      <c r="AH454">
        <f t="shared" si="368"/>
        <v>-710.41806930363794</v>
      </c>
      <c r="AJ454">
        <f t="shared" si="340"/>
        <v>18000</v>
      </c>
      <c r="AK454">
        <f t="shared" si="341"/>
        <v>85175.865236448008</v>
      </c>
      <c r="AL454">
        <v>1</v>
      </c>
      <c r="AM454">
        <f t="shared" si="342"/>
        <v>167.59215548913602</v>
      </c>
      <c r="AN454">
        <f t="shared" si="369"/>
        <v>508.85575347064906</v>
      </c>
      <c r="AO454">
        <f t="shared" si="370"/>
        <v>-104.36732074648444</v>
      </c>
      <c r="AQ454">
        <f t="shared" si="343"/>
        <v>1.7361108097029845E-3</v>
      </c>
      <c r="AR454">
        <f t="shared" si="344"/>
        <v>-4.1666659432871622</v>
      </c>
      <c r="AT454">
        <f t="shared" si="365"/>
        <v>-2959.8375367156787</v>
      </c>
      <c r="AU454">
        <f t="shared" si="366"/>
        <v>-570.60491874979357</v>
      </c>
      <c r="AV454">
        <f t="shared" si="354"/>
        <v>-2.9511465189034034</v>
      </c>
      <c r="AW454">
        <f t="shared" si="355"/>
        <v>210.14811144696577</v>
      </c>
      <c r="AX454">
        <f t="shared" si="356"/>
        <v>-3047.405239348323</v>
      </c>
      <c r="AY454">
        <f t="shared" si="364"/>
        <v>-1.5019456401455233</v>
      </c>
      <c r="BA454">
        <f t="shared" si="345"/>
        <v>0.98680519620139617</v>
      </c>
      <c r="BB454">
        <f t="shared" si="357"/>
        <v>-0.11537144640136751</v>
      </c>
      <c r="BC454">
        <f t="shared" si="358"/>
        <v>-1.4492008787578801</v>
      </c>
      <c r="BD454">
        <f t="shared" si="346"/>
        <v>-263.03309411435578</v>
      </c>
      <c r="BF454">
        <f t="shared" si="347"/>
        <v>-60.532553313163277</v>
      </c>
      <c r="BG454">
        <f t="shared" si="348"/>
        <v>-246.7171790903104</v>
      </c>
      <c r="BH454">
        <f t="shared" si="359"/>
        <v>-66.717179090310395</v>
      </c>
      <c r="BI454">
        <f t="shared" si="360"/>
        <v>-66.717179090310395</v>
      </c>
      <c r="BJ454">
        <f t="shared" si="349"/>
        <v>0</v>
      </c>
      <c r="BK454">
        <f t="shared" si="361"/>
        <v>0</v>
      </c>
      <c r="BM454">
        <f t="shared" si="362"/>
        <v>-60.417181866761908</v>
      </c>
      <c r="BN454">
        <f t="shared" si="350"/>
        <v>-163.68408497595459</v>
      </c>
      <c r="BQ454" s="56">
        <f t="shared" si="363"/>
        <v>16.78658935388377</v>
      </c>
    </row>
    <row r="455" spans="1:69" x14ac:dyDescent="0.2">
      <c r="A455">
        <f t="shared" si="372"/>
        <v>1205000</v>
      </c>
      <c r="B455">
        <f t="shared" si="351"/>
        <v>1205</v>
      </c>
      <c r="C455">
        <f t="shared" si="320"/>
        <v>1.0414063376756582</v>
      </c>
      <c r="D455">
        <f t="shared" si="321"/>
        <v>0.28293577765811229</v>
      </c>
      <c r="F455">
        <f t="shared" si="322"/>
        <v>6.0528209592632611E-5</v>
      </c>
      <c r="G455">
        <f t="shared" si="323"/>
        <v>2.9311524474018875E-3</v>
      </c>
      <c r="H455">
        <f t="shared" si="324"/>
        <v>-3.1386614975525982</v>
      </c>
      <c r="J455">
        <f t="shared" si="325"/>
        <v>15</v>
      </c>
      <c r="M455">
        <f t="shared" si="326"/>
        <v>1.8728204738607145E-4</v>
      </c>
      <c r="N455">
        <f t="shared" si="327"/>
        <v>-1.5707963250000001</v>
      </c>
      <c r="O455">
        <f t="shared" si="328"/>
        <v>1130.9163049739575</v>
      </c>
      <c r="P455">
        <f t="shared" si="329"/>
        <v>1.5699120879472339</v>
      </c>
      <c r="Q455">
        <f t="shared" si="330"/>
        <v>168.2934271645866</v>
      </c>
      <c r="R455">
        <f t="shared" si="331"/>
        <v>1.5648542891199402</v>
      </c>
      <c r="S455">
        <f t="shared" si="332"/>
        <v>0.20593952407572538</v>
      </c>
      <c r="T455">
        <f t="shared" si="333"/>
        <v>-1.3633726121865517</v>
      </c>
      <c r="U455">
        <f t="shared" si="334"/>
        <v>0.1890004956114964</v>
      </c>
      <c r="V455">
        <f t="shared" si="335"/>
        <v>-1.3806521292508456</v>
      </c>
      <c r="X455">
        <f t="shared" si="352"/>
        <v>-57.642685608953755</v>
      </c>
      <c r="Y455">
        <f t="shared" si="336"/>
        <v>-231.23318475667028</v>
      </c>
      <c r="Z455">
        <f t="shared" si="353"/>
        <v>-51.233184756670283</v>
      </c>
      <c r="AC455">
        <v>1</v>
      </c>
      <c r="AD455">
        <f t="shared" si="337"/>
        <v>1130.9158628545051</v>
      </c>
      <c r="AE455">
        <f t="shared" si="338"/>
        <v>-1.5412380263377581</v>
      </c>
      <c r="AF455">
        <f t="shared" si="339"/>
        <v>0.29664111606506999</v>
      </c>
      <c r="AG455">
        <f t="shared" si="367"/>
        <v>135.55795568610381</v>
      </c>
      <c r="AH455">
        <f t="shared" si="368"/>
        <v>-707.68030696723486</v>
      </c>
      <c r="AJ455">
        <f t="shared" si="340"/>
        <v>18000</v>
      </c>
      <c r="AK455">
        <f t="shared" si="341"/>
        <v>85530.764674933191</v>
      </c>
      <c r="AL455">
        <v>1</v>
      </c>
      <c r="AM455">
        <f t="shared" si="342"/>
        <v>168.29045613700742</v>
      </c>
      <c r="AN455">
        <f t="shared" si="369"/>
        <v>508.85059635934016</v>
      </c>
      <c r="AO455">
        <f t="shared" si="370"/>
        <v>-103.93429196841021</v>
      </c>
      <c r="AQ455">
        <f t="shared" si="343"/>
        <v>1.7217331447920757E-3</v>
      </c>
      <c r="AR455">
        <f t="shared" si="344"/>
        <v>-4.1493768789489023</v>
      </c>
      <c r="AT455">
        <f t="shared" si="365"/>
        <v>-2936.198908791961</v>
      </c>
      <c r="AU455">
        <f t="shared" si="366"/>
        <v>-563.69948372192118</v>
      </c>
      <c r="AV455">
        <f t="shared" si="354"/>
        <v>-2.9519177571578825</v>
      </c>
      <c r="AW455">
        <f t="shared" si="355"/>
        <v>212.6564095338978</v>
      </c>
      <c r="AX455">
        <f t="shared" si="356"/>
        <v>-3034.9445333002668</v>
      </c>
      <c r="AY455">
        <f t="shared" si="364"/>
        <v>-1.5008413730647887</v>
      </c>
      <c r="BA455">
        <f t="shared" si="345"/>
        <v>0.98272205634754661</v>
      </c>
      <c r="BB455">
        <f t="shared" si="357"/>
        <v>-0.15138592948289087</v>
      </c>
      <c r="BC455">
        <f t="shared" si="358"/>
        <v>-1.4510763840930938</v>
      </c>
      <c r="BD455">
        <f t="shared" si="346"/>
        <v>-263.1405526546406</v>
      </c>
      <c r="BF455">
        <f t="shared" si="347"/>
        <v>-60.637999865901932</v>
      </c>
      <c r="BG455">
        <f t="shared" si="348"/>
        <v>-246.76158403851761</v>
      </c>
      <c r="BH455">
        <f t="shared" si="359"/>
        <v>-66.761584038517611</v>
      </c>
      <c r="BI455">
        <f t="shared" si="360"/>
        <v>-66.761584038517611</v>
      </c>
      <c r="BJ455">
        <f t="shared" si="349"/>
        <v>0</v>
      </c>
      <c r="BK455">
        <f t="shared" si="361"/>
        <v>0</v>
      </c>
      <c r="BM455">
        <f t="shared" si="362"/>
        <v>-60.48661393641904</v>
      </c>
      <c r="BN455">
        <f t="shared" si="350"/>
        <v>-163.62103138387704</v>
      </c>
      <c r="BQ455" s="56">
        <f t="shared" si="363"/>
        <v>16.750574870802247</v>
      </c>
    </row>
    <row r="456" spans="1:69" x14ac:dyDescent="0.2">
      <c r="A456">
        <f t="shared" si="372"/>
        <v>1210000</v>
      </c>
      <c r="B456">
        <f t="shared" si="351"/>
        <v>1210</v>
      </c>
      <c r="C456">
        <f t="shared" si="320"/>
        <v>1.0417437716118743</v>
      </c>
      <c r="D456">
        <f t="shared" si="321"/>
        <v>0.28404776554692712</v>
      </c>
      <c r="F456">
        <f t="shared" si="322"/>
        <v>6.0028981865212306E-5</v>
      </c>
      <c r="G456">
        <f t="shared" si="323"/>
        <v>2.9190388448550272E-3</v>
      </c>
      <c r="H456">
        <f t="shared" si="324"/>
        <v>-3.138673611155145</v>
      </c>
      <c r="J456">
        <f t="shared" si="325"/>
        <v>15</v>
      </c>
      <c r="M456">
        <f t="shared" si="326"/>
        <v>1.8650815462827776E-4</v>
      </c>
      <c r="N456">
        <f t="shared" si="327"/>
        <v>-1.5707963250000001</v>
      </c>
      <c r="O456">
        <f t="shared" si="328"/>
        <v>1135.6089000883233</v>
      </c>
      <c r="P456">
        <f t="shared" si="329"/>
        <v>1.569915741824877</v>
      </c>
      <c r="Q456">
        <f t="shared" si="330"/>
        <v>168.99171553569994</v>
      </c>
      <c r="R456">
        <f t="shared" si="331"/>
        <v>1.5648788424202491</v>
      </c>
      <c r="S456">
        <f t="shared" si="332"/>
        <v>0.20512441172172904</v>
      </c>
      <c r="T456">
        <f t="shared" si="333"/>
        <v>-1.364205506526198</v>
      </c>
      <c r="U456">
        <f t="shared" si="334"/>
        <v>0.18824723329732454</v>
      </c>
      <c r="V456">
        <f t="shared" si="335"/>
        <v>-1.3814191602467647</v>
      </c>
      <c r="X456">
        <f t="shared" si="352"/>
        <v>-57.744977459244915</v>
      </c>
      <c r="Y456">
        <f t="shared" si="336"/>
        <v>-231.26021941911839</v>
      </c>
      <c r="Z456">
        <f t="shared" si="353"/>
        <v>-51.260219419118386</v>
      </c>
      <c r="AC456">
        <v>1</v>
      </c>
      <c r="AD456">
        <f t="shared" si="337"/>
        <v>1135.6084597958099</v>
      </c>
      <c r="AE456">
        <f t="shared" si="338"/>
        <v>-1.55405491941331</v>
      </c>
      <c r="AF456">
        <f t="shared" si="339"/>
        <v>0.29787199206534004</v>
      </c>
      <c r="AG456">
        <f t="shared" si="367"/>
        <v>134.47957525379911</v>
      </c>
      <c r="AH456">
        <f t="shared" si="368"/>
        <v>-704.96270571728223</v>
      </c>
      <c r="AJ456">
        <f t="shared" si="340"/>
        <v>18000</v>
      </c>
      <c r="AK456">
        <f t="shared" si="341"/>
        <v>85885.664113418403</v>
      </c>
      <c r="AL456">
        <v>1</v>
      </c>
      <c r="AM456">
        <f t="shared" si="342"/>
        <v>168.98875678487883</v>
      </c>
      <c r="AN456">
        <f t="shared" si="369"/>
        <v>508.84550304399772</v>
      </c>
      <c r="AO456">
        <f t="shared" si="370"/>
        <v>-103.50484156305194</v>
      </c>
      <c r="AQ456">
        <f t="shared" si="343"/>
        <v>1.7075333468456139E-3</v>
      </c>
      <c r="AR456">
        <f t="shared" si="344"/>
        <v>-4.132230699366386</v>
      </c>
      <c r="AT456">
        <f t="shared" si="365"/>
        <v>-2912.8389061141293</v>
      </c>
      <c r="AU456">
        <f t="shared" si="366"/>
        <v>-556.90437662979559</v>
      </c>
      <c r="AV456">
        <f t="shared" si="354"/>
        <v>-2.9526828488947046</v>
      </c>
      <c r="AW456">
        <f t="shared" si="355"/>
        <v>215.13304970683359</v>
      </c>
      <c r="AX456">
        <f t="shared" si="356"/>
        <v>-3022.5846605449092</v>
      </c>
      <c r="AY456">
        <f t="shared" si="364"/>
        <v>-1.4997409577557843</v>
      </c>
      <c r="BA456">
        <f t="shared" si="345"/>
        <v>0.9786706669186136</v>
      </c>
      <c r="BB456">
        <f t="shared" si="357"/>
        <v>-0.1872685664377351</v>
      </c>
      <c r="BC456">
        <f t="shared" si="358"/>
        <v>-1.4529418911389202</v>
      </c>
      <c r="BD456">
        <f t="shared" si="346"/>
        <v>-263.24743833514049</v>
      </c>
      <c r="BF456">
        <f t="shared" si="347"/>
        <v>-60.743005584447062</v>
      </c>
      <c r="BG456">
        <f t="shared" si="348"/>
        <v>-246.80545156434738</v>
      </c>
      <c r="BH456">
        <f t="shared" si="359"/>
        <v>-66.805451564347379</v>
      </c>
      <c r="BI456">
        <f t="shared" si="360"/>
        <v>-66.805451564347379</v>
      </c>
      <c r="BJ456">
        <f t="shared" si="349"/>
        <v>0</v>
      </c>
      <c r="BK456">
        <f t="shared" si="361"/>
        <v>0</v>
      </c>
      <c r="BM456">
        <f t="shared" si="362"/>
        <v>-60.555737018009339</v>
      </c>
      <c r="BN456">
        <f t="shared" si="350"/>
        <v>-163.55801322920689</v>
      </c>
      <c r="BQ456" s="56">
        <f t="shared" si="363"/>
        <v>16.714692233847401</v>
      </c>
    </row>
    <row r="457" spans="1:69" x14ac:dyDescent="0.2">
      <c r="A457">
        <f t="shared" si="372"/>
        <v>1215000</v>
      </c>
      <c r="B457">
        <f t="shared" si="351"/>
        <v>1215</v>
      </c>
      <c r="C457">
        <f t="shared" ref="C457:C520" si="373">SQRT((A457/Fesr)^2+1)</f>
        <v>1.0420824928468977</v>
      </c>
      <c r="D457">
        <f t="shared" ref="D457:D520" si="374">ATAN(A457/Fesr)</f>
        <v>0.28515903192216113</v>
      </c>
      <c r="F457">
        <f t="shared" ref="F457:F520" si="375">(Ro/(Ro+Rdcr))/SQRT((A457/(Q*Fo))^2+(1-(A457^2/Fo^2))^2)</f>
        <v>5.9535905211885475E-5</v>
      </c>
      <c r="G457">
        <f t="shared" ref="G457:G520" si="376">-ATAN(A457*Fo/(Q*(Fo^2-A457^2)))</f>
        <v>2.9070249599481303E-3</v>
      </c>
      <c r="H457">
        <f t="shared" ref="H457:H520" si="377">IF(G457&gt;0,G457-Pi,G457)</f>
        <v>-3.1386856250400519</v>
      </c>
      <c r="J457">
        <f t="shared" ref="J457:J520" si="378">Vin/Vramp</f>
        <v>15</v>
      </c>
      <c r="M457">
        <f t="shared" ref="M457:M520" si="379">1/(2*Pi*_Rfb1*(Cc1ea_u+Cc2ea_u)*A457)</f>
        <v>1.8574063135820256E-4</v>
      </c>
      <c r="N457">
        <f t="shared" ref="N457:N520" si="380">-Pi/2</f>
        <v>-1.5707963250000001</v>
      </c>
      <c r="O457">
        <f t="shared" ref="O457:O520" si="381">SQRT(1+(A457/Fz1_u)^2)</f>
        <v>1140.3014952177257</v>
      </c>
      <c r="P457">
        <f t="shared" ref="P457:P520" si="382">ATAN2(Fz1_u,A457)</f>
        <v>1.5699193656294761</v>
      </c>
      <c r="Q457">
        <f t="shared" ref="Q457:Q520" si="383">SQRT(1+(A457/Fz2_u)^2)</f>
        <v>169.69000400785387</v>
      </c>
      <c r="R457">
        <f t="shared" ref="R457:R520" si="384">ATAN2(Fz2_u,A457)</f>
        <v>1.564903193642829</v>
      </c>
      <c r="S457">
        <f t="shared" ref="S457:S520" si="385">1/SQRT(1+(A457/Fp1_u)^2)</f>
        <v>0.20431558632391916</v>
      </c>
      <c r="T457">
        <f t="shared" ref="T457:T520" si="386">-ATAN2(Fp1_u,A457)</f>
        <v>-1.3650318330694169</v>
      </c>
      <c r="U457">
        <f t="shared" ref="U457:U520" si="387">1/SQRT(1+(A457/Fp2_u)^2)</f>
        <v>0.18749984240600648</v>
      </c>
      <c r="V457">
        <f t="shared" ref="V457:V520" si="388">-ATAN2(Fp2_u,A457)</f>
        <v>-1.382180101058941</v>
      </c>
      <c r="X457">
        <f t="shared" si="352"/>
        <v>-57.846848069875598</v>
      </c>
      <c r="Y457">
        <f t="shared" ref="Y457:Y520" si="389">(180/Pi)*(D457+H457+N457+P457+R457+T457+V457)</f>
        <v>-231.28657776026748</v>
      </c>
      <c r="Z457">
        <f t="shared" si="353"/>
        <v>-51.286577760267477</v>
      </c>
      <c r="AC457">
        <v>1</v>
      </c>
      <c r="AD457">
        <f t="shared" ref="AD457:AD520" si="390">Rcea1_u*Cc1ea_u*A457*2*Pi</f>
        <v>1140.301056737115</v>
      </c>
      <c r="AE457">
        <f t="shared" ref="AE457:AE520" si="391">-Rcea1_u*Cc1ea_u*Cc2ea_u*(A457*2*Pi)^2</f>
        <v>-1.5669248845098789</v>
      </c>
      <c r="AF457">
        <f t="shared" ref="AF457:AF520" si="392">(Cc2ea_u+Cc1ea_u)*A457*2*Pi</f>
        <v>0.29910286806561004</v>
      </c>
      <c r="AG457">
        <f t="shared" si="367"/>
        <v>133.41385668054039</v>
      </c>
      <c r="AH457">
        <f t="shared" si="368"/>
        <v>-702.26505459351745</v>
      </c>
      <c r="AJ457">
        <f t="shared" ref="AJ457:AJ520" si="393">_Rfb1</f>
        <v>18000</v>
      </c>
      <c r="AK457">
        <f t="shared" ref="AK457:AK520" si="394">_Rfb1*Rcea2_u*Cc3ea_u*A457*2*Pi</f>
        <v>86240.5635519036</v>
      </c>
      <c r="AL457">
        <v>1</v>
      </c>
      <c r="AM457">
        <f t="shared" ref="AM457:AM520" si="395">(_Rfb1+Rcea2_u)*Cc3ea_u*A457*2*Pi</f>
        <v>169.68705743275024</v>
      </c>
      <c r="AN457">
        <f t="shared" si="369"/>
        <v>508.84047247670696</v>
      </c>
      <c r="AO457">
        <f t="shared" si="370"/>
        <v>-103.07892535914429</v>
      </c>
      <c r="AQ457">
        <f t="shared" ref="AQ457:AQ520" si="396">Eadcg/(1+(Eadcg*A457/GBP)^2)</f>
        <v>1.6935084940458782E-3</v>
      </c>
      <c r="AR457">
        <f t="shared" ref="AR457:AR520" si="397">-(A457*Eadcg*Eadcg/GBP)/(1+(Eadcg*A457/GBP)^2)</f>
        <v>-4.1152256405314835</v>
      </c>
      <c r="AT457">
        <f t="shared" si="365"/>
        <v>-2889.753221612973</v>
      </c>
      <c r="AU457">
        <f t="shared" si="366"/>
        <v>-550.21741564897809</v>
      </c>
      <c r="AV457">
        <f t="shared" si="354"/>
        <v>-2.9534418664087436</v>
      </c>
      <c r="AW457">
        <f t="shared" si="355"/>
        <v>217.57856427416019</v>
      </c>
      <c r="AX457">
        <f t="shared" si="356"/>
        <v>-3010.3244090131516</v>
      </c>
      <c r="AY457">
        <f t="shared" si="364"/>
        <v>-1.4986443461526406</v>
      </c>
      <c r="BA457">
        <f t="shared" ref="BA457:BA520" si="398">SQRT(AT457^2+AU457^2)/SQRT(AW457^2+AX457^2)</f>
        <v>0.97465066201442918</v>
      </c>
      <c r="BB457">
        <f t="shared" si="357"/>
        <v>-0.22302035773055148</v>
      </c>
      <c r="BC457">
        <f t="shared" si="358"/>
        <v>-1.454797520256103</v>
      </c>
      <c r="BD457">
        <f t="shared" ref="BD457:BD520" si="399">BC457*180/Pi-180</f>
        <v>-263.35375805201812</v>
      </c>
      <c r="BF457">
        <f t="shared" ref="BF457:BF520" si="400">20*LOG(BA457*J457*F457*C457)</f>
        <v>-60.847573957187706</v>
      </c>
      <c r="BG457">
        <f t="shared" ref="BG457:BG520" si="401">(180/Pi)*(D457+H457+BC457)</f>
        <v>-246.84878875283806</v>
      </c>
      <c r="BH457">
        <f t="shared" si="359"/>
        <v>-66.848788752838061</v>
      </c>
      <c r="BI457">
        <f t="shared" si="360"/>
        <v>-66.848788752838061</v>
      </c>
      <c r="BJ457">
        <f t="shared" ref="BJ457:BJ520" si="402">SUM((BF458&lt;0)*(BF457&gt;0))*A457</f>
        <v>0</v>
      </c>
      <c r="BK457">
        <f t="shared" si="361"/>
        <v>0</v>
      </c>
      <c r="BM457">
        <f t="shared" si="362"/>
        <v>-60.624553599457151</v>
      </c>
      <c r="BN457">
        <f t="shared" ref="BN457:BN520" si="403">(H457+D457)*180/Pi</f>
        <v>-163.49503070081994</v>
      </c>
      <c r="BQ457" s="56">
        <f t="shared" si="363"/>
        <v>16.678940442554584</v>
      </c>
    </row>
    <row r="458" spans="1:69" x14ac:dyDescent="0.2">
      <c r="A458">
        <f t="shared" si="372"/>
        <v>1220000</v>
      </c>
      <c r="B458">
        <f t="shared" ref="B458:B521" si="404">A458/1000</f>
        <v>1220</v>
      </c>
      <c r="C458">
        <f t="shared" si="373"/>
        <v>1.0424225001258574</v>
      </c>
      <c r="D458">
        <f t="shared" si="374"/>
        <v>0.28626957474385933</v>
      </c>
      <c r="F458">
        <f t="shared" si="375"/>
        <v>5.9048878992955483E-5</v>
      </c>
      <c r="G458">
        <f t="shared" si="376"/>
        <v>2.8951095663642562E-3</v>
      </c>
      <c r="H458">
        <f t="shared" si="377"/>
        <v>-3.1386975404336361</v>
      </c>
      <c r="J458">
        <f t="shared" si="378"/>
        <v>15</v>
      </c>
      <c r="M458">
        <f t="shared" si="379"/>
        <v>1.849793992624722E-4</v>
      </c>
      <c r="N458">
        <f t="shared" si="380"/>
        <v>-1.5707963250000001</v>
      </c>
      <c r="O458">
        <f t="shared" si="381"/>
        <v>1144.9940903619799</v>
      </c>
      <c r="P458">
        <f t="shared" si="382"/>
        <v>1.5699229597307818</v>
      </c>
      <c r="Q458">
        <f t="shared" si="383"/>
        <v>170.38829257980623</v>
      </c>
      <c r="R458">
        <f t="shared" si="384"/>
        <v>1.5649273452721273</v>
      </c>
      <c r="S458">
        <f t="shared" si="385"/>
        <v>0.20351297709851163</v>
      </c>
      <c r="T458">
        <f t="shared" si="386"/>
        <v>-1.3658516680815196</v>
      </c>
      <c r="U458">
        <f t="shared" si="387"/>
        <v>0.18675825586216238</v>
      </c>
      <c r="V458">
        <f t="shared" si="388"/>
        <v>-1.3829350230633233</v>
      </c>
      <c r="X458">
        <f t="shared" ref="X458:X521" si="405">20*LOG(C458*J458*O458*Q458*F458*M458*S458*U458)</f>
        <v>-57.948300584874019</v>
      </c>
      <c r="Y458">
        <f t="shared" si="389"/>
        <v>-231.31226826294863</v>
      </c>
      <c r="Z458">
        <f t="shared" ref="Z458:Z521" si="406">Y458+180</f>
        <v>-51.312268262948635</v>
      </c>
      <c r="AC458">
        <v>1</v>
      </c>
      <c r="AD458">
        <f t="shared" si="390"/>
        <v>1144.9936536784201</v>
      </c>
      <c r="AE458">
        <f t="shared" si="391"/>
        <v>-1.5798479216274646</v>
      </c>
      <c r="AF458">
        <f t="shared" si="392"/>
        <v>0.30033374406587998</v>
      </c>
      <c r="AG458">
        <f t="shared" si="367"/>
        <v>132.36060497256037</v>
      </c>
      <c r="AH458">
        <f t="shared" si="368"/>
        <v>-699.58714537639355</v>
      </c>
      <c r="AJ458">
        <f t="shared" si="393"/>
        <v>18000</v>
      </c>
      <c r="AK458">
        <f t="shared" si="394"/>
        <v>86595.462990388798</v>
      </c>
      <c r="AL458">
        <v>1</v>
      </c>
      <c r="AM458">
        <f t="shared" si="395"/>
        <v>170.38535808062161</v>
      </c>
      <c r="AN458">
        <f t="shared" si="369"/>
        <v>508.83550363098141</v>
      </c>
      <c r="AO458">
        <f t="shared" si="370"/>
        <v>-102.65649990941525</v>
      </c>
      <c r="AQ458">
        <f t="shared" si="396"/>
        <v>1.6796557243254965E-3</v>
      </c>
      <c r="AR458">
        <f t="shared" si="397"/>
        <v>-4.0983599673542113</v>
      </c>
      <c r="AT458">
        <f t="shared" si="365"/>
        <v>-2866.9376300384051</v>
      </c>
      <c r="AU458">
        <f t="shared" si="366"/>
        <v>-543.63647022772204</v>
      </c>
      <c r="AV458">
        <f t="shared" ref="AV458:AV521" si="407">ATAN2(AT458,AU458)</f>
        <v>-2.9541948808797072</v>
      </c>
      <c r="AW458">
        <f t="shared" ref="AW458:AW521" si="408">AG458-AH458*AO458/_Rfb2+AG458*AN458/_Rfb2+AN458-AO458*AR458+AQ458*AN458</f>
        <v>219.99347437434474</v>
      </c>
      <c r="AX458">
        <f t="shared" ref="AX458:AX521" si="409">AH458+AH458*AN458/_Rfb2+AG458*AO458/_Rfb2+AO458+AO458*AQ458+AN458*AR458</f>
        <v>-2998.162585892424</v>
      </c>
      <c r="AY458">
        <f t="shared" si="364"/>
        <v>-1.4975514910419603</v>
      </c>
      <c r="BA458">
        <f t="shared" si="398"/>
        <v>0.97066168121143626</v>
      </c>
      <c r="BB458">
        <f t="shared" ref="BB458:BB521" si="410">20*LOG(BA458)</f>
        <v>-0.25864229341233563</v>
      </c>
      <c r="BC458">
        <f t="shared" ref="BC458:BC521" si="411">AV458-AY458</f>
        <v>-1.4566433898377469</v>
      </c>
      <c r="BD458">
        <f t="shared" si="399"/>
        <v>-263.45951858869876</v>
      </c>
      <c r="BF458">
        <f t="shared" si="400"/>
        <v>-60.95170843172955</v>
      </c>
      <c r="BG458">
        <f t="shared" si="401"/>
        <v>-246.8916025745585</v>
      </c>
      <c r="BH458">
        <f t="shared" ref="BH458:BH521" si="412">IF(BG458&gt;180,BG458-180,BG458+180)</f>
        <v>-66.891602574558505</v>
      </c>
      <c r="BI458">
        <f t="shared" ref="BI458:BI521" si="413">IF(BH458&gt;180,BH458-360,BH458)</f>
        <v>-66.891602574558505</v>
      </c>
      <c r="BJ458">
        <f t="shared" si="402"/>
        <v>0</v>
      </c>
      <c r="BK458">
        <f t="shared" ref="BK458:BK521" si="414">IF(BJ458&gt;0,BI458,0)</f>
        <v>0</v>
      </c>
      <c r="BM458">
        <f t="shared" ref="BM458:BM521" si="415">20*LOG(J458*F458*C458)</f>
        <v>-60.693066138317214</v>
      </c>
      <c r="BN458">
        <f t="shared" si="403"/>
        <v>-163.43208398585978</v>
      </c>
      <c r="BQ458" s="56">
        <f t="shared" ref="BQ458:BQ521" si="416">20*LOG(BA458*7)</f>
        <v>16.643318506872802</v>
      </c>
    </row>
    <row r="459" spans="1:69" x14ac:dyDescent="0.2">
      <c r="A459">
        <f t="shared" si="372"/>
        <v>1225000</v>
      </c>
      <c r="B459">
        <f t="shared" si="404"/>
        <v>1225</v>
      </c>
      <c r="C459">
        <f t="shared" si="373"/>
        <v>1.0427637921907569</v>
      </c>
      <c r="D459">
        <f t="shared" si="374"/>
        <v>0.28737939198186152</v>
      </c>
      <c r="F459">
        <f t="shared" si="375"/>
        <v>5.8567804618623516E-5</v>
      </c>
      <c r="G459">
        <f t="shared" si="376"/>
        <v>2.8832914578136564E-3</v>
      </c>
      <c r="H459">
        <f t="shared" si="377"/>
        <v>-3.1387093585421866</v>
      </c>
      <c r="J459">
        <f t="shared" si="378"/>
        <v>15</v>
      </c>
      <c r="M459">
        <f t="shared" si="379"/>
        <v>1.8422438130629885E-4</v>
      </c>
      <c r="N459">
        <f t="shared" si="380"/>
        <v>-1.5707963250000001</v>
      </c>
      <c r="O459">
        <f t="shared" si="381"/>
        <v>1149.6866855209034</v>
      </c>
      <c r="P459">
        <f t="shared" si="382"/>
        <v>1.5699265244925071</v>
      </c>
      <c r="Q459">
        <f t="shared" si="383"/>
        <v>171.08658125033497</v>
      </c>
      <c r="R459">
        <f t="shared" si="384"/>
        <v>1.5649512997520314</v>
      </c>
      <c r="S459">
        <f t="shared" si="385"/>
        <v>0.20271651429345885</v>
      </c>
      <c r="T459">
        <f t="shared" si="386"/>
        <v>-1.3666650866691523</v>
      </c>
      <c r="U459">
        <f t="shared" si="387"/>
        <v>0.18602240758722113</v>
      </c>
      <c r="V459">
        <f t="shared" si="388"/>
        <v>-1.3836839965386307</v>
      </c>
      <c r="X459">
        <f t="shared" si="405"/>
        <v>-58.049338113866575</v>
      </c>
      <c r="Y459">
        <f t="shared" si="389"/>
        <v>-231.33729928170109</v>
      </c>
      <c r="Z459">
        <f t="shared" si="406"/>
        <v>-51.337299281701092</v>
      </c>
      <c r="AC459">
        <v>1</v>
      </c>
      <c r="AD459">
        <f t="shared" si="390"/>
        <v>1149.6862506197249</v>
      </c>
      <c r="AE459">
        <f t="shared" si="391"/>
        <v>-1.5928240307660668</v>
      </c>
      <c r="AF459">
        <f t="shared" si="392"/>
        <v>0.30156462006614998</v>
      </c>
      <c r="AG459">
        <f t="shared" si="367"/>
        <v>131.31962882663734</v>
      </c>
      <c r="AH459">
        <f t="shared" si="368"/>
        <v>-696.92877254714585</v>
      </c>
      <c r="AJ459">
        <f t="shared" si="393"/>
        <v>18000</v>
      </c>
      <c r="AK459">
        <f t="shared" si="394"/>
        <v>86950.36242887401</v>
      </c>
      <c r="AL459">
        <v>1</v>
      </c>
      <c r="AM459">
        <f t="shared" si="395"/>
        <v>171.08365872849302</v>
      </c>
      <c r="AN459">
        <f t="shared" si="369"/>
        <v>508.8305955012388</v>
      </c>
      <c r="AO459">
        <f t="shared" si="370"/>
        <v>-102.23752247581378</v>
      </c>
      <c r="AQ459">
        <f t="shared" si="396"/>
        <v>1.6659722339071664E-3</v>
      </c>
      <c r="AR459">
        <f t="shared" si="397"/>
        <v>-4.0816319730725574</v>
      </c>
      <c r="AT459">
        <f t="shared" si="365"/>
        <v>-2844.3879861272508</v>
      </c>
      <c r="AU459">
        <f t="shared" si="366"/>
        <v>-537.15945969489815</v>
      </c>
      <c r="AV459">
        <f t="shared" si="407"/>
        <v>-2.9549419623932769</v>
      </c>
      <c r="AW459">
        <f t="shared" si="408"/>
        <v>222.378290256528</v>
      </c>
      <c r="AX459">
        <f t="shared" si="409"/>
        <v>-2986.0980172471704</v>
      </c>
      <c r="AY459">
        <f t="shared" ref="AY459:AY522" si="417">ATAN2(AW459,AX459)</f>
        <v>-1.496462346044197</v>
      </c>
      <c r="BA459">
        <f t="shared" si="398"/>
        <v>0.96670336946367086</v>
      </c>
      <c r="BB459">
        <f t="shared" si="410"/>
        <v>-0.29413535324973794</v>
      </c>
      <c r="BC459">
        <f t="shared" si="411"/>
        <v>-1.4584796163490799</v>
      </c>
      <c r="BD459">
        <f t="shared" si="399"/>
        <v>-263.56472661814837</v>
      </c>
      <c r="BF459">
        <f t="shared" si="400"/>
        <v>-61.055412415521566</v>
      </c>
      <c r="BG459">
        <f t="shared" si="401"/>
        <v>-246.93389988790963</v>
      </c>
      <c r="BH459">
        <f t="shared" si="412"/>
        <v>-66.933899887909632</v>
      </c>
      <c r="BI459">
        <f t="shared" si="413"/>
        <v>-66.933899887909632</v>
      </c>
      <c r="BJ459">
        <f t="shared" si="402"/>
        <v>0</v>
      </c>
      <c r="BK459">
        <f t="shared" si="414"/>
        <v>0</v>
      </c>
      <c r="BM459">
        <f t="shared" si="415"/>
        <v>-60.76127706227183</v>
      </c>
      <c r="BN459">
        <f t="shared" si="403"/>
        <v>-163.36917326976126</v>
      </c>
      <c r="BQ459" s="56">
        <f t="shared" si="416"/>
        <v>16.607825447035399</v>
      </c>
    </row>
    <row r="460" spans="1:69" x14ac:dyDescent="0.2">
      <c r="A460">
        <f t="shared" si="372"/>
        <v>1230000</v>
      </c>
      <c r="B460">
        <f t="shared" si="404"/>
        <v>1230</v>
      </c>
      <c r="C460">
        <f t="shared" si="373"/>
        <v>1.0431063677804959</v>
      </c>
      <c r="D460">
        <f t="shared" si="374"/>
        <v>0.28848848161580876</v>
      </c>
      <c r="F460">
        <f t="shared" si="375"/>
        <v>5.8092585499086733E-5</v>
      </c>
      <c r="G460">
        <f t="shared" si="376"/>
        <v>2.8715694476265726E-3</v>
      </c>
      <c r="H460">
        <f t="shared" si="377"/>
        <v>-3.1387210805523735</v>
      </c>
      <c r="J460">
        <f t="shared" si="378"/>
        <v>15</v>
      </c>
      <c r="M460">
        <f t="shared" si="379"/>
        <v>1.8347550170749277E-4</v>
      </c>
      <c r="N460">
        <f t="shared" si="380"/>
        <v>-1.5707963250000001</v>
      </c>
      <c r="O460">
        <f t="shared" si="381"/>
        <v>1154.3792806943181</v>
      </c>
      <c r="P460">
        <f t="shared" si="382"/>
        <v>1.5699300602724515</v>
      </c>
      <c r="Q460">
        <f t="shared" si="383"/>
        <v>171.78487001823797</v>
      </c>
      <c r="R460">
        <f t="shared" si="384"/>
        <v>1.5649750594866929</v>
      </c>
      <c r="S460">
        <f t="shared" si="385"/>
        <v>0.20192612917026492</v>
      </c>
      <c r="T460">
        <f t="shared" si="386"/>
        <v>-1.3674721628018698</v>
      </c>
      <c r="U460">
        <f t="shared" si="387"/>
        <v>0.18529223248139715</v>
      </c>
      <c r="V460">
        <f t="shared" si="388"/>
        <v>-1.3844270906870821</v>
      </c>
      <c r="X460">
        <f t="shared" si="405"/>
        <v>-58.14996373256605</v>
      </c>
      <c r="Y460">
        <f t="shared" si="389"/>
        <v>-231.36167904516427</v>
      </c>
      <c r="Z460">
        <f t="shared" si="406"/>
        <v>-51.361679045164266</v>
      </c>
      <c r="AC460">
        <v>1</v>
      </c>
      <c r="AD460">
        <f t="shared" si="390"/>
        <v>1154.3788475610302</v>
      </c>
      <c r="AE460">
        <f t="shared" si="391"/>
        <v>-1.6058532119256861</v>
      </c>
      <c r="AF460">
        <f t="shared" si="392"/>
        <v>0.30279549606641998</v>
      </c>
      <c r="AG460">
        <f t="shared" si="367"/>
        <v>130.29074054774941</v>
      </c>
      <c r="AH460">
        <f t="shared" si="368"/>
        <v>-694.28973324842616</v>
      </c>
      <c r="AJ460">
        <f t="shared" si="393"/>
        <v>18000</v>
      </c>
      <c r="AK460">
        <f t="shared" si="394"/>
        <v>87305.261867359193</v>
      </c>
      <c r="AL460">
        <v>1</v>
      </c>
      <c r="AM460">
        <f t="shared" si="395"/>
        <v>171.7819593763644</v>
      </c>
      <c r="AN460">
        <f t="shared" si="369"/>
        <v>508.82574710229261</v>
      </c>
      <c r="AO460">
        <f t="shared" si="370"/>
        <v>-101.82195101509787</v>
      </c>
      <c r="AQ460">
        <f t="shared" si="396"/>
        <v>1.6524552758848444E-3</v>
      </c>
      <c r="AR460">
        <f t="shared" si="397"/>
        <v>-4.0650399786767171</v>
      </c>
      <c r="AT460">
        <f t="shared" si="365"/>
        <v>-2822.1002228180291</v>
      </c>
      <c r="AU460">
        <f t="shared" si="366"/>
        <v>-530.78435191069605</v>
      </c>
      <c r="AV460">
        <f t="shared" si="407"/>
        <v>-2.955683179961774</v>
      </c>
      <c r="AW460">
        <f t="shared" si="408"/>
        <v>224.73351155292011</v>
      </c>
      <c r="AX460">
        <f t="shared" si="409"/>
        <v>-2974.1295476482724</v>
      </c>
      <c r="AY460">
        <f t="shared" si="417"/>
        <v>-1.495376865595518</v>
      </c>
      <c r="BA460">
        <f t="shared" si="398"/>
        <v>0.96277537700579996</v>
      </c>
      <c r="BB460">
        <f t="shared" si="410"/>
        <v>-0.32950050685275573</v>
      </c>
      <c r="BC460">
        <f t="shared" si="411"/>
        <v>-1.460306314366256</v>
      </c>
      <c r="BD460">
        <f t="shared" si="399"/>
        <v>-263.66938870509711</v>
      </c>
      <c r="BF460">
        <f t="shared" si="400"/>
        <v>-61.158689276470682</v>
      </c>
      <c r="BG460">
        <f t="shared" si="401"/>
        <v>-246.97568744137078</v>
      </c>
      <c r="BH460">
        <f t="shared" si="412"/>
        <v>-66.975687441370781</v>
      </c>
      <c r="BI460">
        <f t="shared" si="413"/>
        <v>-66.975687441370781</v>
      </c>
      <c r="BJ460">
        <f t="shared" si="402"/>
        <v>0</v>
      </c>
      <c r="BK460">
        <f t="shared" si="414"/>
        <v>0</v>
      </c>
      <c r="BM460">
        <f t="shared" si="415"/>
        <v>-60.829188769617922</v>
      </c>
      <c r="BN460">
        <f t="shared" si="403"/>
        <v>-163.30629873627365</v>
      </c>
      <c r="BQ460" s="56">
        <f t="shared" si="416"/>
        <v>16.572460293432382</v>
      </c>
    </row>
    <row r="461" spans="1:69" x14ac:dyDescent="0.2">
      <c r="A461">
        <f t="shared" si="372"/>
        <v>1235000</v>
      </c>
      <c r="B461">
        <f t="shared" si="404"/>
        <v>1235</v>
      </c>
      <c r="C461">
        <f t="shared" si="373"/>
        <v>1.0434502256308908</v>
      </c>
      <c r="D461">
        <f t="shared" si="374"/>
        <v>0.28959684163515054</v>
      </c>
      <c r="F461">
        <f t="shared" si="375"/>
        <v>5.7623126996047691E-5</v>
      </c>
      <c r="G461">
        <f t="shared" si="376"/>
        <v>2.8599423683559428E-3</v>
      </c>
      <c r="H461">
        <f t="shared" si="377"/>
        <v>-3.1387327076316445</v>
      </c>
      <c r="J461">
        <f t="shared" si="378"/>
        <v>15</v>
      </c>
      <c r="M461">
        <f t="shared" si="379"/>
        <v>1.8273268591110616E-4</v>
      </c>
      <c r="N461">
        <f t="shared" si="380"/>
        <v>-1.5707963250000001</v>
      </c>
      <c r="O461">
        <f t="shared" si="381"/>
        <v>1159.0718758820478</v>
      </c>
      <c r="P461">
        <f t="shared" si="382"/>
        <v>1.5699335674226205</v>
      </c>
      <c r="Q461">
        <f t="shared" si="383"/>
        <v>172.48315888233265</v>
      </c>
      <c r="R461">
        <f t="shared" si="384"/>
        <v>1.5649986268413321</v>
      </c>
      <c r="S461">
        <f t="shared" si="385"/>
        <v>0.20114175398617046</v>
      </c>
      <c r="T461">
        <f t="shared" si="386"/>
        <v>-1.3682729693332378</v>
      </c>
      <c r="U461">
        <f t="shared" si="387"/>
        <v>0.18456766640604663</v>
      </c>
      <c r="V461">
        <f t="shared" si="388"/>
        <v>-1.3851643736546659</v>
      </c>
      <c r="X461">
        <f t="shared" si="405"/>
        <v>-58.250180483251398</v>
      </c>
      <c r="Y461">
        <f t="shared" si="389"/>
        <v>-231.38541565841774</v>
      </c>
      <c r="Z461">
        <f t="shared" si="406"/>
        <v>-51.385415658417742</v>
      </c>
      <c r="AC461">
        <v>1</v>
      </c>
      <c r="AD461">
        <f t="shared" si="390"/>
        <v>1159.071444502335</v>
      </c>
      <c r="AE461">
        <f t="shared" si="391"/>
        <v>-1.6189354651063219</v>
      </c>
      <c r="AF461">
        <f t="shared" si="392"/>
        <v>0.30402637206668998</v>
      </c>
      <c r="AG461">
        <f t="shared" si="367"/>
        <v>129.27375596883209</v>
      </c>
      <c r="AH461">
        <f t="shared" si="368"/>
        <v>-691.66982724549598</v>
      </c>
      <c r="AJ461">
        <f t="shared" si="393"/>
        <v>18000</v>
      </c>
      <c r="AK461">
        <f t="shared" si="394"/>
        <v>87660.161305844405</v>
      </c>
      <c r="AL461">
        <v>1</v>
      </c>
      <c r="AM461">
        <f t="shared" si="395"/>
        <v>172.4802600242358</v>
      </c>
      <c r="AN461">
        <f t="shared" si="369"/>
        <v>508.8209574688575</v>
      </c>
      <c r="AO461">
        <f t="shared" si="370"/>
        <v>-101.40974416477222</v>
      </c>
      <c r="AQ461">
        <f t="shared" si="396"/>
        <v>1.6391021588450625E-3</v>
      </c>
      <c r="AR461">
        <f t="shared" si="397"/>
        <v>-4.048582332347304</v>
      </c>
      <c r="AT461">
        <f t="shared" si="365"/>
        <v>-2800.0703495113362</v>
      </c>
      <c r="AU461">
        <f t="shared" si="366"/>
        <v>-524.50916195863647</v>
      </c>
      <c r="AV461">
        <f t="shared" si="407"/>
        <v>-2.9564186015443634</v>
      </c>
      <c r="AW461">
        <f t="shared" si="408"/>
        <v>227.05962754327257</v>
      </c>
      <c r="AX461">
        <f t="shared" si="409"/>
        <v>-2962.2560398111304</v>
      </c>
      <c r="AY461">
        <f t="shared" si="417"/>
        <v>-1.4942950049301331</v>
      </c>
      <c r="BA461">
        <f t="shared" si="398"/>
        <v>0.95887735925816608</v>
      </c>
      <c r="BB461">
        <f t="shared" si="410"/>
        <v>-0.36473871380083456</v>
      </c>
      <c r="BC461">
        <f t="shared" si="411"/>
        <v>-1.4621235966142303</v>
      </c>
      <c r="BD461">
        <f t="shared" si="399"/>
        <v>-263.77351130820904</v>
      </c>
      <c r="BF461">
        <f t="shared" si="400"/>
        <v>-61.261542343545081</v>
      </c>
      <c r="BG461">
        <f t="shared" si="401"/>
        <v>-247.01697187569189</v>
      </c>
      <c r="BH461">
        <f t="shared" si="412"/>
        <v>-67.016971875691894</v>
      </c>
      <c r="BI461">
        <f t="shared" si="413"/>
        <v>-67.016971875691894</v>
      </c>
      <c r="BJ461">
        <f t="shared" si="402"/>
        <v>0</v>
      </c>
      <c r="BK461">
        <f t="shared" si="414"/>
        <v>0</v>
      </c>
      <c r="BM461">
        <f t="shared" si="415"/>
        <v>-60.896803629744241</v>
      </c>
      <c r="BN461">
        <f t="shared" si="403"/>
        <v>-163.24346056748286</v>
      </c>
      <c r="BQ461" s="56">
        <f t="shared" si="416"/>
        <v>16.537222086484302</v>
      </c>
    </row>
    <row r="462" spans="1:69" x14ac:dyDescent="0.2">
      <c r="A462">
        <f t="shared" si="372"/>
        <v>1240000</v>
      </c>
      <c r="B462">
        <f t="shared" si="404"/>
        <v>1240</v>
      </c>
      <c r="C462">
        <f t="shared" si="373"/>
        <v>1.0437953644746949</v>
      </c>
      <c r="D462">
        <f t="shared" si="374"/>
        <v>0.29070447003915112</v>
      </c>
      <c r="F462">
        <f t="shared" si="375"/>
        <v>5.7159336375590074E-5</v>
      </c>
      <c r="G462">
        <f t="shared" si="376"/>
        <v>2.8484090713897176E-3</v>
      </c>
      <c r="H462">
        <f t="shared" si="377"/>
        <v>-3.1387442409286104</v>
      </c>
      <c r="J462">
        <f t="shared" si="378"/>
        <v>15</v>
      </c>
      <c r="M462">
        <f t="shared" si="379"/>
        <v>1.819958605646904E-4</v>
      </c>
      <c r="N462">
        <f t="shared" si="380"/>
        <v>-1.5707963250000001</v>
      </c>
      <c r="O462">
        <f t="shared" si="381"/>
        <v>1163.7644710839193</v>
      </c>
      <c r="P462">
        <f t="shared" si="382"/>
        <v>1.5699370462893412</v>
      </c>
      <c r="Q462">
        <f t="shared" si="383"/>
        <v>173.18144784145534</v>
      </c>
      <c r="R462">
        <f t="shared" si="384"/>
        <v>1.5650220041430223</v>
      </c>
      <c r="S462">
        <f t="shared" si="385"/>
        <v>0.20036332197669915</v>
      </c>
      <c r="T462">
        <f t="shared" si="386"/>
        <v>-1.3690675780214767</v>
      </c>
      <c r="U462">
        <f t="shared" si="387"/>
        <v>0.18384864616639376</v>
      </c>
      <c r="V462">
        <f t="shared" si="388"/>
        <v>-1.3858959125509596</v>
      </c>
      <c r="X462">
        <f t="shared" si="405"/>
        <v>-58.349991375239526</v>
      </c>
      <c r="Y462">
        <f t="shared" si="389"/>
        <v>-231.40851710527008</v>
      </c>
      <c r="Z462">
        <f t="shared" si="406"/>
        <v>-51.408517105270079</v>
      </c>
      <c r="AC462">
        <v>1</v>
      </c>
      <c r="AD462">
        <f t="shared" si="390"/>
        <v>1163.7640414436401</v>
      </c>
      <c r="AE462">
        <f t="shared" si="391"/>
        <v>-1.6320707903079748</v>
      </c>
      <c r="AF462">
        <f t="shared" si="392"/>
        <v>0.30525724806696003</v>
      </c>
      <c r="AG462">
        <f t="shared" si="367"/>
        <v>128.26849437257954</v>
      </c>
      <c r="AH462">
        <f t="shared" si="368"/>
        <v>-689.0688568879774</v>
      </c>
      <c r="AJ462">
        <f t="shared" si="393"/>
        <v>18000</v>
      </c>
      <c r="AK462">
        <f t="shared" si="394"/>
        <v>88015.060744329603</v>
      </c>
      <c r="AL462">
        <v>1</v>
      </c>
      <c r="AM462">
        <f t="shared" si="395"/>
        <v>173.17856067210721</v>
      </c>
      <c r="AN462">
        <f t="shared" si="369"/>
        <v>508.81622565506905</v>
      </c>
      <c r="AO462">
        <f t="shared" si="370"/>
        <v>-101.00086122936651</v>
      </c>
      <c r="AQ462">
        <f t="shared" si="396"/>
        <v>1.6259102455270802E-3</v>
      </c>
      <c r="AR462">
        <f t="shared" si="397"/>
        <v>-4.0322574089071592</v>
      </c>
      <c r="AT462">
        <f t="shared" si="365"/>
        <v>-2778.2944503745553</v>
      </c>
      <c r="AU462">
        <f t="shared" si="366"/>
        <v>-518.33195087748788</v>
      </c>
      <c r="AV462">
        <f t="shared" si="407"/>
        <v>-2.9571482940668137</v>
      </c>
      <c r="AW462">
        <f t="shared" si="408"/>
        <v>229.35711741168564</v>
      </c>
      <c r="AX462">
        <f t="shared" si="409"/>
        <v>-2950.4763742421974</v>
      </c>
      <c r="AY462">
        <f t="shared" si="417"/>
        <v>-1.4932167200630828</v>
      </c>
      <c r="BA462">
        <f t="shared" si="398"/>
        <v>0.9550089767337937</v>
      </c>
      <c r="BB462">
        <f t="shared" si="410"/>
        <v>-0.39985092376738496</v>
      </c>
      <c r="BC462">
        <f t="shared" si="411"/>
        <v>-1.4639315740037309</v>
      </c>
      <c r="BD462">
        <f t="shared" si="399"/>
        <v>-263.8771007822009</v>
      </c>
      <c r="BF462">
        <f t="shared" si="400"/>
        <v>-61.363974907366241</v>
      </c>
      <c r="BG462">
        <f t="shared" si="401"/>
        <v>-247.05775972603391</v>
      </c>
      <c r="BH462">
        <f t="shared" si="412"/>
        <v>-67.057759726033908</v>
      </c>
      <c r="BI462">
        <f t="shared" si="413"/>
        <v>-67.057759726033908</v>
      </c>
      <c r="BJ462">
        <f t="shared" si="402"/>
        <v>0</v>
      </c>
      <c r="BK462">
        <f t="shared" si="414"/>
        <v>0</v>
      </c>
      <c r="BM462">
        <f t="shared" si="415"/>
        <v>-60.964123983598867</v>
      </c>
      <c r="BN462">
        <f t="shared" si="403"/>
        <v>-163.18065894383304</v>
      </c>
      <c r="BQ462" s="56">
        <f t="shared" si="416"/>
        <v>16.502109876517753</v>
      </c>
    </row>
    <row r="463" spans="1:69" x14ac:dyDescent="0.2">
      <c r="A463">
        <f t="shared" si="372"/>
        <v>1245000</v>
      </c>
      <c r="B463">
        <f t="shared" si="404"/>
        <v>1245</v>
      </c>
      <c r="C463">
        <f t="shared" si="373"/>
        <v>1.0441417830416193</v>
      </c>
      <c r="D463">
        <f t="shared" si="374"/>
        <v>0.29181136483689585</v>
      </c>
      <c r="F463">
        <f t="shared" si="375"/>
        <v>5.670112276237661E-5</v>
      </c>
      <c r="G463">
        <f t="shared" si="376"/>
        <v>2.8369684265725195E-3</v>
      </c>
      <c r="H463">
        <f t="shared" si="377"/>
        <v>-3.1387556815734277</v>
      </c>
      <c r="J463">
        <f t="shared" si="378"/>
        <v>15</v>
      </c>
      <c r="M463">
        <f t="shared" si="379"/>
        <v>1.8126495349414949E-4</v>
      </c>
      <c r="N463">
        <f t="shared" si="380"/>
        <v>-1.5707963250000001</v>
      </c>
      <c r="O463">
        <f t="shared" si="381"/>
        <v>1168.4570662997617</v>
      </c>
      <c r="P463">
        <f t="shared" si="382"/>
        <v>1.5699404972133777</v>
      </c>
      <c r="Q463">
        <f t="shared" si="383"/>
        <v>173.87973689446127</v>
      </c>
      <c r="R463">
        <f t="shared" si="384"/>
        <v>1.5650451936814567</v>
      </c>
      <c r="S463">
        <f t="shared" si="385"/>
        <v>0.19959076733855752</v>
      </c>
      <c r="T463">
        <f t="shared" si="386"/>
        <v>-1.3698560595496529</v>
      </c>
      <c r="U463">
        <f t="shared" si="387"/>
        <v>0.18313510949461867</v>
      </c>
      <c r="V463">
        <f t="shared" si="388"/>
        <v>-1.3866217734685096</v>
      </c>
      <c r="X463">
        <f t="shared" si="405"/>
        <v>-58.449399385348961</v>
      </c>
      <c r="Y463">
        <f t="shared" si="389"/>
        <v>-231.43099125049667</v>
      </c>
      <c r="Z463">
        <f t="shared" si="406"/>
        <v>-51.430991250496675</v>
      </c>
      <c r="AC463">
        <v>1</v>
      </c>
      <c r="AD463">
        <f t="shared" si="390"/>
        <v>1168.4566383849449</v>
      </c>
      <c r="AE463">
        <f t="shared" si="391"/>
        <v>-1.6452591875306442</v>
      </c>
      <c r="AF463">
        <f t="shared" si="392"/>
        <v>0.30648812406723003</v>
      </c>
      <c r="AG463">
        <f t="shared" si="367"/>
        <v>127.27477841523077</v>
      </c>
      <c r="AH463">
        <f t="shared" si="368"/>
        <v>-686.48662707215647</v>
      </c>
      <c r="AJ463">
        <f t="shared" si="393"/>
        <v>18000</v>
      </c>
      <c r="AK463">
        <f t="shared" si="394"/>
        <v>88369.960182814801</v>
      </c>
      <c r="AL463">
        <v>1</v>
      </c>
      <c r="AM463">
        <f t="shared" si="395"/>
        <v>173.87686131997862</v>
      </c>
      <c r="AN463">
        <f t="shared" si="369"/>
        <v>508.81155073401646</v>
      </c>
      <c r="AO463">
        <f t="shared" si="370"/>
        <v>-100.59526216704391</v>
      </c>
      <c r="AQ463">
        <f t="shared" si="396"/>
        <v>1.6128769515206284E-3</v>
      </c>
      <c r="AR463">
        <f t="shared" si="397"/>
        <v>-4.0160636092863644</v>
      </c>
      <c r="AT463">
        <f t="shared" si="365"/>
        <v>-2756.7686826896115</v>
      </c>
      <c r="AU463">
        <f t="shared" si="366"/>
        <v>-512.25082443172573</v>
      </c>
      <c r="AV463">
        <f t="shared" si="407"/>
        <v>-2.9578723234408133</v>
      </c>
      <c r="AW463">
        <f t="shared" si="408"/>
        <v>231.62645049600729</v>
      </c>
      <c r="AX463">
        <f t="shared" si="409"/>
        <v>-2938.7894488937145</v>
      </c>
      <c r="AY463">
        <f t="shared" si="417"/>
        <v>-1.4921419677734638</v>
      </c>
      <c r="BA463">
        <f t="shared" si="398"/>
        <v>0.95116989494731452</v>
      </c>
      <c r="BB463">
        <f t="shared" si="410"/>
        <v>-0.43483807664270963</v>
      </c>
      <c r="BC463">
        <f t="shared" si="411"/>
        <v>-1.4657303556673495</v>
      </c>
      <c r="BD463">
        <f t="shared" si="399"/>
        <v>-263.98016337990953</v>
      </c>
      <c r="BF463">
        <f t="shared" si="400"/>
        <v>-61.465990220789983</v>
      </c>
      <c r="BG463">
        <f t="shared" si="401"/>
        <v>-247.098057424058</v>
      </c>
      <c r="BH463">
        <f t="shared" si="412"/>
        <v>-67.098057424057998</v>
      </c>
      <c r="BI463">
        <f t="shared" si="413"/>
        <v>-67.098057424057998</v>
      </c>
      <c r="BJ463">
        <f t="shared" si="402"/>
        <v>0</v>
      </c>
      <c r="BK463">
        <f t="shared" si="414"/>
        <v>0</v>
      </c>
      <c r="BM463">
        <f t="shared" si="415"/>
        <v>-61.031152144147278</v>
      </c>
      <c r="BN463">
        <f t="shared" si="403"/>
        <v>-163.11789404414847</v>
      </c>
      <c r="BQ463" s="56">
        <f t="shared" si="416"/>
        <v>16.467122723642426</v>
      </c>
    </row>
    <row r="464" spans="1:69" x14ac:dyDescent="0.2">
      <c r="A464">
        <f t="shared" si="372"/>
        <v>1250000</v>
      </c>
      <c r="B464">
        <f t="shared" si="404"/>
        <v>1250</v>
      </c>
      <c r="C464">
        <f t="shared" si="373"/>
        <v>1.0444894800583535</v>
      </c>
      <c r="D464">
        <f t="shared" si="374"/>
        <v>0.29291752404729698</v>
      </c>
      <c r="F464">
        <f t="shared" si="375"/>
        <v>5.6248397095127133E-5</v>
      </c>
      <c r="G464">
        <f t="shared" si="376"/>
        <v>2.8256193218363901E-3</v>
      </c>
      <c r="H464">
        <f t="shared" si="377"/>
        <v>-3.1387670306781636</v>
      </c>
      <c r="J464">
        <f t="shared" si="378"/>
        <v>15</v>
      </c>
      <c r="M464">
        <f t="shared" si="379"/>
        <v>1.8053989368017287E-4</v>
      </c>
      <c r="N464">
        <f t="shared" si="380"/>
        <v>-1.5707963250000001</v>
      </c>
      <c r="O464">
        <f t="shared" si="381"/>
        <v>1173.1496615294081</v>
      </c>
      <c r="P464">
        <f t="shared" si="382"/>
        <v>1.5699439205300423</v>
      </c>
      <c r="Q464">
        <f t="shared" si="383"/>
        <v>174.57802604022382</v>
      </c>
      <c r="R464">
        <f t="shared" si="384"/>
        <v>1.5650681977096952</v>
      </c>
      <c r="S464">
        <f t="shared" si="385"/>
        <v>0.19882402521288026</v>
      </c>
      <c r="T464">
        <f t="shared" si="386"/>
        <v>-1.3706384835454362</v>
      </c>
      <c r="U464">
        <f t="shared" si="387"/>
        <v>0.18242699503329807</v>
      </c>
      <c r="V464">
        <f t="shared" si="388"/>
        <v>-1.3873420215017844</v>
      </c>
      <c r="X464">
        <f t="shared" si="405"/>
        <v>-58.548407458355676</v>
      </c>
      <c r="Y464">
        <f t="shared" si="389"/>
        <v>-231.45284584202946</v>
      </c>
      <c r="Z464">
        <f t="shared" si="406"/>
        <v>-51.452845842029461</v>
      </c>
      <c r="AC464">
        <v>1</v>
      </c>
      <c r="AD464">
        <f t="shared" si="390"/>
        <v>1173.1492353262499</v>
      </c>
      <c r="AE464">
        <f t="shared" si="391"/>
        <v>-1.6585006567743306</v>
      </c>
      <c r="AF464">
        <f t="shared" si="392"/>
        <v>0.30771900006750003</v>
      </c>
      <c r="AG464">
        <f t="shared" si="367"/>
        <v>126.29243405228463</v>
      </c>
      <c r="AH464">
        <f t="shared" si="368"/>
        <v>-683.92294520383234</v>
      </c>
      <c r="AJ464">
        <f t="shared" si="393"/>
        <v>18000</v>
      </c>
      <c r="AK464">
        <f t="shared" si="394"/>
        <v>88724.859621299998</v>
      </c>
      <c r="AL464">
        <v>1</v>
      </c>
      <c r="AM464">
        <f t="shared" si="395"/>
        <v>174.57516196785002</v>
      </c>
      <c r="AN464">
        <f t="shared" si="369"/>
        <v>508.80693179728894</v>
      </c>
      <c r="AO464">
        <f t="shared" si="370"/>
        <v>-100.19290757653091</v>
      </c>
      <c r="AQ464">
        <f t="shared" si="396"/>
        <v>1.599999744000041E-3</v>
      </c>
      <c r="AR464">
        <f t="shared" si="397"/>
        <v>-3.9999993600001025</v>
      </c>
      <c r="AT464">
        <f t="shared" si="365"/>
        <v>-2735.4892752425617</v>
      </c>
      <c r="AU464">
        <f t="shared" si="366"/>
        <v>-506.26393191923557</v>
      </c>
      <c r="AV464">
        <f t="shared" si="407"/>
        <v>-2.9585907545828687</v>
      </c>
      <c r="AW464">
        <f t="shared" si="408"/>
        <v>233.86808653006568</v>
      </c>
      <c r="AX464">
        <f t="shared" si="409"/>
        <v>-2927.1941788264439</v>
      </c>
      <c r="AY464">
        <f t="shared" si="417"/>
        <v>-1.4910707055880852</v>
      </c>
      <c r="BA464">
        <f t="shared" si="398"/>
        <v>0.94735978432576651</v>
      </c>
      <c r="BB464">
        <f t="shared" si="410"/>
        <v>-0.46970110265536924</v>
      </c>
      <c r="BC464">
        <f t="shared" si="411"/>
        <v>-1.4675200489947835</v>
      </c>
      <c r="BD464">
        <f t="shared" si="399"/>
        <v>-264.08270525431141</v>
      </c>
      <c r="BF464">
        <f t="shared" si="400"/>
        <v>-61.56759149947672</v>
      </c>
      <c r="BG464">
        <f t="shared" si="401"/>
        <v>-247.1378712999653</v>
      </c>
      <c r="BH464">
        <f t="shared" si="412"/>
        <v>-67.137871299965298</v>
      </c>
      <c r="BI464">
        <f t="shared" si="413"/>
        <v>-67.137871299965298</v>
      </c>
      <c r="BJ464">
        <f t="shared" si="402"/>
        <v>0</v>
      </c>
      <c r="BK464">
        <f t="shared" si="414"/>
        <v>0</v>
      </c>
      <c r="BM464">
        <f t="shared" si="415"/>
        <v>-61.097890396821349</v>
      </c>
      <c r="BN464">
        <f t="shared" si="403"/>
        <v>-163.05516604565392</v>
      </c>
      <c r="BQ464" s="56">
        <f t="shared" si="416"/>
        <v>16.432259697629767</v>
      </c>
    </row>
    <row r="465" spans="1:69" x14ac:dyDescent="0.2">
      <c r="A465">
        <f t="shared" si="372"/>
        <v>1255000</v>
      </c>
      <c r="B465">
        <f t="shared" si="404"/>
        <v>1255</v>
      </c>
      <c r="C465">
        <f t="shared" si="373"/>
        <v>1.0448384542485853</v>
      </c>
      <c r="D465">
        <f t="shared" si="374"/>
        <v>0.29402294569909937</v>
      </c>
      <c r="F465">
        <f t="shared" si="375"/>
        <v>5.580107208333596E-5</v>
      </c>
      <c r="G465">
        <f t="shared" si="376"/>
        <v>2.8143606628403656E-3</v>
      </c>
      <c r="H465">
        <f t="shared" si="377"/>
        <v>-3.1387782893371599</v>
      </c>
      <c r="J465">
        <f t="shared" si="378"/>
        <v>15</v>
      </c>
      <c r="M465">
        <f t="shared" si="379"/>
        <v>1.7982061123523194E-4</v>
      </c>
      <c r="N465">
        <f t="shared" si="380"/>
        <v>-1.5707963250000001</v>
      </c>
      <c r="O465">
        <f t="shared" si="381"/>
        <v>1177.8422567726932</v>
      </c>
      <c r="P465">
        <f t="shared" si="382"/>
        <v>1.569947316569303</v>
      </c>
      <c r="Q465">
        <f t="shared" si="383"/>
        <v>175.27631527763441</v>
      </c>
      <c r="R465">
        <f t="shared" si="384"/>
        <v>1.5650910184448941</v>
      </c>
      <c r="S465">
        <f t="shared" si="385"/>
        <v>0.19806303166881289</v>
      </c>
      <c r="T465">
        <f t="shared" si="386"/>
        <v>-1.3714149186004265</v>
      </c>
      <c r="U465">
        <f t="shared" si="387"/>
        <v>0.18172424231919104</v>
      </c>
      <c r="V465">
        <f t="shared" si="388"/>
        <v>-1.388056720765712</v>
      </c>
      <c r="X465">
        <f t="shared" si="405"/>
        <v>-58.647018507441317</v>
      </c>
      <c r="Y465">
        <f t="shared" si="389"/>
        <v>-231.47408851309862</v>
      </c>
      <c r="Z465">
        <f t="shared" si="406"/>
        <v>-51.474088513098621</v>
      </c>
      <c r="AC465">
        <v>1</v>
      </c>
      <c r="AD465">
        <f t="shared" si="390"/>
        <v>1177.841832267555</v>
      </c>
      <c r="AE465">
        <f t="shared" si="391"/>
        <v>-1.6717951980390331</v>
      </c>
      <c r="AF465">
        <f t="shared" si="392"/>
        <v>0.30894987606777002</v>
      </c>
      <c r="AG465">
        <f t="shared" si="367"/>
        <v>125.32129046608863</v>
      </c>
      <c r="AH465">
        <f t="shared" si="368"/>
        <v>-681.37762116170859</v>
      </c>
      <c r="AJ465">
        <f t="shared" si="393"/>
        <v>18000</v>
      </c>
      <c r="AK465">
        <f t="shared" si="394"/>
        <v>89079.759059785196</v>
      </c>
      <c r="AL465">
        <v>1</v>
      </c>
      <c r="AM465">
        <f t="shared" si="395"/>
        <v>175.27346261572143</v>
      </c>
      <c r="AN465">
        <f t="shared" si="369"/>
        <v>508.80236795453396</v>
      </c>
      <c r="AO465">
        <f t="shared" si="370"/>
        <v>-99.793758684359815</v>
      </c>
      <c r="AQ465">
        <f t="shared" si="396"/>
        <v>1.5872761404936207E-3</v>
      </c>
      <c r="AR465">
        <f t="shared" si="397"/>
        <v>-3.9840631126389878</v>
      </c>
      <c r="AT465">
        <f t="shared" si="365"/>
        <v>-2714.4525267538133</v>
      </c>
      <c r="AU465">
        <f t="shared" si="366"/>
        <v>-500.36946501499602</v>
      </c>
      <c r="AV465">
        <f t="shared" si="407"/>
        <v>-2.9593036514327795</v>
      </c>
      <c r="AW465">
        <f t="shared" si="408"/>
        <v>236.08247587896943</v>
      </c>
      <c r="AX465">
        <f t="shared" si="409"/>
        <v>-2915.6894958801631</v>
      </c>
      <c r="AY465">
        <f t="shared" si="417"/>
        <v>-1.4900028917655397</v>
      </c>
      <c r="BA465">
        <f t="shared" si="398"/>
        <v>0.943578320121227</v>
      </c>
      <c r="BB465">
        <f t="shared" si="410"/>
        <v>-0.50444092249197237</v>
      </c>
      <c r="BC465">
        <f t="shared" si="411"/>
        <v>-1.4693007596672398</v>
      </c>
      <c r="BD465">
        <f t="shared" si="399"/>
        <v>-264.18473246049359</v>
      </c>
      <c r="BF465">
        <f t="shared" si="400"/>
        <v>-61.668781922451203</v>
      </c>
      <c r="BG465">
        <f t="shared" si="401"/>
        <v>-247.17720758448868</v>
      </c>
      <c r="BH465">
        <f t="shared" si="412"/>
        <v>-67.177207584488684</v>
      </c>
      <c r="BI465">
        <f t="shared" si="413"/>
        <v>-67.177207584488684</v>
      </c>
      <c r="BJ465">
        <f t="shared" si="402"/>
        <v>0</v>
      </c>
      <c r="BK465">
        <f t="shared" si="414"/>
        <v>0</v>
      </c>
      <c r="BM465">
        <f t="shared" si="415"/>
        <v>-61.164340999959222</v>
      </c>
      <c r="BN465">
        <f t="shared" si="403"/>
        <v>-162.99247512399512</v>
      </c>
      <c r="BQ465" s="56">
        <f t="shared" si="416"/>
        <v>16.397519877793165</v>
      </c>
    </row>
    <row r="466" spans="1:69" x14ac:dyDescent="0.2">
      <c r="A466">
        <f t="shared" si="372"/>
        <v>1260000</v>
      </c>
      <c r="B466">
        <f t="shared" si="404"/>
        <v>1260</v>
      </c>
      <c r="C466">
        <f t="shared" si="373"/>
        <v>1.045188704333023</v>
      </c>
      <c r="D466">
        <f t="shared" si="374"/>
        <v>0.29512762783088586</v>
      </c>
      <c r="F466">
        <f t="shared" si="375"/>
        <v>5.5359062165189252E-5</v>
      </c>
      <c r="G466">
        <f t="shared" si="376"/>
        <v>2.803191372618636E-3</v>
      </c>
      <c r="H466">
        <f t="shared" si="377"/>
        <v>-3.1387894586273815</v>
      </c>
      <c r="J466">
        <f t="shared" si="378"/>
        <v>15</v>
      </c>
      <c r="M466">
        <f t="shared" si="379"/>
        <v>1.791070373811239E-4</v>
      </c>
      <c r="N466">
        <f t="shared" si="380"/>
        <v>-1.5707963250000001</v>
      </c>
      <c r="O466">
        <f t="shared" si="381"/>
        <v>1182.5348520294547</v>
      </c>
      <c r="P466">
        <f t="shared" si="382"/>
        <v>1.5699506856558902</v>
      </c>
      <c r="Q466">
        <f t="shared" si="383"/>
        <v>175.974604605602</v>
      </c>
      <c r="R466">
        <f t="shared" si="384"/>
        <v>1.565113658069019</v>
      </c>
      <c r="S466">
        <f t="shared" si="385"/>
        <v>0.19730772368742464</v>
      </c>
      <c r="T466">
        <f t="shared" si="386"/>
        <v>-1.3721854322890685</v>
      </c>
      <c r="U466">
        <f t="shared" si="387"/>
        <v>0.18102679176736067</v>
      </c>
      <c r="V466">
        <f t="shared" si="388"/>
        <v>-1.3887659344138086</v>
      </c>
      <c r="X466">
        <f t="shared" si="405"/>
        <v>-58.74523541463379</v>
      </c>
      <c r="Y466">
        <f t="shared" si="389"/>
        <v>-231.49472678432809</v>
      </c>
      <c r="Z466">
        <f t="shared" si="406"/>
        <v>-51.494726784328094</v>
      </c>
      <c r="AC466">
        <v>1</v>
      </c>
      <c r="AD466">
        <f t="shared" si="390"/>
        <v>1182.53442920886</v>
      </c>
      <c r="AE466">
        <f t="shared" si="391"/>
        <v>-1.6851428113247531</v>
      </c>
      <c r="AF466">
        <f t="shared" si="392"/>
        <v>0.31018075206803997</v>
      </c>
      <c r="AG466">
        <f t="shared" si="367"/>
        <v>124.36117999524865</v>
      </c>
      <c r="AH466">
        <f t="shared" si="368"/>
        <v>-678.85046726132111</v>
      </c>
      <c r="AJ466">
        <f t="shared" si="393"/>
        <v>18000</v>
      </c>
      <c r="AK466">
        <f t="shared" si="394"/>
        <v>89434.658498270393</v>
      </c>
      <c r="AL466">
        <v>1</v>
      </c>
      <c r="AM466">
        <f t="shared" si="395"/>
        <v>175.97176326359283</v>
      </c>
      <c r="AN466">
        <f t="shared" si="369"/>
        <v>508.79785833302896</v>
      </c>
      <c r="AO466">
        <f t="shared" si="370"/>
        <v>-99.397777332414577</v>
      </c>
      <c r="AQ466">
        <f t="shared" si="396"/>
        <v>1.5747037076871209E-3</v>
      </c>
      <c r="AR466">
        <f t="shared" si="397"/>
        <v>-3.9682533433715448</v>
      </c>
      <c r="AT466">
        <f t="shared" si="365"/>
        <v>-2693.6548043478419</v>
      </c>
      <c r="AU466">
        <f t="shared" si="366"/>
        <v>-494.56565664953746</v>
      </c>
      <c r="AV466">
        <f t="shared" si="407"/>
        <v>-2.9600110769717154</v>
      </c>
      <c r="AW466">
        <f t="shared" si="408"/>
        <v>238.27005976770124</v>
      </c>
      <c r="AX466">
        <f t="shared" si="409"/>
        <v>-2904.2743483517461</v>
      </c>
      <c r="AY466">
        <f t="shared" si="417"/>
        <v>-1.4889384852806784</v>
      </c>
      <c r="BA466">
        <f t="shared" si="398"/>
        <v>0.93982518232523016</v>
      </c>
      <c r="BB466">
        <f t="shared" si="410"/>
        <v>-0.5390584474154787</v>
      </c>
      <c r="BC466">
        <f t="shared" si="411"/>
        <v>-1.471072591691037</v>
      </c>
      <c r="BD466">
        <f t="shared" si="399"/>
        <v>-264.28625095757934</v>
      </c>
      <c r="BF466">
        <f t="shared" si="400"/>
        <v>-61.769564632651999</v>
      </c>
      <c r="BG466">
        <f t="shared" si="401"/>
        <v>-247.2160724108378</v>
      </c>
      <c r="BH466">
        <f t="shared" si="412"/>
        <v>-67.216072410837796</v>
      </c>
      <c r="BI466">
        <f t="shared" si="413"/>
        <v>-67.216072410837796</v>
      </c>
      <c r="BJ466">
        <f t="shared" si="402"/>
        <v>0</v>
      </c>
      <c r="BK466">
        <f t="shared" si="414"/>
        <v>0</v>
      </c>
      <c r="BM466">
        <f t="shared" si="415"/>
        <v>-61.230506185236521</v>
      </c>
      <c r="BN466">
        <f t="shared" si="403"/>
        <v>-162.92982145325848</v>
      </c>
      <c r="BQ466" s="56">
        <f t="shared" si="416"/>
        <v>16.362902352869657</v>
      </c>
    </row>
    <row r="467" spans="1:69" x14ac:dyDescent="0.2">
      <c r="A467">
        <f t="shared" si="372"/>
        <v>1265000</v>
      </c>
      <c r="B467">
        <f t="shared" si="404"/>
        <v>1265</v>
      </c>
      <c r="C467">
        <f t="shared" si="373"/>
        <v>1.0455402290294145</v>
      </c>
      <c r="D467">
        <f t="shared" si="374"/>
        <v>0.29623156849108245</v>
      </c>
      <c r="F467">
        <f t="shared" si="375"/>
        <v>5.4922283466644736E-5</v>
      </c>
      <c r="G467">
        <f t="shared" si="376"/>
        <v>2.7921103912370549E-3</v>
      </c>
      <c r="H467">
        <f t="shared" si="377"/>
        <v>-3.1388005396087633</v>
      </c>
      <c r="J467">
        <f t="shared" si="378"/>
        <v>15</v>
      </c>
      <c r="M467">
        <f t="shared" si="379"/>
        <v>1.7839910442704829E-4</v>
      </c>
      <c r="N467">
        <f t="shared" si="380"/>
        <v>-1.5707963250000001</v>
      </c>
      <c r="O467">
        <f t="shared" si="381"/>
        <v>1187.2274472995325</v>
      </c>
      <c r="P467">
        <f t="shared" si="382"/>
        <v>1.5699540281094011</v>
      </c>
      <c r="Q467">
        <f t="shared" si="383"/>
        <v>176.67289402305281</v>
      </c>
      <c r="R467">
        <f t="shared" si="384"/>
        <v>1.5651361187295401</v>
      </c>
      <c r="S467">
        <f t="shared" si="385"/>
        <v>0.196558039145944</v>
      </c>
      <c r="T467">
        <f t="shared" si="386"/>
        <v>-1.3729500911871557</v>
      </c>
      <c r="U467">
        <f t="shared" si="387"/>
        <v>0.18033458465562527</v>
      </c>
      <c r="V467">
        <f t="shared" si="388"/>
        <v>-1.389469724655914</v>
      </c>
      <c r="X467">
        <f t="shared" si="405"/>
        <v>-58.843061031240524</v>
      </c>
      <c r="Y467">
        <f t="shared" si="389"/>
        <v>-231.51476806578529</v>
      </c>
      <c r="Z467">
        <f t="shared" si="406"/>
        <v>-51.51476806578529</v>
      </c>
      <c r="AC467">
        <v>1</v>
      </c>
      <c r="AD467">
        <f t="shared" si="390"/>
        <v>1187.2270261501651</v>
      </c>
      <c r="AE467">
        <f t="shared" si="391"/>
        <v>-1.6985434966314896</v>
      </c>
      <c r="AF467">
        <f t="shared" si="392"/>
        <v>0.31141162806830996</v>
      </c>
      <c r="AG467">
        <f t="shared" si="367"/>
        <v>123.41193806580898</v>
      </c>
      <c r="AH467">
        <f t="shared" si="368"/>
        <v>-676.34129821949728</v>
      </c>
      <c r="AJ467">
        <f t="shared" si="393"/>
        <v>18000</v>
      </c>
      <c r="AK467">
        <f t="shared" si="394"/>
        <v>89789.557936755606</v>
      </c>
      <c r="AL467">
        <v>1</v>
      </c>
      <c r="AM467">
        <f t="shared" si="395"/>
        <v>176.67006391146421</v>
      </c>
      <c r="AN467">
        <f t="shared" si="369"/>
        <v>508.79340207726301</v>
      </c>
      <c r="AO467">
        <f t="shared" si="370"/>
        <v>-99.004925965772088</v>
      </c>
      <c r="AQ467">
        <f t="shared" si="396"/>
        <v>1.5622800602602665E-3</v>
      </c>
      <c r="AR467">
        <f t="shared" si="397"/>
        <v>-3.9525685524584744</v>
      </c>
      <c r="AT467">
        <f t="shared" si="365"/>
        <v>-2673.0925420612853</v>
      </c>
      <c r="AU467">
        <f t="shared" si="366"/>
        <v>-488.85077992100838</v>
      </c>
      <c r="AV467">
        <f t="shared" si="407"/>
        <v>-2.9607130932398933</v>
      </c>
      <c r="AW467">
        <f t="shared" si="408"/>
        <v>240.43127050322482</v>
      </c>
      <c r="AX467">
        <f t="shared" si="409"/>
        <v>-2892.9477006805882</v>
      </c>
      <c r="AY467">
        <f t="shared" si="417"/>
        <v>-1.487877445809477</v>
      </c>
      <c r="BA467">
        <f t="shared" si="398"/>
        <v>0.9361000555849438</v>
      </c>
      <c r="BB467">
        <f t="shared" si="410"/>
        <v>-0.57355457938188603</v>
      </c>
      <c r="BC467">
        <f t="shared" si="411"/>
        <v>-1.4728356474304163</v>
      </c>
      <c r="BD467">
        <f t="shared" si="399"/>
        <v>-264.38726661060747</v>
      </c>
      <c r="BF467">
        <f t="shared" si="400"/>
        <v>-61.869942737470836</v>
      </c>
      <c r="BG467">
        <f t="shared" si="401"/>
        <v>-247.25447181659831</v>
      </c>
      <c r="BH467">
        <f t="shared" si="412"/>
        <v>-67.254471816598311</v>
      </c>
      <c r="BI467">
        <f t="shared" si="413"/>
        <v>-67.254471816598311</v>
      </c>
      <c r="BJ467">
        <f t="shared" si="402"/>
        <v>0</v>
      </c>
      <c r="BK467">
        <f t="shared" si="414"/>
        <v>0</v>
      </c>
      <c r="BM467">
        <f t="shared" si="415"/>
        <v>-61.296388158088952</v>
      </c>
      <c r="BN467">
        <f t="shared" si="403"/>
        <v>-162.86720520599084</v>
      </c>
      <c r="BQ467" s="56">
        <f t="shared" si="416"/>
        <v>16.328406220903251</v>
      </c>
    </row>
    <row r="468" spans="1:69" x14ac:dyDescent="0.2">
      <c r="A468">
        <f t="shared" si="372"/>
        <v>1270000</v>
      </c>
      <c r="B468">
        <f t="shared" si="404"/>
        <v>1270</v>
      </c>
      <c r="C468">
        <f t="shared" si="373"/>
        <v>1.0458930270525679</v>
      </c>
      <c r="D468">
        <f t="shared" si="374"/>
        <v>0.29733476573796297</v>
      </c>
      <c r="F468">
        <f t="shared" si="375"/>
        <v>5.4490653761636957E-5</v>
      </c>
      <c r="G468">
        <f t="shared" si="376"/>
        <v>2.781116675457761E-3</v>
      </c>
      <c r="H468">
        <f t="shared" si="377"/>
        <v>-3.1388115333245423</v>
      </c>
      <c r="J468">
        <f t="shared" si="378"/>
        <v>15</v>
      </c>
      <c r="M468">
        <f t="shared" si="379"/>
        <v>1.7769674574820166E-4</v>
      </c>
      <c r="N468">
        <f t="shared" si="380"/>
        <v>-1.5707963250000001</v>
      </c>
      <c r="O468">
        <f t="shared" si="381"/>
        <v>1191.9200425827698</v>
      </c>
      <c r="P468">
        <f t="shared" si="382"/>
        <v>1.569957344244399</v>
      </c>
      <c r="Q468">
        <f t="shared" si="383"/>
        <v>177.37118352893003</v>
      </c>
      <c r="R468">
        <f t="shared" si="384"/>
        <v>1.56515840254011</v>
      </c>
      <c r="S468">
        <f t="shared" si="385"/>
        <v>0.19581391680230964</v>
      </c>
      <c r="T468">
        <f t="shared" si="386"/>
        <v>-1.373708960889942</v>
      </c>
      <c r="U468">
        <f t="shared" si="387"/>
        <v>0.17964756310932997</v>
      </c>
      <c r="V468">
        <f t="shared" si="388"/>
        <v>-1.3901681527755396</v>
      </c>
      <c r="X468">
        <f t="shared" si="405"/>
        <v>-58.94049817827441</v>
      </c>
      <c r="Y468">
        <f t="shared" si="389"/>
        <v>-231.53421965898704</v>
      </c>
      <c r="Z468">
        <f t="shared" si="406"/>
        <v>-51.534219658987041</v>
      </c>
      <c r="AC468">
        <v>1</v>
      </c>
      <c r="AD468">
        <f t="shared" si="390"/>
        <v>1191.9196230914699</v>
      </c>
      <c r="AE468">
        <f t="shared" si="391"/>
        <v>-1.711997253959243</v>
      </c>
      <c r="AF468">
        <f t="shared" si="392"/>
        <v>0.31264250406858002</v>
      </c>
      <c r="AG468">
        <f t="shared" si="367"/>
        <v>122.47340312415137</v>
      </c>
      <c r="AH468">
        <f t="shared" si="368"/>
        <v>-673.84993111933966</v>
      </c>
      <c r="AJ468">
        <f t="shared" si="393"/>
        <v>18000</v>
      </c>
      <c r="AK468">
        <f t="shared" si="394"/>
        <v>90144.457375240803</v>
      </c>
      <c r="AL468">
        <v>1</v>
      </c>
      <c r="AM468">
        <f t="shared" si="395"/>
        <v>177.36836455933562</v>
      </c>
      <c r="AN468">
        <f t="shared" si="369"/>
        <v>508.788998348532</v>
      </c>
      <c r="AO468">
        <f t="shared" si="370"/>
        <v>-98.615167620830576</v>
      </c>
      <c r="AQ468">
        <f t="shared" si="396"/>
        <v>1.5500028597552763E-3</v>
      </c>
      <c r="AR468">
        <f t="shared" si="397"/>
        <v>-3.9370072637784017</v>
      </c>
      <c r="AT468">
        <f t="shared" si="365"/>
        <v>-2652.7622393883298</v>
      </c>
      <c r="AU468">
        <f t="shared" si="366"/>
        <v>-483.22314703972523</v>
      </c>
      <c r="AV468">
        <f t="shared" si="407"/>
        <v>-2.9614097613538735</v>
      </c>
      <c r="AW468">
        <f t="shared" si="408"/>
        <v>242.56653169031156</v>
      </c>
      <c r="AX468">
        <f t="shared" si="409"/>
        <v>-2881.7085331412163</v>
      </c>
      <c r="AY468">
        <f t="shared" si="417"/>
        <v>-1.486819733714283</v>
      </c>
      <c r="BA468">
        <f t="shared" si="398"/>
        <v>0.93240262912104854</v>
      </c>
      <c r="BB468">
        <f t="shared" si="410"/>
        <v>-0.60793021115547652</v>
      </c>
      <c r="BC468">
        <f t="shared" si="411"/>
        <v>-1.4745900276395905</v>
      </c>
      <c r="BD468">
        <f t="shared" si="399"/>
        <v>-264.4877851923693</v>
      </c>
      <c r="BF468">
        <f t="shared" si="400"/>
        <v>-61.969919309282119</v>
      </c>
      <c r="BG468">
        <f t="shared" si="401"/>
        <v>-247.2924117455872</v>
      </c>
      <c r="BH468">
        <f t="shared" si="412"/>
        <v>-67.292411745587202</v>
      </c>
      <c r="BI468">
        <f t="shared" si="413"/>
        <v>-67.292411745587202</v>
      </c>
      <c r="BJ468">
        <f t="shared" si="402"/>
        <v>0</v>
      </c>
      <c r="BK468">
        <f t="shared" si="414"/>
        <v>0</v>
      </c>
      <c r="BM468">
        <f t="shared" si="415"/>
        <v>-61.361989098126635</v>
      </c>
      <c r="BN468">
        <f t="shared" si="403"/>
        <v>-162.8046265532179</v>
      </c>
      <c r="BQ468" s="56">
        <f t="shared" si="416"/>
        <v>16.294030589129662</v>
      </c>
    </row>
    <row r="469" spans="1:69" x14ac:dyDescent="0.2">
      <c r="A469">
        <f t="shared" si="372"/>
        <v>1275000</v>
      </c>
      <c r="B469">
        <f t="shared" si="404"/>
        <v>1275</v>
      </c>
      <c r="C469">
        <f t="shared" si="373"/>
        <v>1.0462470971143736</v>
      </c>
      <c r="D469">
        <f t="shared" si="374"/>
        <v>0.29843721763965358</v>
      </c>
      <c r="F469">
        <f t="shared" si="375"/>
        <v>5.4064092433372943E-5</v>
      </c>
      <c r="G469">
        <f t="shared" si="376"/>
        <v>2.7702091984117003E-3</v>
      </c>
      <c r="H469">
        <f t="shared" si="377"/>
        <v>-3.1388224408015883</v>
      </c>
      <c r="J469">
        <f t="shared" si="378"/>
        <v>15</v>
      </c>
      <c r="M469">
        <f t="shared" si="379"/>
        <v>1.7699989576487536E-4</v>
      </c>
      <c r="N469">
        <f t="shared" si="380"/>
        <v>-1.5707963250000001</v>
      </c>
      <c r="O469">
        <f t="shared" si="381"/>
        <v>1196.6126378790116</v>
      </c>
      <c r="P469">
        <f t="shared" si="382"/>
        <v>1.5699606343705133</v>
      </c>
      <c r="Q469">
        <f t="shared" si="383"/>
        <v>178.06947312219339</v>
      </c>
      <c r="R469">
        <f t="shared" si="384"/>
        <v>1.5651805115812287</v>
      </c>
      <c r="S469">
        <f t="shared" si="385"/>
        <v>0.19507529628002965</v>
      </c>
      <c r="T469">
        <f t="shared" si="386"/>
        <v>-1.3744621060298641</v>
      </c>
      <c r="U469">
        <f t="shared" si="387"/>
        <v>0.17896567008643233</v>
      </c>
      <c r="V469">
        <f t="shared" si="388"/>
        <v>-1.3908612791468398</v>
      </c>
      <c r="X469">
        <f t="shared" si="405"/>
        <v>-59.037549646872719</v>
      </c>
      <c r="Y469">
        <f t="shared" si="389"/>
        <v>-231.55308875886288</v>
      </c>
      <c r="Z469">
        <f t="shared" si="406"/>
        <v>-51.553088758862884</v>
      </c>
      <c r="AC469">
        <v>1</v>
      </c>
      <c r="AD469">
        <f t="shared" si="390"/>
        <v>1196.612220032775</v>
      </c>
      <c r="AE469">
        <f t="shared" si="391"/>
        <v>-1.7255040833080131</v>
      </c>
      <c r="AF469">
        <f t="shared" si="392"/>
        <v>0.31387338006885002</v>
      </c>
      <c r="AG469">
        <f t="shared" si="367"/>
        <v>121.54541657156651</v>
      </c>
      <c r="AH469">
        <f t="shared" si="368"/>
        <v>-671.37618537573076</v>
      </c>
      <c r="AJ469">
        <f t="shared" si="393"/>
        <v>18000</v>
      </c>
      <c r="AK469">
        <f t="shared" si="394"/>
        <v>90499.356813726001</v>
      </c>
      <c r="AL469">
        <v>1</v>
      </c>
      <c r="AM469">
        <f t="shared" si="395"/>
        <v>178.06666520720702</v>
      </c>
      <c r="AN469">
        <f t="shared" si="369"/>
        <v>508.78464632454342</v>
      </c>
      <c r="AO469">
        <f t="shared" si="370"/>
        <v>-98.228465913717358</v>
      </c>
      <c r="AQ469">
        <f t="shared" si="396"/>
        <v>1.537869813476384E-3</v>
      </c>
      <c r="AR469">
        <f t="shared" si="397"/>
        <v>-3.9215680243647792</v>
      </c>
      <c r="AT469">
        <f t="shared" si="365"/>
        <v>-2632.6604598623544</v>
      </c>
      <c r="AU469">
        <f t="shared" si="366"/>
        <v>-477.68110830412843</v>
      </c>
      <c r="AV469">
        <f t="shared" si="407"/>
        <v>-2.9621011415234775</v>
      </c>
      <c r="AW469">
        <f t="shared" si="408"/>
        <v>244.67625844129162</v>
      </c>
      <c r="AX469">
        <f t="shared" si="409"/>
        <v>-2870.5558415428691</v>
      </c>
      <c r="AY469">
        <f t="shared" si="417"/>
        <v>-1.4857653100294315</v>
      </c>
      <c r="BA469">
        <f t="shared" si="398"/>
        <v>0.9287325966472928</v>
      </c>
      <c r="BB469">
        <f t="shared" si="410"/>
        <v>-0.64218622642252288</v>
      </c>
      <c r="BC469">
        <f t="shared" si="411"/>
        <v>-1.476335831494046</v>
      </c>
      <c r="BD469">
        <f t="shared" si="399"/>
        <v>-264.58781238520157</v>
      </c>
      <c r="BF469">
        <f t="shared" si="400"/>
        <v>-62.069497385962755</v>
      </c>
      <c r="BG469">
        <f t="shared" si="401"/>
        <v>-247.32989804966485</v>
      </c>
      <c r="BH469">
        <f t="shared" si="412"/>
        <v>-67.329898049664848</v>
      </c>
      <c r="BI469">
        <f t="shared" si="413"/>
        <v>-67.329898049664848</v>
      </c>
      <c r="BJ469">
        <f t="shared" si="402"/>
        <v>0</v>
      </c>
      <c r="BK469">
        <f t="shared" si="414"/>
        <v>0</v>
      </c>
      <c r="BM469">
        <f t="shared" si="415"/>
        <v>-61.427311159540238</v>
      </c>
      <c r="BN469">
        <f t="shared" si="403"/>
        <v>-162.74208566446327</v>
      </c>
      <c r="BQ469" s="56">
        <f t="shared" si="416"/>
        <v>16.259774573862614</v>
      </c>
    </row>
    <row r="470" spans="1:69" x14ac:dyDescent="0.2">
      <c r="A470">
        <f t="shared" si="372"/>
        <v>1280000</v>
      </c>
      <c r="B470">
        <f t="shared" si="404"/>
        <v>1280</v>
      </c>
      <c r="C470">
        <f t="shared" si="373"/>
        <v>1.046602437923823</v>
      </c>
      <c r="D470">
        <f t="shared" si="374"/>
        <v>0.2995389222741372</v>
      </c>
      <c r="F470">
        <f t="shared" si="375"/>
        <v>5.36425204366843E-5</v>
      </c>
      <c r="G470">
        <f t="shared" si="376"/>
        <v>2.75938694927882E-3</v>
      </c>
      <c r="H470">
        <f t="shared" si="377"/>
        <v>-3.1388332630507212</v>
      </c>
      <c r="J470">
        <f t="shared" si="378"/>
        <v>15</v>
      </c>
      <c r="M470">
        <f t="shared" si="379"/>
        <v>1.7630848992204382E-4</v>
      </c>
      <c r="N470">
        <f t="shared" si="380"/>
        <v>-1.5707963250000001</v>
      </c>
      <c r="O470">
        <f t="shared" si="381"/>
        <v>1201.3052331881051</v>
      </c>
      <c r="P470">
        <f t="shared" si="382"/>
        <v>1.5699638987925348</v>
      </c>
      <c r="Q470">
        <f t="shared" si="383"/>
        <v>178.76776280181883</v>
      </c>
      <c r="R470">
        <f t="shared" si="384"/>
        <v>1.5652024479008899</v>
      </c>
      <c r="S470">
        <f t="shared" si="385"/>
        <v>0.19434211805334253</v>
      </c>
      <c r="T470">
        <f t="shared" si="386"/>
        <v>-1.375209590293889</v>
      </c>
      <c r="U470">
        <f t="shared" si="387"/>
        <v>0.17828884936289371</v>
      </c>
      <c r="V470">
        <f t="shared" si="388"/>
        <v>-1.3915491632512176</v>
      </c>
      <c r="X470">
        <f t="shared" si="405"/>
        <v>-59.134218198708936</v>
      </c>
      <c r="Y470">
        <f t="shared" si="389"/>
        <v>-231.57138245567509</v>
      </c>
      <c r="Z470">
        <f t="shared" si="406"/>
        <v>-51.571382455675092</v>
      </c>
      <c r="AC470">
        <v>1</v>
      </c>
      <c r="AD470">
        <f t="shared" si="390"/>
        <v>1201.3048169740798</v>
      </c>
      <c r="AE470">
        <f t="shared" si="391"/>
        <v>-1.7390639846778002</v>
      </c>
      <c r="AF470">
        <f t="shared" si="392"/>
        <v>0.31510425606912001</v>
      </c>
      <c r="AG470">
        <f t="shared" si="367"/>
        <v>120.62782270045014</v>
      </c>
      <c r="AH470">
        <f t="shared" si="368"/>
        <v>-668.91988270135016</v>
      </c>
      <c r="AJ470">
        <f t="shared" si="393"/>
        <v>18000</v>
      </c>
      <c r="AK470">
        <f t="shared" si="394"/>
        <v>90854.256252211198</v>
      </c>
      <c r="AL470">
        <v>1</v>
      </c>
      <c r="AM470">
        <f t="shared" si="395"/>
        <v>178.7649658550784</v>
      </c>
      <c r="AN470">
        <f t="shared" si="369"/>
        <v>508.78034519903315</v>
      </c>
      <c r="AO470">
        <f t="shared" si="370"/>
        <v>-97.84478502896809</v>
      </c>
      <c r="AQ470">
        <f t="shared" si="396"/>
        <v>1.5258786734193919E-3</v>
      </c>
      <c r="AR470">
        <f t="shared" si="397"/>
        <v>-3.9062494039536433</v>
      </c>
      <c r="AT470">
        <f t="shared" ref="AT470:AT533" si="418">-AR470*AH470+AG470*AQ470</f>
        <v>-2612.78382967281</v>
      </c>
      <c r="AU470">
        <f t="shared" ref="AU470:AU533" si="419">AQ470*AH470+AG470*AR470</f>
        <v>-472.22305110709931</v>
      </c>
      <c r="AV470">
        <f t="shared" si="407"/>
        <v>-2.9627872930683439</v>
      </c>
      <c r="AW470">
        <f t="shared" si="408"/>
        <v>246.7608575799232</v>
      </c>
      <c r="AX470">
        <f t="shared" si="409"/>
        <v>-2859.4886369358801</v>
      </c>
      <c r="AY470">
        <f t="shared" si="417"/>
        <v>-1.4847141364472198</v>
      </c>
      <c r="BA470">
        <f t="shared" si="398"/>
        <v>0.92508965629168072</v>
      </c>
      <c r="BB470">
        <f t="shared" si="410"/>
        <v>-0.67632349990351881</v>
      </c>
      <c r="BC470">
        <f t="shared" si="411"/>
        <v>-1.478073156621124</v>
      </c>
      <c r="BD470">
        <f t="shared" si="399"/>
        <v>-264.68735378273891</v>
      </c>
      <c r="BF470">
        <f t="shared" si="400"/>
        <v>-62.168679971402625</v>
      </c>
      <c r="BG470">
        <f t="shared" si="401"/>
        <v>-247.366936490505</v>
      </c>
      <c r="BH470">
        <f t="shared" si="412"/>
        <v>-67.366936490504997</v>
      </c>
      <c r="BI470">
        <f t="shared" si="413"/>
        <v>-67.366936490504997</v>
      </c>
      <c r="BJ470">
        <f t="shared" si="402"/>
        <v>0</v>
      </c>
      <c r="BK470">
        <f t="shared" si="414"/>
        <v>0</v>
      </c>
      <c r="BM470">
        <f t="shared" si="415"/>
        <v>-61.492356471499107</v>
      </c>
      <c r="BN470">
        <f t="shared" si="403"/>
        <v>-162.67958270776612</v>
      </c>
      <c r="BQ470" s="56">
        <f t="shared" si="416"/>
        <v>16.225637300381621</v>
      </c>
    </row>
    <row r="471" spans="1:69" x14ac:dyDescent="0.2">
      <c r="A471">
        <f t="shared" si="372"/>
        <v>1285000</v>
      </c>
      <c r="B471">
        <f t="shared" si="404"/>
        <v>1285</v>
      </c>
      <c r="C471">
        <f t="shared" si="373"/>
        <v>1.0469590481870301</v>
      </c>
      <c r="D471">
        <f t="shared" si="374"/>
        <v>0.30063987772925732</v>
      </c>
      <c r="F471">
        <f t="shared" si="375"/>
        <v>5.3225860261402864E-5</v>
      </c>
      <c r="G471">
        <f t="shared" si="376"/>
        <v>2.7486489329757351E-3</v>
      </c>
      <c r="H471">
        <f t="shared" si="377"/>
        <v>-3.1388440010670244</v>
      </c>
      <c r="J471">
        <f t="shared" si="378"/>
        <v>15</v>
      </c>
      <c r="M471">
        <f t="shared" si="379"/>
        <v>1.7562246466942886E-4</v>
      </c>
      <c r="N471">
        <f t="shared" si="380"/>
        <v>-1.5707963250000001</v>
      </c>
      <c r="O471">
        <f t="shared" si="381"/>
        <v>1205.9978285099007</v>
      </c>
      <c r="P471">
        <f t="shared" si="382"/>
        <v>1.5699671378105118</v>
      </c>
      <c r="Q471">
        <f t="shared" si="383"/>
        <v>179.46605256679825</v>
      </c>
      <c r="R471">
        <f t="shared" si="384"/>
        <v>1.5652242135152132</v>
      </c>
      <c r="S471">
        <f t="shared" si="385"/>
        <v>0.19361432343267262</v>
      </c>
      <c r="T471">
        <f t="shared" si="386"/>
        <v>-1.3759514764404921</v>
      </c>
      <c r="U471">
        <f t="shared" si="387"/>
        <v>0.17761704551837054</v>
      </c>
      <c r="V471">
        <f t="shared" si="388"/>
        <v>-1.3922318636935702</v>
      </c>
      <c r="X471">
        <f t="shared" si="405"/>
        <v>-59.230506566397814</v>
      </c>
      <c r="Y471">
        <f t="shared" si="389"/>
        <v>-231.5891077368986</v>
      </c>
      <c r="Z471">
        <f t="shared" si="406"/>
        <v>-51.589107736898598</v>
      </c>
      <c r="AC471">
        <v>1</v>
      </c>
      <c r="AD471">
        <f t="shared" si="390"/>
        <v>1205.9974139153851</v>
      </c>
      <c r="AE471">
        <f t="shared" si="391"/>
        <v>-1.7526769580686039</v>
      </c>
      <c r="AF471">
        <f t="shared" si="392"/>
        <v>0.31633513206939001</v>
      </c>
      <c r="AG471">
        <f t="shared" si="367"/>
        <v>119.72046863207929</v>
      </c>
      <c r="AH471">
        <f t="shared" si="368"/>
        <v>-666.48084707320254</v>
      </c>
      <c r="AJ471">
        <f t="shared" si="393"/>
        <v>18000</v>
      </c>
      <c r="AK471">
        <f t="shared" si="394"/>
        <v>91209.155690696396</v>
      </c>
      <c r="AL471">
        <v>1</v>
      </c>
      <c r="AM471">
        <f t="shared" si="395"/>
        <v>179.46326650294981</v>
      </c>
      <c r="AN471">
        <f t="shared" si="369"/>
        <v>508.77609418139093</v>
      </c>
      <c r="AO471">
        <f t="shared" si="370"/>
        <v>-97.464089708470269</v>
      </c>
      <c r="AQ471">
        <f t="shared" si="396"/>
        <v>1.5140272352303238E-3</v>
      </c>
      <c r="AR471">
        <f t="shared" si="397"/>
        <v>-3.8910499945419317</v>
      </c>
      <c r="AT471">
        <f t="shared" si="418"/>
        <v>-2593.1290363163635</v>
      </c>
      <c r="AU471">
        <f t="shared" si="419"/>
        <v>-466.8473989716378</v>
      </c>
      <c r="AV471">
        <f t="shared" si="407"/>
        <v>-2.9634682744341228</v>
      </c>
      <c r="AW471">
        <f t="shared" si="408"/>
        <v>248.82072783956761</v>
      </c>
      <c r="AX471">
        <f t="shared" si="409"/>
        <v>-2848.5059453246686</v>
      </c>
      <c r="AY471">
        <f t="shared" si="417"/>
        <v>-1.4836661753042302</v>
      </c>
      <c r="BA471">
        <f t="shared" si="398"/>
        <v>0.92147351051926152</v>
      </c>
      <c r="BB471">
        <f t="shared" si="410"/>
        <v>-0.71034289746389934</v>
      </c>
      <c r="BC471">
        <f t="shared" si="411"/>
        <v>-1.4798020991298926</v>
      </c>
      <c r="BD471">
        <f t="shared" si="399"/>
        <v>-264.78641489162533</v>
      </c>
      <c r="BF471">
        <f t="shared" si="400"/>
        <v>-62.267470036005648</v>
      </c>
      <c r="BG471">
        <f t="shared" si="401"/>
        <v>-247.40353274132428</v>
      </c>
      <c r="BH471">
        <f t="shared" si="412"/>
        <v>-67.403532741324284</v>
      </c>
      <c r="BI471">
        <f t="shared" si="413"/>
        <v>-67.403532741324284</v>
      </c>
      <c r="BJ471">
        <f t="shared" si="402"/>
        <v>0</v>
      </c>
      <c r="BK471">
        <f t="shared" si="414"/>
        <v>0</v>
      </c>
      <c r="BM471">
        <f t="shared" si="415"/>
        <v>-61.557127138541752</v>
      </c>
      <c r="BN471">
        <f t="shared" si="403"/>
        <v>-162.61711784969896</v>
      </c>
      <c r="BQ471" s="56">
        <f t="shared" si="416"/>
        <v>16.191617902821239</v>
      </c>
    </row>
    <row r="472" spans="1:69" x14ac:dyDescent="0.2">
      <c r="A472">
        <f t="shared" si="372"/>
        <v>1290000</v>
      </c>
      <c r="B472">
        <f t="shared" si="404"/>
        <v>1290</v>
      </c>
      <c r="C472">
        <f t="shared" si="373"/>
        <v>1.0473169266072526</v>
      </c>
      <c r="D472">
        <f t="shared" si="374"/>
        <v>0.30174008210272191</v>
      </c>
      <c r="F472">
        <f t="shared" si="375"/>
        <v>5.2814035896728243E-5</v>
      </c>
      <c r="G472">
        <f t="shared" si="376"/>
        <v>2.7379941698506606E-3</v>
      </c>
      <c r="H472">
        <f t="shared" si="377"/>
        <v>-3.1388546558301496</v>
      </c>
      <c r="J472">
        <f t="shared" si="378"/>
        <v>15</v>
      </c>
      <c r="M472">
        <f t="shared" si="379"/>
        <v>1.7494175744202795E-4</v>
      </c>
      <c r="N472">
        <f t="shared" si="380"/>
        <v>-1.5707963250000001</v>
      </c>
      <c r="O472">
        <f t="shared" si="381"/>
        <v>1210.690423844251</v>
      </c>
      <c r="P472">
        <f t="shared" si="382"/>
        <v>1.5699703517198393</v>
      </c>
      <c r="Q472">
        <f t="shared" si="383"/>
        <v>180.16434241613922</v>
      </c>
      <c r="R472">
        <f t="shared" si="384"/>
        <v>1.5652458104090625</v>
      </c>
      <c r="S472">
        <f t="shared" si="385"/>
        <v>0.19289185455037433</v>
      </c>
      <c r="T472">
        <f t="shared" si="386"/>
        <v>-1.3766878263162767</v>
      </c>
      <c r="U472">
        <f t="shared" si="387"/>
        <v>0.17695020392219715</v>
      </c>
      <c r="V472">
        <f t="shared" si="388"/>
        <v>-1.3929094382181879</v>
      </c>
      <c r="X472">
        <f t="shared" si="405"/>
        <v>-59.326417453893697</v>
      </c>
      <c r="Y472">
        <f t="shared" si="389"/>
        <v>-231.60627148906087</v>
      </c>
      <c r="Z472">
        <f t="shared" si="406"/>
        <v>-51.606271489060873</v>
      </c>
      <c r="AC472">
        <v>1</v>
      </c>
      <c r="AD472">
        <f t="shared" si="390"/>
        <v>1210.6900108566902</v>
      </c>
      <c r="AE472">
        <f t="shared" si="391"/>
        <v>-1.7663430034804244</v>
      </c>
      <c r="AF472">
        <f t="shared" si="392"/>
        <v>0.31756600806966001</v>
      </c>
      <c r="AG472">
        <f t="shared" si="367"/>
        <v>118.82320425592403</v>
      </c>
      <c r="AH472">
        <f t="shared" si="368"/>
        <v>-664.05890469964413</v>
      </c>
      <c r="AJ472">
        <f t="shared" si="393"/>
        <v>18000</v>
      </c>
      <c r="AK472">
        <f t="shared" si="394"/>
        <v>91564.055129181608</v>
      </c>
      <c r="AL472">
        <v>1</v>
      </c>
      <c r="AM472">
        <f t="shared" si="395"/>
        <v>180.16156715082121</v>
      </c>
      <c r="AN472">
        <f t="shared" si="369"/>
        <v>508.77189249629851</v>
      </c>
      <c r="AO472">
        <f t="shared" si="370"/>
        <v>-97.086345240664016</v>
      </c>
      <c r="AQ472">
        <f t="shared" si="396"/>
        <v>1.5023133371922755E-3</v>
      </c>
      <c r="AR472">
        <f t="shared" si="397"/>
        <v>-3.8759684099560707</v>
      </c>
      <c r="AT472">
        <f t="shared" si="418"/>
        <v>-2573.6928272813279</v>
      </c>
      <c r="AU472">
        <f t="shared" si="419"/>
        <v>-461.55261061493087</v>
      </c>
      <c r="AV472">
        <f t="shared" si="407"/>
        <v>-2.9641441432083262</v>
      </c>
      <c r="AW472">
        <f t="shared" si="408"/>
        <v>250.85626005585294</v>
      </c>
      <c r="AX472">
        <f t="shared" si="409"/>
        <v>-2837.6068073871897</v>
      </c>
      <c r="AY472">
        <f t="shared" si="417"/>
        <v>-1.4826213895679916</v>
      </c>
      <c r="BA472">
        <f t="shared" si="398"/>
        <v>0.91788386605647054</v>
      </c>
      <c r="BB472">
        <f t="shared" si="410"/>
        <v>-0.74424527622339243</v>
      </c>
      <c r="BC472">
        <f t="shared" si="411"/>
        <v>-1.4815227536403346</v>
      </c>
      <c r="BD472">
        <f t="shared" si="399"/>
        <v>-264.88500113318645</v>
      </c>
      <c r="BF472">
        <f t="shared" si="400"/>
        <v>-62.365870517181975</v>
      </c>
      <c r="BG472">
        <f t="shared" si="401"/>
        <v>-247.43969238857147</v>
      </c>
      <c r="BH472">
        <f t="shared" si="412"/>
        <v>-67.439692388571473</v>
      </c>
      <c r="BI472">
        <f t="shared" si="413"/>
        <v>-67.439692388571473</v>
      </c>
      <c r="BJ472">
        <f t="shared" si="402"/>
        <v>0</v>
      </c>
      <c r="BK472">
        <f t="shared" si="414"/>
        <v>0</v>
      </c>
      <c r="BM472">
        <f t="shared" si="415"/>
        <v>-61.621625240958586</v>
      </c>
      <c r="BN472">
        <f t="shared" si="403"/>
        <v>-162.55469125538505</v>
      </c>
      <c r="BQ472" s="56">
        <f t="shared" si="416"/>
        <v>16.157715524061743</v>
      </c>
    </row>
    <row r="473" spans="1:69" x14ac:dyDescent="0.2">
      <c r="A473">
        <f>A472+5000</f>
        <v>1295000</v>
      </c>
      <c r="B473">
        <f t="shared" si="404"/>
        <v>1295</v>
      </c>
      <c r="C473">
        <f t="shared" si="373"/>
        <v>1.047676071884911</v>
      </c>
      <c r="D473">
        <f t="shared" si="374"/>
        <v>0.30283953350210657</v>
      </c>
      <c r="F473">
        <f t="shared" si="375"/>
        <v>5.2406972796556585E-5</v>
      </c>
      <c r="G473">
        <f t="shared" si="376"/>
        <v>2.7274216953854162E-3</v>
      </c>
      <c r="H473">
        <f t="shared" si="377"/>
        <v>-3.1388652283046148</v>
      </c>
      <c r="J473">
        <f t="shared" si="378"/>
        <v>15</v>
      </c>
      <c r="M473">
        <f t="shared" si="379"/>
        <v>1.742663066410935E-4</v>
      </c>
      <c r="N473">
        <f t="shared" si="380"/>
        <v>-1.5707963250000001</v>
      </c>
      <c r="O473">
        <f t="shared" si="381"/>
        <v>1215.3830191910099</v>
      </c>
      <c r="P473">
        <f t="shared" si="382"/>
        <v>1.5699735408113511</v>
      </c>
      <c r="Q473">
        <f t="shared" si="383"/>
        <v>180.86263234886462</v>
      </c>
      <c r="R473">
        <f t="shared" si="384"/>
        <v>1.5652672405366488</v>
      </c>
      <c r="S473">
        <f t="shared" si="385"/>
        <v>0.19217465434675754</v>
      </c>
      <c r="T473">
        <f t="shared" si="386"/>
        <v>-1.3774187008722438</v>
      </c>
      <c r="U473">
        <f t="shared" si="387"/>
        <v>0.17628827071965442</v>
      </c>
      <c r="V473">
        <f t="shared" si="388"/>
        <v>-1.3935819437243102</v>
      </c>
      <c r="X473">
        <f t="shared" si="405"/>
        <v>-59.421953536882278</v>
      </c>
      <c r="Y473">
        <f t="shared" si="389"/>
        <v>-231.6228804995425</v>
      </c>
      <c r="Z473">
        <f t="shared" si="406"/>
        <v>-51.622880499542504</v>
      </c>
      <c r="AC473">
        <v>1</v>
      </c>
      <c r="AD473">
        <f t="shared" si="390"/>
        <v>1215.382607797995</v>
      </c>
      <c r="AE473">
        <f t="shared" si="391"/>
        <v>-1.7800621209132617</v>
      </c>
      <c r="AF473">
        <f t="shared" si="392"/>
        <v>0.31879688406993001</v>
      </c>
      <c r="AG473">
        <f t="shared" si="367"/>
        <v>117.93588217045276</v>
      </c>
      <c r="AH473">
        <f t="shared" si="368"/>
        <v>-661.65388398791004</v>
      </c>
      <c r="AJ473">
        <f t="shared" si="393"/>
        <v>18000</v>
      </c>
      <c r="AK473">
        <f t="shared" si="394"/>
        <v>91918.954567666806</v>
      </c>
      <c r="AL473">
        <v>1</v>
      </c>
      <c r="AM473">
        <f t="shared" si="395"/>
        <v>180.85986779869262</v>
      </c>
      <c r="AN473">
        <f t="shared" si="369"/>
        <v>508.76773938337448</v>
      </c>
      <c r="AO473">
        <f t="shared" si="370"/>
        <v>-96.711517449992655</v>
      </c>
      <c r="AQ473">
        <f t="shared" si="396"/>
        <v>1.4907348592395971E-3</v>
      </c>
      <c r="AR473">
        <f t="shared" si="397"/>
        <v>-3.8610032854305563</v>
      </c>
      <c r="AT473">
        <f t="shared" si="418"/>
        <v>-2554.4720087645019</v>
      </c>
      <c r="AU473">
        <f t="shared" si="419"/>
        <v>-456.33717903988111</v>
      </c>
      <c r="AV473">
        <f t="shared" si="407"/>
        <v>-2.9648149561358377</v>
      </c>
      <c r="AW473">
        <f t="shared" si="408"/>
        <v>252.86783735399746</v>
      </c>
      <c r="AX473">
        <f t="shared" si="409"/>
        <v>-2826.7902782006418</v>
      </c>
      <c r="AY473">
        <f t="shared" si="417"/>
        <v>-1.4815797428239683</v>
      </c>
      <c r="BA473">
        <f t="shared" si="398"/>
        <v>0.914320433817012</v>
      </c>
      <c r="BB473">
        <f t="shared" si="410"/>
        <v>-0.77803148466378502</v>
      </c>
      <c r="BC473">
        <f t="shared" si="411"/>
        <v>-1.4832352133118694</v>
      </c>
      <c r="BD473">
        <f t="shared" si="399"/>
        <v>-264.98311784506387</v>
      </c>
      <c r="BF473">
        <f t="shared" si="400"/>
        <v>-62.46388431983118</v>
      </c>
      <c r="BG473">
        <f t="shared" si="401"/>
        <v>-247.47542093357896</v>
      </c>
      <c r="BH473">
        <f t="shared" si="412"/>
        <v>-67.47542093357896</v>
      </c>
      <c r="BI473">
        <f t="shared" si="413"/>
        <v>-67.47542093357896</v>
      </c>
      <c r="BJ473">
        <f t="shared" si="402"/>
        <v>0</v>
      </c>
      <c r="BK473">
        <f t="shared" si="414"/>
        <v>0</v>
      </c>
      <c r="BM473">
        <f t="shared" si="415"/>
        <v>-61.685852835167402</v>
      </c>
      <c r="BN473">
        <f t="shared" si="403"/>
        <v>-162.49230308851514</v>
      </c>
      <c r="BQ473" s="56">
        <f t="shared" si="416"/>
        <v>16.123929315621353</v>
      </c>
    </row>
    <row r="474" spans="1:69" x14ac:dyDescent="0.2">
      <c r="A474">
        <f t="shared" ref="A474:A537" si="420">A473+5000</f>
        <v>1300000</v>
      </c>
      <c r="B474">
        <f t="shared" si="404"/>
        <v>1300</v>
      </c>
      <c r="C474">
        <f t="shared" si="373"/>
        <v>1.0480364827176101</v>
      </c>
      <c r="D474">
        <f t="shared" si="374"/>
        <v>0.30393823004485798</v>
      </c>
      <c r="F474">
        <f t="shared" si="375"/>
        <v>5.2004597845741288E-5</v>
      </c>
      <c r="G474">
        <f t="shared" si="376"/>
        <v>2.7169305599042989E-3</v>
      </c>
      <c r="H474">
        <f t="shared" si="377"/>
        <v>-3.138875719440096</v>
      </c>
      <c r="J474">
        <f t="shared" si="378"/>
        <v>15</v>
      </c>
      <c r="M474">
        <f t="shared" si="379"/>
        <v>1.7359605161555082E-4</v>
      </c>
      <c r="N474">
        <f t="shared" si="380"/>
        <v>-1.5707963250000001</v>
      </c>
      <c r="O474">
        <f t="shared" si="381"/>
        <v>1220.0756145500347</v>
      </c>
      <c r="P474">
        <f t="shared" si="382"/>
        <v>1.5699767053714064</v>
      </c>
      <c r="Q474">
        <f t="shared" si="383"/>
        <v>181.56092236401233</v>
      </c>
      <c r="R474">
        <f t="shared" si="384"/>
        <v>1.5652885058221198</v>
      </c>
      <c r="S474">
        <f t="shared" si="385"/>
        <v>0.19146266655638935</v>
      </c>
      <c r="T474">
        <f t="shared" si="386"/>
        <v>-1.3781441601797193</v>
      </c>
      <c r="U474">
        <f t="shared" si="387"/>
        <v>0.17563119281851755</v>
      </c>
      <c r="V474">
        <f t="shared" si="388"/>
        <v>-1.3942494362813518</v>
      </c>
      <c r="X474">
        <f t="shared" si="405"/>
        <v>-59.517117463165818</v>
      </c>
      <c r="Y474">
        <f t="shared" si="389"/>
        <v>-231.63894145833993</v>
      </c>
      <c r="Z474">
        <f t="shared" si="406"/>
        <v>-51.638941458339929</v>
      </c>
      <c r="AC474">
        <v>1</v>
      </c>
      <c r="AD474">
        <f t="shared" si="390"/>
        <v>1220.0752047393</v>
      </c>
      <c r="AE474">
        <f t="shared" si="391"/>
        <v>-1.7938343103671157</v>
      </c>
      <c r="AF474">
        <f t="shared" si="392"/>
        <v>0.32002776007020001</v>
      </c>
      <c r="AG474">
        <f t="shared" si="367"/>
        <v>117.05835762538965</v>
      </c>
      <c r="AH474">
        <f t="shared" si="368"/>
        <v>-659.26561551212797</v>
      </c>
      <c r="AJ474">
        <f t="shared" si="393"/>
        <v>18000</v>
      </c>
      <c r="AK474">
        <f t="shared" si="394"/>
        <v>92273.854006151989</v>
      </c>
      <c r="AL474">
        <v>1</v>
      </c>
      <c r="AM474">
        <f t="shared" si="395"/>
        <v>181.55816844656403</v>
      </c>
      <c r="AN474">
        <f t="shared" si="369"/>
        <v>508.76363409683148</v>
      </c>
      <c r="AO474">
        <f t="shared" si="370"/>
        <v>-96.339572686596966</v>
      </c>
      <c r="AQ474">
        <f t="shared" si="396"/>
        <v>1.4792897219985618E-3</v>
      </c>
      <c r="AR474">
        <f t="shared" si="397"/>
        <v>-3.8461532771962608</v>
      </c>
      <c r="AT474">
        <f t="shared" si="418"/>
        <v>-2535.4634444194721</v>
      </c>
      <c r="AU474">
        <f t="shared" si="419"/>
        <v>-451.19963065319848</v>
      </c>
      <c r="AV474">
        <f t="shared" si="407"/>
        <v>-2.9654807691340883</v>
      </c>
      <c r="AW474">
        <f t="shared" si="408"/>
        <v>254.85583533096579</v>
      </c>
      <c r="AX474">
        <f t="shared" si="409"/>
        <v>-2816.0554269733029</v>
      </c>
      <c r="AY474">
        <f t="shared" si="417"/>
        <v>-1.4805411992628699</v>
      </c>
      <c r="BA474">
        <f t="shared" si="398"/>
        <v>0.91078292882921952</v>
      </c>
      <c r="BB474">
        <f t="shared" si="410"/>
        <v>-0.81170236273539642</v>
      </c>
      <c r="BC474">
        <f t="shared" si="411"/>
        <v>-1.4849395698712184</v>
      </c>
      <c r="BD474">
        <f t="shared" si="399"/>
        <v>-265.08077028281161</v>
      </c>
      <c r="BF474">
        <f t="shared" si="400"/>
        <v>-62.561514316816861</v>
      </c>
      <c r="BG474">
        <f t="shared" si="401"/>
        <v>-247.51072379417556</v>
      </c>
      <c r="BH474">
        <f t="shared" si="412"/>
        <v>-67.510723794175561</v>
      </c>
      <c r="BI474">
        <f t="shared" si="413"/>
        <v>-67.510723794175561</v>
      </c>
      <c r="BJ474">
        <f t="shared" si="402"/>
        <v>0</v>
      </c>
      <c r="BK474">
        <f t="shared" si="414"/>
        <v>0</v>
      </c>
      <c r="BM474">
        <f t="shared" si="415"/>
        <v>-61.749811954081466</v>
      </c>
      <c r="BN474">
        <f t="shared" si="403"/>
        <v>-162.429953511364</v>
      </c>
      <c r="BQ474" s="56">
        <f t="shared" si="416"/>
        <v>16.090258437549739</v>
      </c>
    </row>
    <row r="475" spans="1:69" x14ac:dyDescent="0.2">
      <c r="A475">
        <f t="shared" si="420"/>
        <v>1305000</v>
      </c>
      <c r="B475">
        <f t="shared" si="404"/>
        <v>1305</v>
      </c>
      <c r="C475">
        <f t="shared" si="373"/>
        <v>1.0483981578001593</v>
      </c>
      <c r="D475">
        <f t="shared" si="374"/>
        <v>0.30503616985829651</v>
      </c>
      <c r="F475">
        <f t="shared" si="375"/>
        <v>5.1606839327256758E-5</v>
      </c>
      <c r="G475">
        <f t="shared" si="376"/>
        <v>2.7065198282896674E-3</v>
      </c>
      <c r="H475">
        <f t="shared" si="377"/>
        <v>-3.1388861301717106</v>
      </c>
      <c r="J475">
        <f t="shared" si="378"/>
        <v>15</v>
      </c>
      <c r="M475">
        <f t="shared" si="379"/>
        <v>1.7293093264384373E-4</v>
      </c>
      <c r="N475">
        <f t="shared" si="380"/>
        <v>-1.5707963250000001</v>
      </c>
      <c r="O475">
        <f t="shared" si="381"/>
        <v>1224.7682099211843</v>
      </c>
      <c r="P475">
        <f t="shared" si="382"/>
        <v>1.5699798456819754</v>
      </c>
      <c r="Q475">
        <f t="shared" si="383"/>
        <v>182.25921246063501</v>
      </c>
      <c r="R475">
        <f t="shared" si="384"/>
        <v>1.5653096081601363</v>
      </c>
      <c r="S475">
        <f t="shared" si="385"/>
        <v>0.19075583569466478</v>
      </c>
      <c r="T475">
        <f t="shared" si="386"/>
        <v>-1.3788642634459474</v>
      </c>
      <c r="U475">
        <f t="shared" si="387"/>
        <v>0.17497891787587583</v>
      </c>
      <c r="V475">
        <f t="shared" si="388"/>
        <v>-1.3949119711438029</v>
      </c>
      <c r="X475">
        <f t="shared" si="405"/>
        <v>-59.611911853042123</v>
      </c>
      <c r="Y475">
        <f t="shared" si="389"/>
        <v>-231.65446095979044</v>
      </c>
      <c r="Z475">
        <f t="shared" si="406"/>
        <v>-51.654460959790441</v>
      </c>
      <c r="AC475">
        <v>1</v>
      </c>
      <c r="AD475">
        <f t="shared" si="390"/>
        <v>1224.7678016806049</v>
      </c>
      <c r="AE475">
        <f t="shared" si="391"/>
        <v>-1.8076595718419866</v>
      </c>
      <c r="AF475">
        <f t="shared" si="392"/>
        <v>0.32125863607047001</v>
      </c>
      <c r="AG475">
        <f t="shared" si="367"/>
        <v>116.19048846538396</v>
      </c>
      <c r="AH475">
        <f t="shared" si="368"/>
        <v>-656.89393198181892</v>
      </c>
      <c r="AJ475">
        <f t="shared" si="393"/>
        <v>18000</v>
      </c>
      <c r="AK475">
        <f t="shared" si="394"/>
        <v>92628.753444637201</v>
      </c>
      <c r="AL475">
        <v>1</v>
      </c>
      <c r="AM475">
        <f t="shared" si="395"/>
        <v>182.25646909443543</v>
      </c>
      <c r="AN475">
        <f t="shared" si="369"/>
        <v>508.75957590514116</v>
      </c>
      <c r="AO475">
        <f t="shared" si="370"/>
        <v>-95.970477816246103</v>
      </c>
      <c r="AQ475">
        <f t="shared" si="396"/>
        <v>1.4679758858537183E-3</v>
      </c>
      <c r="AR475">
        <f t="shared" si="397"/>
        <v>-3.8314170620782049</v>
      </c>
      <c r="AT475">
        <f t="shared" si="418"/>
        <v>-2516.6640541355482</v>
      </c>
      <c r="AU475">
        <f t="shared" si="419"/>
        <v>-446.13852440918595</v>
      </c>
      <c r="AV475">
        <f t="shared" si="407"/>
        <v>-2.9661416373079166</v>
      </c>
      <c r="AW475">
        <f t="shared" si="408"/>
        <v>256.82062223261704</v>
      </c>
      <c r="AX475">
        <f t="shared" si="409"/>
        <v>-2805.4013367823177</v>
      </c>
      <c r="AY475">
        <f t="shared" si="417"/>
        <v>-1.47950572366827</v>
      </c>
      <c r="BA475">
        <f t="shared" si="398"/>
        <v>0.90727107016488384</v>
      </c>
      <c r="BB475">
        <f t="shared" si="410"/>
        <v>-0.84525874196205875</v>
      </c>
      <c r="BC475">
        <f t="shared" si="411"/>
        <v>-1.4866359136396465</v>
      </c>
      <c r="BD475">
        <f t="shared" si="399"/>
        <v>-265.17796362145691</v>
      </c>
      <c r="BF475">
        <f t="shared" si="400"/>
        <v>-62.658763349432704</v>
      </c>
      <c r="BG475">
        <f t="shared" si="401"/>
        <v>-247.54560630626344</v>
      </c>
      <c r="BH475">
        <f t="shared" si="412"/>
        <v>-67.545606306263437</v>
      </c>
      <c r="BI475">
        <f t="shared" si="413"/>
        <v>-67.545606306263437</v>
      </c>
      <c r="BJ475">
        <f t="shared" si="402"/>
        <v>0</v>
      </c>
      <c r="BK475">
        <f t="shared" si="414"/>
        <v>0</v>
      </c>
      <c r="BM475">
        <f t="shared" si="415"/>
        <v>-61.813504607470648</v>
      </c>
      <c r="BN475">
        <f t="shared" si="403"/>
        <v>-162.36764268480653</v>
      </c>
      <c r="BQ475" s="56">
        <f t="shared" si="416"/>
        <v>16.056702058323079</v>
      </c>
    </row>
    <row r="476" spans="1:69" x14ac:dyDescent="0.2">
      <c r="A476">
        <f t="shared" si="420"/>
        <v>1310000</v>
      </c>
      <c r="B476">
        <f t="shared" si="404"/>
        <v>1310</v>
      </c>
      <c r="C476">
        <f t="shared" si="373"/>
        <v>1.0487610958245939</v>
      </c>
      <c r="D476">
        <f t="shared" si="374"/>
        <v>0.30613335107961909</v>
      </c>
      <c r="F476">
        <f t="shared" si="375"/>
        <v>5.1213626890238138E-5</v>
      </c>
      <c r="G476">
        <f t="shared" si="376"/>
        <v>2.69618857970403E-3</v>
      </c>
      <c r="H476">
        <f t="shared" si="377"/>
        <v>-3.1388964614202961</v>
      </c>
      <c r="J476">
        <f t="shared" si="378"/>
        <v>15</v>
      </c>
      <c r="M476">
        <f t="shared" si="379"/>
        <v>1.7227089091619547E-4</v>
      </c>
      <c r="N476">
        <f t="shared" si="380"/>
        <v>-1.5707963250000001</v>
      </c>
      <c r="O476">
        <f t="shared" si="381"/>
        <v>1229.4608053043194</v>
      </c>
      <c r="P476">
        <f t="shared" si="382"/>
        <v>1.569982962020724</v>
      </c>
      <c r="Q476">
        <f t="shared" si="383"/>
        <v>182.95750263779979</v>
      </c>
      <c r="R476">
        <f t="shared" si="384"/>
        <v>1.5653305494164338</v>
      </c>
      <c r="S476">
        <f t="shared" si="385"/>
        <v>0.1900541070446416</v>
      </c>
      <c r="T476">
        <f t="shared" si="386"/>
        <v>-1.3795790690293597</v>
      </c>
      <c r="U476">
        <f t="shared" si="387"/>
        <v>0.17433139428521935</v>
      </c>
      <c r="V476">
        <f t="shared" si="388"/>
        <v>-1.3955696027658144</v>
      </c>
      <c r="X476">
        <f t="shared" si="405"/>
        <v>-59.706339299677261</v>
      </c>
      <c r="Y476">
        <f t="shared" si="389"/>
        <v>-231.66944550426189</v>
      </c>
      <c r="Z476">
        <f t="shared" si="406"/>
        <v>-51.669445504261887</v>
      </c>
      <c r="AC476">
        <v>1</v>
      </c>
      <c r="AD476">
        <f t="shared" si="390"/>
        <v>1229.4603986219099</v>
      </c>
      <c r="AE476">
        <f t="shared" si="391"/>
        <v>-1.821537905337874</v>
      </c>
      <c r="AF476">
        <f t="shared" si="392"/>
        <v>0.32248951207074</v>
      </c>
      <c r="AG476">
        <f t="shared" si="367"/>
        <v>115.33213507505319</v>
      </c>
      <c r="AH476">
        <f t="shared" si="368"/>
        <v>-654.53866821087513</v>
      </c>
      <c r="AJ476">
        <f t="shared" si="393"/>
        <v>18000</v>
      </c>
      <c r="AK476">
        <f t="shared" si="394"/>
        <v>92983.652883122399</v>
      </c>
      <c r="AL476">
        <v>1</v>
      </c>
      <c r="AM476">
        <f t="shared" si="395"/>
        <v>182.95476974230681</v>
      </c>
      <c r="AN476">
        <f t="shared" si="369"/>
        <v>508.75556409070799</v>
      </c>
      <c r="AO476">
        <f t="shared" si="370"/>
        <v>-95.604200210499272</v>
      </c>
      <c r="AQ476">
        <f t="shared" si="396"/>
        <v>1.4567913500391366E-3</v>
      </c>
      <c r="AR476">
        <f t="shared" si="397"/>
        <v>-3.816793337102538</v>
      </c>
      <c r="AT476">
        <f t="shared" si="418"/>
        <v>-2498.070812846478</v>
      </c>
      <c r="AU476">
        <f t="shared" si="419"/>
        <v>-441.15245097838869</v>
      </c>
      <c r="AV476">
        <f t="shared" si="407"/>
        <v>-2.9667976149641047</v>
      </c>
      <c r="AW476">
        <f t="shared" si="408"/>
        <v>258.7625591260022</v>
      </c>
      <c r="AX476">
        <f t="shared" si="409"/>
        <v>-2794.8271043172804</v>
      </c>
      <c r="AY476">
        <f t="shared" si="417"/>
        <v>-1.4784732814045267</v>
      </c>
      <c r="BA476">
        <f t="shared" si="398"/>
        <v>0.90378458086950697</v>
      </c>
      <c r="BB476">
        <f t="shared" si="410"/>
        <v>-0.87870144554469887</v>
      </c>
      <c r="BC476">
        <f t="shared" si="411"/>
        <v>-1.4883243335595779</v>
      </c>
      <c r="BD476">
        <f t="shared" si="399"/>
        <v>-265.27470295702528</v>
      </c>
      <c r="BF476">
        <f t="shared" si="400"/>
        <v>-62.75563422786027</v>
      </c>
      <c r="BG476">
        <f t="shared" si="401"/>
        <v>-247.58007372535894</v>
      </c>
      <c r="BH476">
        <f t="shared" si="412"/>
        <v>-67.580073725358943</v>
      </c>
      <c r="BI476">
        <f t="shared" si="413"/>
        <v>-67.580073725358943</v>
      </c>
      <c r="BJ476">
        <f t="shared" si="402"/>
        <v>0</v>
      </c>
      <c r="BK476">
        <f t="shared" si="414"/>
        <v>0</v>
      </c>
      <c r="BM476">
        <f t="shared" si="415"/>
        <v>-61.876932782315571</v>
      </c>
      <c r="BN476">
        <f t="shared" si="403"/>
        <v>-162.30537076833363</v>
      </c>
      <c r="BQ476" s="56">
        <f t="shared" si="416"/>
        <v>16.023259354740439</v>
      </c>
    </row>
    <row r="477" spans="1:69" x14ac:dyDescent="0.2">
      <c r="A477">
        <f t="shared" si="420"/>
        <v>1315000</v>
      </c>
      <c r="B477">
        <f t="shared" si="404"/>
        <v>1315</v>
      </c>
      <c r="C477">
        <f t="shared" si="373"/>
        <v>1.0491252954801942</v>
      </c>
      <c r="D477">
        <f t="shared" si="374"/>
        <v>0.30722977185590128</v>
      </c>
      <c r="F477">
        <f t="shared" si="375"/>
        <v>5.0824891518869931E-5</v>
      </c>
      <c r="G477">
        <f t="shared" si="376"/>
        <v>2.6859359073184768E-3</v>
      </c>
      <c r="H477">
        <f t="shared" si="377"/>
        <v>-3.1389067140926818</v>
      </c>
      <c r="J477">
        <f t="shared" si="378"/>
        <v>15</v>
      </c>
      <c r="M477">
        <f t="shared" si="379"/>
        <v>1.7161586851727458E-4</v>
      </c>
      <c r="N477">
        <f t="shared" si="380"/>
        <v>-1.5707963250000001</v>
      </c>
      <c r="O477">
        <f t="shared" si="381"/>
        <v>1234.153400699304</v>
      </c>
      <c r="P477">
        <f t="shared" si="382"/>
        <v>1.5699860546610946</v>
      </c>
      <c r="Q477">
        <f t="shared" si="383"/>
        <v>183.65579289458788</v>
      </c>
      <c r="R477">
        <f t="shared" si="384"/>
        <v>1.5653513314283733</v>
      </c>
      <c r="S477">
        <f t="shared" si="385"/>
        <v>0.18935742664413244</v>
      </c>
      <c r="T477">
        <f t="shared" si="386"/>
        <v>-1.3802886344545251</v>
      </c>
      <c r="U477">
        <f t="shared" si="387"/>
        <v>0.17368857116378528</v>
      </c>
      <c r="V477">
        <f t="shared" si="388"/>
        <v>-1.3962223848154744</v>
      </c>
      <c r="X477">
        <f t="shared" si="405"/>
        <v>-59.800402369472152</v>
      </c>
      <c r="Y477">
        <f t="shared" si="389"/>
        <v>-231.68390149980655</v>
      </c>
      <c r="Z477">
        <f t="shared" si="406"/>
        <v>-51.683901499806552</v>
      </c>
      <c r="AC477">
        <v>1</v>
      </c>
      <c r="AD477">
        <f t="shared" si="390"/>
        <v>1234.152995563215</v>
      </c>
      <c r="AE477">
        <f t="shared" si="391"/>
        <v>-1.8354693108547786</v>
      </c>
      <c r="AF477">
        <f t="shared" si="392"/>
        <v>0.32372038807101</v>
      </c>
      <c r="AG477">
        <f t="shared" si="367"/>
        <v>114.48316032536124</v>
      </c>
      <c r="AH477">
        <f t="shared" si="368"/>
        <v>-652.19966108700942</v>
      </c>
      <c r="AJ477">
        <f t="shared" si="393"/>
        <v>18000</v>
      </c>
      <c r="AK477">
        <f t="shared" si="394"/>
        <v>93338.552321607596</v>
      </c>
      <c r="AL477">
        <v>1</v>
      </c>
      <c r="AM477">
        <f t="shared" si="395"/>
        <v>183.65307039017821</v>
      </c>
      <c r="AN477">
        <f t="shared" si="369"/>
        <v>508.75159794955181</v>
      </c>
      <c r="AO477">
        <f t="shared" si="370"/>
        <v>-95.240707737091469</v>
      </c>
      <c r="AQ477">
        <f t="shared" si="396"/>
        <v>1.4457341517537985E-3</v>
      </c>
      <c r="AR477">
        <f t="shared" si="397"/>
        <v>-3.8022808191124899</v>
      </c>
      <c r="AT477">
        <f t="shared" si="418"/>
        <v>-2479.6807493681195</v>
      </c>
      <c r="AU477">
        <f t="shared" si="419"/>
        <v>-436.24003194029677</v>
      </c>
      <c r="AV477">
        <f t="shared" si="407"/>
        <v>-2.9674487556256142</v>
      </c>
      <c r="AW477">
        <f t="shared" si="408"/>
        <v>260.68200006696327</v>
      </c>
      <c r="AX477">
        <f t="shared" si="409"/>
        <v>-2784.3318396294776</v>
      </c>
      <c r="AY477">
        <f t="shared" si="417"/>
        <v>-1.4774438384049959</v>
      </c>
      <c r="BA477">
        <f t="shared" si="398"/>
        <v>0.90032318789394705</v>
      </c>
      <c r="BB477">
        <f t="shared" si="410"/>
        <v>-0.91203128846357173</v>
      </c>
      <c r="BC477">
        <f t="shared" si="411"/>
        <v>-1.4900049172206182</v>
      </c>
      <c r="BD477">
        <f t="shared" si="399"/>
        <v>-265.37099330803159</v>
      </c>
      <c r="BF477">
        <f t="shared" si="400"/>
        <v>-62.852129731618611</v>
      </c>
      <c r="BG477">
        <f t="shared" si="401"/>
        <v>-247.6141312280991</v>
      </c>
      <c r="BH477">
        <f t="shared" si="412"/>
        <v>-67.614131228099097</v>
      </c>
      <c r="BI477">
        <f t="shared" si="413"/>
        <v>-67.614131228099097</v>
      </c>
      <c r="BJ477">
        <f t="shared" si="402"/>
        <v>0</v>
      </c>
      <c r="BK477">
        <f t="shared" si="414"/>
        <v>0</v>
      </c>
      <c r="BM477">
        <f t="shared" si="415"/>
        <v>-61.940098443155037</v>
      </c>
      <c r="BN477">
        <f t="shared" si="403"/>
        <v>-162.24313792006754</v>
      </c>
      <c r="BQ477" s="56">
        <f t="shared" si="416"/>
        <v>15.989929511821565</v>
      </c>
    </row>
    <row r="478" spans="1:69" x14ac:dyDescent="0.2">
      <c r="A478">
        <f t="shared" si="420"/>
        <v>1320000</v>
      </c>
      <c r="B478">
        <f t="shared" si="404"/>
        <v>1320</v>
      </c>
      <c r="C478">
        <f t="shared" si="373"/>
        <v>1.0494907554535069</v>
      </c>
      <c r="D478">
        <f t="shared" si="374"/>
        <v>0.30832543034409965</v>
      </c>
      <c r="F478">
        <f t="shared" si="375"/>
        <v>5.0440565502098306E-5</v>
      </c>
      <c r="G478">
        <f t="shared" si="376"/>
        <v>2.6757609180472924E-3</v>
      </c>
      <c r="H478">
        <f t="shared" si="377"/>
        <v>-3.138916889081953</v>
      </c>
      <c r="J478">
        <f t="shared" si="378"/>
        <v>15</v>
      </c>
      <c r="M478">
        <f t="shared" si="379"/>
        <v>1.709658084092546E-4</v>
      </c>
      <c r="N478">
        <f t="shared" si="380"/>
        <v>-1.5707963250000001</v>
      </c>
      <c r="O478">
        <f t="shared" si="381"/>
        <v>1238.8459961060032</v>
      </c>
      <c r="P478">
        <f t="shared" si="382"/>
        <v>1.5699891238723871</v>
      </c>
      <c r="Q478">
        <f t="shared" si="383"/>
        <v>184.35408323009457</v>
      </c>
      <c r="R478">
        <f t="shared" si="384"/>
        <v>1.5653719560054786</v>
      </c>
      <c r="S478">
        <f t="shared" si="385"/>
        <v>0.18866574127304964</v>
      </c>
      <c r="T478">
        <f t="shared" si="386"/>
        <v>-1.3809930164267892</v>
      </c>
      <c r="U478">
        <f t="shared" si="387"/>
        <v>0.17305039834015881</v>
      </c>
      <c r="V478">
        <f t="shared" si="388"/>
        <v>-1.3968703701887841</v>
      </c>
      <c r="X478">
        <f t="shared" si="405"/>
        <v>-59.894103602423179</v>
      </c>
      <c r="Y478">
        <f t="shared" si="389"/>
        <v>-231.69783526377961</v>
      </c>
      <c r="Z478">
        <f t="shared" si="406"/>
        <v>-51.697835263779609</v>
      </c>
      <c r="AC478">
        <v>1</v>
      </c>
      <c r="AD478">
        <f t="shared" si="390"/>
        <v>1238.84559250452</v>
      </c>
      <c r="AE478">
        <f t="shared" si="391"/>
        <v>-1.8494537883926996</v>
      </c>
      <c r="AF478">
        <f t="shared" si="392"/>
        <v>0.32495126407128</v>
      </c>
      <c r="AG478">
        <f t="shared" si="367"/>
        <v>113.64342952129674</v>
      </c>
      <c r="AH478">
        <f t="shared" si="368"/>
        <v>-649.8767495416721</v>
      </c>
      <c r="AJ478">
        <f t="shared" si="393"/>
        <v>18000</v>
      </c>
      <c r="AK478">
        <f t="shared" si="394"/>
        <v>93693.451760092808</v>
      </c>
      <c r="AL478">
        <v>1</v>
      </c>
      <c r="AM478">
        <f t="shared" si="395"/>
        <v>184.35137103804962</v>
      </c>
      <c r="AN478">
        <f t="shared" si="369"/>
        <v>508.74767679099978</v>
      </c>
      <c r="AO478">
        <f t="shared" si="370"/>
        <v>-94.879968750538069</v>
      </c>
      <c r="AQ478">
        <f t="shared" si="396"/>
        <v>1.4348023653003952E-3</v>
      </c>
      <c r="AR478">
        <f t="shared" si="397"/>
        <v>-3.7878782443930437</v>
      </c>
      <c r="AT478">
        <f t="shared" si="418"/>
        <v>-2461.4909452642887</v>
      </c>
      <c r="AU478">
        <f t="shared" si="419"/>
        <v>-431.39991899933023</v>
      </c>
      <c r="AV478">
        <f t="shared" si="407"/>
        <v>-2.9680951120455186</v>
      </c>
      <c r="AW478">
        <f t="shared" si="408"/>
        <v>262.57929226317964</v>
      </c>
      <c r="AX478">
        <f t="shared" si="409"/>
        <v>-2773.9146658866357</v>
      </c>
      <c r="AY478">
        <f t="shared" si="417"/>
        <v>-1.47641736116053</v>
      </c>
      <c r="BA478">
        <f t="shared" si="398"/>
        <v>0.8968866220274293</v>
      </c>
      <c r="BB478">
        <f t="shared" si="410"/>
        <v>-0.9452490775791017</v>
      </c>
      <c r="BC478">
        <f t="shared" si="411"/>
        <v>-1.4916777508849886</v>
      </c>
      <c r="BD478">
        <f t="shared" si="399"/>
        <v>-265.46683961693697</v>
      </c>
      <c r="BF478">
        <f t="shared" si="400"/>
        <v>-62.948252610005937</v>
      </c>
      <c r="BG478">
        <f t="shared" si="401"/>
        <v>-247.64778391371379</v>
      </c>
      <c r="BH478">
        <f t="shared" si="412"/>
        <v>-67.647783913713795</v>
      </c>
      <c r="BI478">
        <f t="shared" si="413"/>
        <v>-67.647783913713795</v>
      </c>
      <c r="BJ478">
        <f t="shared" si="402"/>
        <v>0</v>
      </c>
      <c r="BK478">
        <f t="shared" si="414"/>
        <v>0</v>
      </c>
      <c r="BM478">
        <f t="shared" si="415"/>
        <v>-62.003003532426831</v>
      </c>
      <c r="BN478">
        <f t="shared" si="403"/>
        <v>-162.18094429677683</v>
      </c>
      <c r="BQ478" s="56">
        <f t="shared" si="416"/>
        <v>15.956711722706036</v>
      </c>
    </row>
    <row r="479" spans="1:69" x14ac:dyDescent="0.2">
      <c r="A479">
        <f t="shared" si="420"/>
        <v>1325000</v>
      </c>
      <c r="B479">
        <f t="shared" si="404"/>
        <v>1325</v>
      </c>
      <c r="C479">
        <f t="shared" si="373"/>
        <v>1.049857474428366</v>
      </c>
      <c r="D479">
        <f t="shared" si="374"/>
        <v>0.3094203247110533</v>
      </c>
      <c r="F479">
        <f t="shared" si="375"/>
        <v>5.0060582404141934E-5</v>
      </c>
      <c r="G479">
        <f t="shared" si="376"/>
        <v>2.6656627322885697E-3</v>
      </c>
      <c r="H479">
        <f t="shared" si="377"/>
        <v>-3.1389269872677117</v>
      </c>
      <c r="J479">
        <f t="shared" si="378"/>
        <v>15</v>
      </c>
      <c r="M479">
        <f t="shared" si="379"/>
        <v>1.7032065441525743E-4</v>
      </c>
      <c r="N479">
        <f t="shared" si="380"/>
        <v>-1.5707963250000001</v>
      </c>
      <c r="O479">
        <f t="shared" si="381"/>
        <v>1243.5385915242844</v>
      </c>
      <c r="P479">
        <f t="shared" si="382"/>
        <v>1.5699921699198356</v>
      </c>
      <c r="Q479">
        <f t="shared" si="383"/>
        <v>185.05237364342875</v>
      </c>
      <c r="R479">
        <f t="shared" si="384"/>
        <v>1.5653924249299611</v>
      </c>
      <c r="S479">
        <f t="shared" si="385"/>
        <v>0.18797899844099608</v>
      </c>
      <c r="T479">
        <f t="shared" si="386"/>
        <v>-1.3816922708466124</v>
      </c>
      <c r="U479">
        <f t="shared" si="387"/>
        <v>0.1724168263421226</v>
      </c>
      <c r="V479">
        <f t="shared" si="388"/>
        <v>-1.3975136110233393</v>
      </c>
      <c r="X479">
        <f t="shared" si="405"/>
        <v>-59.987445512476967</v>
      </c>
      <c r="Y479">
        <f t="shared" si="389"/>
        <v>-231.71125302442582</v>
      </c>
      <c r="Z479">
        <f t="shared" si="406"/>
        <v>-51.711253024425815</v>
      </c>
      <c r="AC479">
        <v>1</v>
      </c>
      <c r="AD479">
        <f t="shared" si="390"/>
        <v>1243.5381894458251</v>
      </c>
      <c r="AE479">
        <f t="shared" si="391"/>
        <v>-1.8634913379516376</v>
      </c>
      <c r="AF479">
        <f t="shared" si="392"/>
        <v>0.32618214007155</v>
      </c>
      <c r="AG479">
        <f t="shared" si="367"/>
        <v>112.81281035081463</v>
      </c>
      <c r="AH479">
        <f t="shared" si="368"/>
        <v>-647.56977452042679</v>
      </c>
      <c r="AJ479">
        <f t="shared" si="393"/>
        <v>18000</v>
      </c>
      <c r="AK479">
        <f t="shared" si="394"/>
        <v>94048.351198577991</v>
      </c>
      <c r="AL479">
        <v>1</v>
      </c>
      <c r="AM479">
        <f t="shared" si="395"/>
        <v>185.04967168592103</v>
      </c>
      <c r="AN479">
        <f t="shared" si="369"/>
        <v>508.74379993738472</v>
      </c>
      <c r="AO479">
        <f t="shared" si="370"/>
        <v>-94.521952082951941</v>
      </c>
      <c r="AQ479">
        <f t="shared" si="396"/>
        <v>1.423994101246835E-3</v>
      </c>
      <c r="AR479">
        <f t="shared" si="397"/>
        <v>-3.7735843683041126</v>
      </c>
      <c r="AT479">
        <f t="shared" si="418"/>
        <v>-2443.4985337400167</v>
      </c>
      <c r="AU479">
        <f t="shared" si="419"/>
        <v>-426.63079322335329</v>
      </c>
      <c r="AV479">
        <f t="shared" si="407"/>
        <v>-2.9687367362206429</v>
      </c>
      <c r="AW479">
        <f t="shared" si="408"/>
        <v>264.45477623280044</v>
      </c>
      <c r="AX479">
        <f t="shared" si="409"/>
        <v>-2763.5747191330365</v>
      </c>
      <c r="AY479">
        <f t="shared" si="417"/>
        <v>-1.4753938167082525</v>
      </c>
      <c r="BA479">
        <f t="shared" si="398"/>
        <v>0.89347461783188975</v>
      </c>
      <c r="BB479">
        <f t="shared" si="410"/>
        <v>-0.97835561173137497</v>
      </c>
      <c r="BC479">
        <f t="shared" si="411"/>
        <v>-1.4933429195123904</v>
      </c>
      <c r="BD479">
        <f t="shared" si="399"/>
        <v>-265.5622467515737</v>
      </c>
      <c r="BF479">
        <f t="shared" si="400"/>
        <v>-63.044005582533472</v>
      </c>
      <c r="BG479">
        <f t="shared" si="401"/>
        <v>-247.68103680546511</v>
      </c>
      <c r="BH479">
        <f t="shared" si="412"/>
        <v>-67.681036805465112</v>
      </c>
      <c r="BI479">
        <f t="shared" si="413"/>
        <v>-67.681036805465112</v>
      </c>
      <c r="BJ479">
        <f t="shared" si="402"/>
        <v>0</v>
      </c>
      <c r="BK479">
        <f t="shared" si="414"/>
        <v>0</v>
      </c>
      <c r="BM479">
        <f t="shared" si="415"/>
        <v>-62.065649970802099</v>
      </c>
      <c r="BN479">
        <f t="shared" si="403"/>
        <v>-162.11879005389144</v>
      </c>
      <c r="BQ479" s="56">
        <f t="shared" si="416"/>
        <v>15.923605188553761</v>
      </c>
    </row>
    <row r="480" spans="1:69" x14ac:dyDescent="0.2">
      <c r="A480">
        <f t="shared" si="420"/>
        <v>1330000</v>
      </c>
      <c r="B480">
        <f t="shared" si="404"/>
        <v>1330</v>
      </c>
      <c r="C480">
        <f t="shared" si="373"/>
        <v>1.0502254510859124</v>
      </c>
      <c r="D480">
        <f t="shared" si="374"/>
        <v>0.31051445313348558</v>
      </c>
      <c r="F480">
        <f t="shared" si="375"/>
        <v>4.9684877035777452E-5</v>
      </c>
      <c r="G480">
        <f t="shared" si="376"/>
        <v>2.655640483670685E-3</v>
      </c>
      <c r="H480">
        <f t="shared" si="377"/>
        <v>-3.1389370095163294</v>
      </c>
      <c r="J480">
        <f t="shared" si="378"/>
        <v>15</v>
      </c>
      <c r="M480">
        <f t="shared" si="379"/>
        <v>1.6968035120317E-4</v>
      </c>
      <c r="N480">
        <f t="shared" si="380"/>
        <v>-1.5707963250000001</v>
      </c>
      <c r="O480">
        <f t="shared" si="381"/>
        <v>1248.2311869540165</v>
      </c>
      <c r="P480">
        <f t="shared" si="382"/>
        <v>1.5699951930646865</v>
      </c>
      <c r="Q480">
        <f t="shared" si="383"/>
        <v>185.75066413371263</v>
      </c>
      <c r="R480">
        <f t="shared" si="384"/>
        <v>1.5654127399572328</v>
      </c>
      <c r="S480">
        <f t="shared" si="385"/>
        <v>0.18729714637509762</v>
      </c>
      <c r="T480">
        <f t="shared" si="386"/>
        <v>-1.3823864528236109</v>
      </c>
      <c r="U480">
        <f t="shared" si="387"/>
        <v>0.17178780638474858</v>
      </c>
      <c r="V480">
        <f t="shared" si="388"/>
        <v>-1.3981521587117263</v>
      </c>
      <c r="X480">
        <f t="shared" si="405"/>
        <v>-60.080430587879363</v>
      </c>
      <c r="Y480">
        <f t="shared" si="389"/>
        <v>-231.72416092243117</v>
      </c>
      <c r="Z480">
        <f t="shared" si="406"/>
        <v>-51.724160922431167</v>
      </c>
      <c r="AC480">
        <v>1</v>
      </c>
      <c r="AD480">
        <f t="shared" si="390"/>
        <v>1248.2307863871299</v>
      </c>
      <c r="AE480">
        <f t="shared" si="391"/>
        <v>-1.8775819595315923</v>
      </c>
      <c r="AF480">
        <f t="shared" si="392"/>
        <v>0.32741301607182</v>
      </c>
      <c r="AG480">
        <f t="shared" si="367"/>
        <v>111.99117283500777</v>
      </c>
      <c r="AH480">
        <f t="shared" si="368"/>
        <v>-645.27857895377997</v>
      </c>
      <c r="AJ480">
        <f t="shared" si="393"/>
        <v>18000</v>
      </c>
      <c r="AK480">
        <f t="shared" si="394"/>
        <v>94403.250637063204</v>
      </c>
      <c r="AL480">
        <v>1</v>
      </c>
      <c r="AM480">
        <f t="shared" si="395"/>
        <v>185.7479723337924</v>
      </c>
      <c r="AN480">
        <f t="shared" si="369"/>
        <v>508.7399667237537</v>
      </c>
      <c r="AO480">
        <f t="shared" si="370"/>
        <v>-94.166627035067407</v>
      </c>
      <c r="AQ480">
        <f t="shared" si="396"/>
        <v>1.4133075056097708E-3</v>
      </c>
      <c r="AR480">
        <f t="shared" si="397"/>
        <v>-3.7593979649219902</v>
      </c>
      <c r="AT480">
        <f t="shared" si="418"/>
        <v>-2425.7006985614644</v>
      </c>
      <c r="AU480">
        <f t="shared" si="419"/>
        <v>-421.93136430399966</v>
      </c>
      <c r="AV480">
        <f t="shared" si="407"/>
        <v>-2.9693736794049195</v>
      </c>
      <c r="AW480">
        <f t="shared" si="408"/>
        <v>266.30878595880489</v>
      </c>
      <c r="AX480">
        <f t="shared" si="409"/>
        <v>-2753.3111480548678</v>
      </c>
      <c r="AY480">
        <f t="shared" si="417"/>
        <v>-1.4743731726206017</v>
      </c>
      <c r="BA480">
        <f t="shared" si="398"/>
        <v>0.89008691357762282</v>
      </c>
      <c r="BB480">
        <f t="shared" si="410"/>
        <v>-1.0113516818382913</v>
      </c>
      <c r="BC480">
        <f t="shared" si="411"/>
        <v>-1.4950005067843177</v>
      </c>
      <c r="BD480">
        <f t="shared" si="399"/>
        <v>-265.65721950653824</v>
      </c>
      <c r="BF480">
        <f t="shared" si="400"/>
        <v>-63.139391339351647</v>
      </c>
      <c r="BG480">
        <f t="shared" si="401"/>
        <v>-247.71389485205503</v>
      </c>
      <c r="BH480">
        <f t="shared" si="412"/>
        <v>-67.713894852055034</v>
      </c>
      <c r="BI480">
        <f t="shared" si="413"/>
        <v>-67.713894852055034</v>
      </c>
      <c r="BJ480">
        <f t="shared" si="402"/>
        <v>0</v>
      </c>
      <c r="BK480">
        <f t="shared" si="414"/>
        <v>0</v>
      </c>
      <c r="BM480">
        <f t="shared" si="415"/>
        <v>-62.128039657513355</v>
      </c>
      <c r="BN480">
        <f t="shared" si="403"/>
        <v>-162.05667534551682</v>
      </c>
      <c r="BQ480" s="56">
        <f t="shared" si="416"/>
        <v>15.890609118446847</v>
      </c>
    </row>
    <row r="481" spans="1:69" x14ac:dyDescent="0.2">
      <c r="A481">
        <f t="shared" si="420"/>
        <v>1335000</v>
      </c>
      <c r="B481">
        <f t="shared" si="404"/>
        <v>1335</v>
      </c>
      <c r="C481">
        <f t="shared" si="373"/>
        <v>1.050594684104615</v>
      </c>
      <c r="D481">
        <f t="shared" si="374"/>
        <v>0.31160781379800528</v>
      </c>
      <c r="F481">
        <f t="shared" si="375"/>
        <v>4.9313385426376531E-5</v>
      </c>
      <c r="G481">
        <f t="shared" si="376"/>
        <v>2.6456933188044652E-3</v>
      </c>
      <c r="H481">
        <f t="shared" si="377"/>
        <v>-3.1389469566811958</v>
      </c>
      <c r="J481">
        <f t="shared" si="378"/>
        <v>15</v>
      </c>
      <c r="M481">
        <f t="shared" si="379"/>
        <v>1.6904484426982479E-4</v>
      </c>
      <c r="N481">
        <f t="shared" si="380"/>
        <v>-1.5707963250000001</v>
      </c>
      <c r="O481">
        <f t="shared" si="381"/>
        <v>1252.9237823950716</v>
      </c>
      <c r="P481">
        <f t="shared" si="382"/>
        <v>1.5699981935642719</v>
      </c>
      <c r="Q481">
        <f t="shared" si="383"/>
        <v>186.44895470008166</v>
      </c>
      <c r="R481">
        <f t="shared" si="384"/>
        <v>1.5654329028164098</v>
      </c>
      <c r="S481">
        <f t="shared" si="385"/>
        <v>0.1866201340080717</v>
      </c>
      <c r="T481">
        <f t="shared" si="386"/>
        <v>-1.3830756166903087</v>
      </c>
      <c r="U481">
        <f t="shared" si="387"/>
        <v>0.17116329035872768</v>
      </c>
      <c r="V481">
        <f t="shared" si="388"/>
        <v>-1.3987860639146372</v>
      </c>
      <c r="X481">
        <f t="shared" si="405"/>
        <v>-60.173061291518721</v>
      </c>
      <c r="Y481">
        <f t="shared" si="389"/>
        <v>-231.73656501244417</v>
      </c>
      <c r="Z481">
        <f t="shared" si="406"/>
        <v>-51.736565012444174</v>
      </c>
      <c r="AC481">
        <v>1</v>
      </c>
      <c r="AD481">
        <f t="shared" si="390"/>
        <v>1252.923383328435</v>
      </c>
      <c r="AE481">
        <f t="shared" si="391"/>
        <v>-1.8917256531325639</v>
      </c>
      <c r="AF481">
        <f t="shared" si="392"/>
        <v>0.32864389207208999</v>
      </c>
      <c r="AG481">
        <f t="shared" si="367"/>
        <v>111.17838927947483</v>
      </c>
      <c r="AH481">
        <f t="shared" si="368"/>
        <v>-643.00300772845912</v>
      </c>
      <c r="AJ481">
        <f t="shared" si="393"/>
        <v>18000</v>
      </c>
      <c r="AK481">
        <f t="shared" si="394"/>
        <v>94758.150075548401</v>
      </c>
      <c r="AL481">
        <v>1</v>
      </c>
      <c r="AM481">
        <f t="shared" si="395"/>
        <v>186.44627298166381</v>
      </c>
      <c r="AN481">
        <f t="shared" si="369"/>
        <v>508.73617649758097</v>
      </c>
      <c r="AO481">
        <f t="shared" si="370"/>
        <v>-93.813963367466243</v>
      </c>
      <c r="AQ481">
        <f t="shared" si="396"/>
        <v>1.402740759059496E-3</v>
      </c>
      <c r="AR481">
        <f t="shared" si="397"/>
        <v>-3.7453178266888543</v>
      </c>
      <c r="AT481">
        <f t="shared" si="418"/>
        <v>-2408.0946730017804</v>
      </c>
      <c r="AU481">
        <f t="shared" si="419"/>
        <v>-417.30036983810862</v>
      </c>
      <c r="AV481">
        <f t="shared" si="407"/>
        <v>-2.9700059921224646</v>
      </c>
      <c r="AW481">
        <f t="shared" si="408"/>
        <v>268.14164903921278</v>
      </c>
      <c r="AX481">
        <f t="shared" si="409"/>
        <v>-2743.1231137506629</v>
      </c>
      <c r="AY481">
        <f t="shared" si="417"/>
        <v>-1.4733553969946369</v>
      </c>
      <c r="BA481">
        <f t="shared" si="398"/>
        <v>0.8867232511802039</v>
      </c>
      <c r="BB481">
        <f t="shared" si="410"/>
        <v>-1.0442380709923929</v>
      </c>
      <c r="BC481">
        <f t="shared" si="411"/>
        <v>-1.4966505951278277</v>
      </c>
      <c r="BD481">
        <f t="shared" si="399"/>
        <v>-265.75176260455316</v>
      </c>
      <c r="BF481">
        <f t="shared" si="400"/>
        <v>-63.234412541668839</v>
      </c>
      <c r="BG481">
        <f t="shared" si="401"/>
        <v>-247.74636292900141</v>
      </c>
      <c r="BH481">
        <f t="shared" si="412"/>
        <v>-67.746362929001407</v>
      </c>
      <c r="BI481">
        <f t="shared" si="413"/>
        <v>-67.746362929001407</v>
      </c>
      <c r="BJ481">
        <f t="shared" si="402"/>
        <v>0</v>
      </c>
      <c r="BK481">
        <f t="shared" si="414"/>
        <v>0</v>
      </c>
      <c r="BM481">
        <f t="shared" si="415"/>
        <v>-62.190174470676439</v>
      </c>
      <c r="BN481">
        <f t="shared" si="403"/>
        <v>-161.99460032444824</v>
      </c>
      <c r="BQ481" s="56">
        <f t="shared" si="416"/>
        <v>15.857722729292744</v>
      </c>
    </row>
    <row r="482" spans="1:69" x14ac:dyDescent="0.2">
      <c r="A482">
        <f t="shared" si="420"/>
        <v>1340000</v>
      </c>
      <c r="B482">
        <f t="shared" si="404"/>
        <v>1340</v>
      </c>
      <c r="C482">
        <f t="shared" si="373"/>
        <v>1.0509651721602908</v>
      </c>
      <c r="D482">
        <f t="shared" si="374"/>
        <v>0.31270040490110773</v>
      </c>
      <c r="F482">
        <f t="shared" si="375"/>
        <v>4.8946044796671955E-5</v>
      </c>
      <c r="G482">
        <f t="shared" si="376"/>
        <v>2.6358203970409128E-3</v>
      </c>
      <c r="H482">
        <f t="shared" si="377"/>
        <v>-3.1389568296029591</v>
      </c>
      <c r="J482">
        <f t="shared" si="378"/>
        <v>15</v>
      </c>
      <c r="M482">
        <f t="shared" si="379"/>
        <v>1.684140799255344E-4</v>
      </c>
      <c r="N482">
        <f t="shared" si="380"/>
        <v>-1.5707963250000001</v>
      </c>
      <c r="O482">
        <f t="shared" si="381"/>
        <v>1257.6163778473224</v>
      </c>
      <c r="P482">
        <f t="shared" si="382"/>
        <v>1.5700011716720839</v>
      </c>
      <c r="Q482">
        <f t="shared" si="383"/>
        <v>187.14724534168417</v>
      </c>
      <c r="R482">
        <f t="shared" si="384"/>
        <v>1.5654529152108005</v>
      </c>
      <c r="S482">
        <f t="shared" si="385"/>
        <v>0.18594791096652613</v>
      </c>
      <c r="T482">
        <f t="shared" si="386"/>
        <v>-1.3837598160156084</v>
      </c>
      <c r="U482">
        <f t="shared" si="387"/>
        <v>0.17054323081893114</v>
      </c>
      <c r="V482">
        <f t="shared" si="388"/>
        <v>-1.3994153765737134</v>
      </c>
      <c r="X482">
        <f t="shared" si="405"/>
        <v>-60.265340061263743</v>
      </c>
      <c r="Y482">
        <f t="shared" si="389"/>
        <v>-231.74847126456444</v>
      </c>
      <c r="Z482">
        <f t="shared" si="406"/>
        <v>-51.748471264564444</v>
      </c>
      <c r="AC482">
        <v>1</v>
      </c>
      <c r="AD482">
        <f t="shared" si="390"/>
        <v>1257.6159802697398</v>
      </c>
      <c r="AE482">
        <f t="shared" si="391"/>
        <v>-1.9059224187545523</v>
      </c>
      <c r="AF482">
        <f t="shared" si="392"/>
        <v>0.32987476807235999</v>
      </c>
      <c r="AG482">
        <f t="shared" si="367"/>
        <v>110.37433422685216</v>
      </c>
      <c r="AH482">
        <f t="shared" si="368"/>
        <v>-640.74290765913111</v>
      </c>
      <c r="AJ482">
        <f t="shared" si="393"/>
        <v>18000</v>
      </c>
      <c r="AK482">
        <f t="shared" si="394"/>
        <v>95113.049514033599</v>
      </c>
      <c r="AL482">
        <v>1</v>
      </c>
      <c r="AM482">
        <f t="shared" si="395"/>
        <v>187.14457362953522</v>
      </c>
      <c r="AN482">
        <f t="shared" si="369"/>
        <v>508.73242861849184</v>
      </c>
      <c r="AO482">
        <f t="shared" si="370"/>
        <v>-93.463931291999984</v>
      </c>
      <c r="AQ482">
        <f t="shared" si="396"/>
        <v>1.3922920761455676E-3</v>
      </c>
      <c r="AR482">
        <f t="shared" si="397"/>
        <v>-3.7313427640701207</v>
      </c>
      <c r="AT482">
        <f t="shared" si="418"/>
        <v>-2390.6777388121945</v>
      </c>
      <c r="AU482">
        <f t="shared" si="419"/>
        <v>-412.73657462960216</v>
      </c>
      <c r="AV482">
        <f t="shared" si="407"/>
        <v>-2.9706337241803817</v>
      </c>
      <c r="AW482">
        <f t="shared" si="408"/>
        <v>269.95368683328059</v>
      </c>
      <c r="AX482">
        <f t="shared" si="409"/>
        <v>-2733.009789506722</v>
      </c>
      <c r="AY482">
        <f t="shared" si="417"/>
        <v>-1.4723404584415984</v>
      </c>
      <c r="BA482">
        <f t="shared" si="398"/>
        <v>0.88338337613865658</v>
      </c>
      <c r="BB482">
        <f t="shared" si="410"/>
        <v>-1.077015554556404</v>
      </c>
      <c r="BC482">
        <f t="shared" si="411"/>
        <v>-1.4982932657387833</v>
      </c>
      <c r="BD482">
        <f t="shared" si="399"/>
        <v>-265.84588069779863</v>
      </c>
      <c r="BF482">
        <f t="shared" si="400"/>
        <v>-63.32907182216276</v>
      </c>
      <c r="BG482">
        <f t="shared" si="401"/>
        <v>-247.77844583998316</v>
      </c>
      <c r="BH482">
        <f t="shared" si="412"/>
        <v>-67.778445839983164</v>
      </c>
      <c r="BI482">
        <f t="shared" si="413"/>
        <v>-67.778445839983164</v>
      </c>
      <c r="BJ482">
        <f t="shared" si="402"/>
        <v>0</v>
      </c>
      <c r="BK482">
        <f t="shared" si="414"/>
        <v>0</v>
      </c>
      <c r="BM482">
        <f t="shared" si="415"/>
        <v>-62.252056267606363</v>
      </c>
      <c r="BN482">
        <f t="shared" si="403"/>
        <v>-161.93256514218456</v>
      </c>
      <c r="BQ482" s="56">
        <f t="shared" si="416"/>
        <v>15.824945245728731</v>
      </c>
    </row>
    <row r="483" spans="1:69" x14ac:dyDescent="0.2">
      <c r="A483">
        <f t="shared" si="420"/>
        <v>1345000</v>
      </c>
      <c r="B483">
        <f t="shared" si="404"/>
        <v>1345</v>
      </c>
      <c r="C483">
        <f t="shared" si="373"/>
        <v>1.0513369139261257</v>
      </c>
      <c r="D483">
        <f t="shared" si="374"/>
        <v>0.31379222464917544</v>
      </c>
      <c r="F483">
        <f t="shared" si="375"/>
        <v>4.8582793532231159E-5</v>
      </c>
      <c r="G483">
        <f t="shared" si="376"/>
        <v>2.6260208902343317E-3</v>
      </c>
      <c r="H483">
        <f t="shared" si="377"/>
        <v>-3.138966629109766</v>
      </c>
      <c r="J483">
        <f t="shared" si="378"/>
        <v>15</v>
      </c>
      <c r="M483">
        <f t="shared" si="379"/>
        <v>1.6778800527897107E-4</v>
      </c>
      <c r="N483">
        <f t="shared" si="380"/>
        <v>-1.5707963250000001</v>
      </c>
      <c r="O483">
        <f t="shared" si="381"/>
        <v>1262.3089733106444</v>
      </c>
      <c r="P483">
        <f t="shared" si="382"/>
        <v>1.570004127637844</v>
      </c>
      <c r="Q483">
        <f t="shared" si="383"/>
        <v>187.84553605768116</v>
      </c>
      <c r="R483">
        <f t="shared" si="384"/>
        <v>1.5654727788183875</v>
      </c>
      <c r="S483">
        <f t="shared" si="385"/>
        <v>0.18528042755948418</v>
      </c>
      <c r="T483">
        <f t="shared" si="386"/>
        <v>-1.3844391036179873</v>
      </c>
      <c r="U483">
        <f t="shared" si="387"/>
        <v>0.16992758097319879</v>
      </c>
      <c r="V483">
        <f t="shared" si="388"/>
        <v>-1.400040145924121</v>
      </c>
      <c r="X483">
        <f t="shared" si="405"/>
        <v>-60.357269310295734</v>
      </c>
      <c r="Y483">
        <f t="shared" si="389"/>
        <v>-231.7598855658018</v>
      </c>
      <c r="Z483">
        <f t="shared" si="406"/>
        <v>-51.759885565801795</v>
      </c>
      <c r="AC483">
        <v>1</v>
      </c>
      <c r="AD483">
        <f t="shared" si="390"/>
        <v>1262.3085772110451</v>
      </c>
      <c r="AE483">
        <f t="shared" si="391"/>
        <v>-1.9201722563975574</v>
      </c>
      <c r="AF483">
        <f t="shared" si="392"/>
        <v>0.33110564407262999</v>
      </c>
      <c r="AG483">
        <f t="shared" si="367"/>
        <v>109.57888441047868</v>
      </c>
      <c r="AH483">
        <f t="shared" si="368"/>
        <v>-638.49812746055716</v>
      </c>
      <c r="AJ483">
        <f t="shared" si="393"/>
        <v>18000</v>
      </c>
      <c r="AK483">
        <f t="shared" si="394"/>
        <v>95467.948952518796</v>
      </c>
      <c r="AL483">
        <v>1</v>
      </c>
      <c r="AM483">
        <f t="shared" si="395"/>
        <v>187.84287427740662</v>
      </c>
      <c r="AN483">
        <f t="shared" si="369"/>
        <v>508.72872245799147</v>
      </c>
      <c r="AO483">
        <f t="shared" si="370"/>
        <v>-93.116501463403267</v>
      </c>
      <c r="AQ483">
        <f t="shared" si="396"/>
        <v>1.3819597045425431E-3</v>
      </c>
      <c r="AR483">
        <f t="shared" si="397"/>
        <v>-3.7174716052194405</v>
      </c>
      <c r="AT483">
        <f t="shared" si="418"/>
        <v>-2373.4472252176806</v>
      </c>
      <c r="AU483">
        <f t="shared" si="419"/>
        <v>-408.23877001115403</v>
      </c>
      <c r="AV483">
        <f t="shared" si="407"/>
        <v>-2.971256924681299</v>
      </c>
      <c r="AW483">
        <f t="shared" si="408"/>
        <v>271.74521460380146</v>
      </c>
      <c r="AX483">
        <f t="shared" si="409"/>
        <v>-2722.970360577372</v>
      </c>
      <c r="AY483">
        <f t="shared" si="417"/>
        <v>-1.4713283260767136</v>
      </c>
      <c r="BA483">
        <f t="shared" si="398"/>
        <v>0.88006703747484205</v>
      </c>
      <c r="BB483">
        <f t="shared" si="410"/>
        <v>-1.1096849002574507</v>
      </c>
      <c r="BC483">
        <f t="shared" si="411"/>
        <v>-1.4999285986045854</v>
      </c>
      <c r="BD483">
        <f t="shared" si="399"/>
        <v>-265.93957836921516</v>
      </c>
      <c r="BF483">
        <f t="shared" si="400"/>
        <v>-63.423371785384688</v>
      </c>
      <c r="BG483">
        <f t="shared" si="401"/>
        <v>-247.81014831815691</v>
      </c>
      <c r="BH483">
        <f t="shared" si="412"/>
        <v>-67.810148318156905</v>
      </c>
      <c r="BI483">
        <f t="shared" si="413"/>
        <v>-67.810148318156905</v>
      </c>
      <c r="BJ483">
        <f t="shared" si="402"/>
        <v>0</v>
      </c>
      <c r="BK483">
        <f t="shared" si="414"/>
        <v>0</v>
      </c>
      <c r="BM483">
        <f t="shared" si="415"/>
        <v>-62.31368688512724</v>
      </c>
      <c r="BN483">
        <f t="shared" si="403"/>
        <v>-161.87056994894175</v>
      </c>
      <c r="BQ483" s="56">
        <f t="shared" si="416"/>
        <v>15.792275900027686</v>
      </c>
    </row>
    <row r="484" spans="1:69" x14ac:dyDescent="0.2">
      <c r="A484">
        <f t="shared" si="420"/>
        <v>1350000</v>
      </c>
      <c r="B484">
        <f t="shared" si="404"/>
        <v>1350</v>
      </c>
      <c r="C484">
        <f t="shared" si="373"/>
        <v>1.0517099080726953</v>
      </c>
      <c r="D484">
        <f t="shared" si="374"/>
        <v>0.31488327125847859</v>
      </c>
      <c r="F484">
        <f t="shared" si="375"/>
        <v>4.822357115761639E-5</v>
      </c>
      <c r="G484">
        <f t="shared" si="376"/>
        <v>2.616293982510716E-3</v>
      </c>
      <c r="H484">
        <f t="shared" si="377"/>
        <v>-3.1389763560174897</v>
      </c>
      <c r="J484">
        <f t="shared" si="378"/>
        <v>15</v>
      </c>
      <c r="M484">
        <f t="shared" si="379"/>
        <v>1.6716656822238229E-4</v>
      </c>
      <c r="N484">
        <f t="shared" si="380"/>
        <v>-1.5707963250000001</v>
      </c>
      <c r="O484">
        <f t="shared" si="381"/>
        <v>1267.0015687849141</v>
      </c>
      <c r="P484">
        <f t="shared" si="382"/>
        <v>1.5700070617075754</v>
      </c>
      <c r="Q484">
        <f t="shared" si="383"/>
        <v>188.54382684724604</v>
      </c>
      <c r="R484">
        <f t="shared" si="384"/>
        <v>1.5654924952922951</v>
      </c>
      <c r="S484">
        <f t="shared" si="385"/>
        <v>0.18461763476713045</v>
      </c>
      <c r="T484">
        <f t="shared" si="386"/>
        <v>-1.3851135315784222</v>
      </c>
      <c r="U484">
        <f t="shared" si="387"/>
        <v>0.16931629467134873</v>
      </c>
      <c r="V484">
        <f t="shared" si="388"/>
        <v>-1.4006604205068682</v>
      </c>
      <c r="X484">
        <f t="shared" si="405"/>
        <v>-60.44885142743567</v>
      </c>
      <c r="Y484">
        <f t="shared" si="389"/>
        <v>-231.77081372150442</v>
      </c>
      <c r="Z484">
        <f t="shared" si="406"/>
        <v>-51.770813721504425</v>
      </c>
      <c r="AC484">
        <v>1</v>
      </c>
      <c r="AD484">
        <f t="shared" si="390"/>
        <v>1267.0011741523499</v>
      </c>
      <c r="AE484">
        <f t="shared" si="391"/>
        <v>-1.9344751660615793</v>
      </c>
      <c r="AF484">
        <f t="shared" si="392"/>
        <v>0.33233652007289999</v>
      </c>
      <c r="AG484">
        <f t="shared" si="367"/>
        <v>108.79191870916287</v>
      </c>
      <c r="AH484">
        <f t="shared" si="368"/>
        <v>-636.26851772017631</v>
      </c>
      <c r="AJ484">
        <f t="shared" si="393"/>
        <v>18000</v>
      </c>
      <c r="AK484">
        <f t="shared" si="394"/>
        <v>95822.848391003994</v>
      </c>
      <c r="AL484">
        <v>1</v>
      </c>
      <c r="AM484">
        <f t="shared" si="395"/>
        <v>188.54117492527803</v>
      </c>
      <c r="AN484">
        <f t="shared" si="369"/>
        <v>508.72505739920217</v>
      </c>
      <c r="AO484">
        <f t="shared" si="370"/>
        <v>-92.771644971093849</v>
      </c>
      <c r="AQ484">
        <f t="shared" si="396"/>
        <v>1.3717419243152367E-3</v>
      </c>
      <c r="AR484">
        <f t="shared" si="397"/>
        <v>-3.7037031956511393</v>
      </c>
      <c r="AT484">
        <f t="shared" si="418"/>
        <v>-2356.4005079365106</v>
      </c>
      <c r="AU484">
        <f t="shared" si="419"/>
        <v>-403.80577318502418</v>
      </c>
      <c r="AV484">
        <f t="shared" si="407"/>
        <v>-2.9718756420356507</v>
      </c>
      <c r="AW484">
        <f t="shared" si="408"/>
        <v>273.51654165562729</v>
      </c>
      <c r="AX484">
        <f t="shared" si="409"/>
        <v>-2713.0040239699565</v>
      </c>
      <c r="AY484">
        <f t="shared" si="417"/>
        <v>-1.4703189695092465</v>
      </c>
      <c r="BA484">
        <f t="shared" si="398"/>
        <v>0.87677398767403558</v>
      </c>
      <c r="BB484">
        <f t="shared" si="410"/>
        <v>-1.1422468682800533</v>
      </c>
      <c r="BC484">
        <f t="shared" si="411"/>
        <v>-1.5015566725264042</v>
      </c>
      <c r="BD484">
        <f t="shared" si="399"/>
        <v>-266.03286013377726</v>
      </c>
      <c r="BF484">
        <f t="shared" si="400"/>
        <v>-63.517315008156601</v>
      </c>
      <c r="BG484">
        <f t="shared" si="401"/>
        <v>-247.84147502744335</v>
      </c>
      <c r="BH484">
        <f t="shared" si="412"/>
        <v>-67.841475027443352</v>
      </c>
      <c r="BI484">
        <f t="shared" si="413"/>
        <v>-67.841475027443352</v>
      </c>
      <c r="BJ484">
        <f t="shared" si="402"/>
        <v>0</v>
      </c>
      <c r="BK484">
        <f t="shared" si="414"/>
        <v>0</v>
      </c>
      <c r="BM484">
        <f t="shared" si="415"/>
        <v>-62.375068139876547</v>
      </c>
      <c r="BN484">
        <f t="shared" si="403"/>
        <v>-161.80861489366609</v>
      </c>
      <c r="BQ484" s="56">
        <f t="shared" si="416"/>
        <v>15.759713932005084</v>
      </c>
    </row>
    <row r="485" spans="1:69" x14ac:dyDescent="0.2">
      <c r="A485">
        <f t="shared" si="420"/>
        <v>1355000</v>
      </c>
      <c r="B485">
        <f t="shared" si="404"/>
        <v>1355</v>
      </c>
      <c r="C485">
        <f t="shared" si="373"/>
        <v>1.0520841532679839</v>
      </c>
      <c r="D485">
        <f t="shared" si="374"/>
        <v>0.31597354295517527</v>
      </c>
      <c r="F485">
        <f t="shared" si="375"/>
        <v>4.7868318311211038E-5</v>
      </c>
      <c r="G485">
        <f t="shared" si="376"/>
        <v>2.6066388700412765E-3</v>
      </c>
      <c r="H485">
        <f t="shared" si="377"/>
        <v>-3.1389860111299588</v>
      </c>
      <c r="J485">
        <f t="shared" si="378"/>
        <v>15</v>
      </c>
      <c r="M485">
        <f t="shared" si="379"/>
        <v>1.6654971741713364E-4</v>
      </c>
      <c r="N485">
        <f t="shared" si="380"/>
        <v>-1.5707963250000001</v>
      </c>
      <c r="O485">
        <f t="shared" si="381"/>
        <v>1271.6941642700108</v>
      </c>
      <c r="P485">
        <f t="shared" si="382"/>
        <v>1.5700099741236688</v>
      </c>
      <c r="Q485">
        <f t="shared" si="383"/>
        <v>189.24211770956438</v>
      </c>
      <c r="R485">
        <f t="shared" si="384"/>
        <v>1.5655120662612481</v>
      </c>
      <c r="S485">
        <f t="shared" si="385"/>
        <v>0.18395948422977282</v>
      </c>
      <c r="T485">
        <f t="shared" si="386"/>
        <v>-1.3857831512530547</v>
      </c>
      <c r="U485">
        <f t="shared" si="387"/>
        <v>0.16870932639440395</v>
      </c>
      <c r="V485">
        <f t="shared" si="388"/>
        <v>-1.4012762481808672</v>
      </c>
      <c r="X485">
        <f t="shared" si="405"/>
        <v>-60.540088777465833</v>
      </c>
      <c r="Y485">
        <f t="shared" si="389"/>
        <v>-231.78126145675884</v>
      </c>
      <c r="Z485">
        <f t="shared" si="406"/>
        <v>-51.781261456758841</v>
      </c>
      <c r="AC485">
        <v>1</v>
      </c>
      <c r="AD485">
        <f t="shared" si="390"/>
        <v>1271.693771093655</v>
      </c>
      <c r="AE485">
        <f t="shared" si="391"/>
        <v>-1.9488311477466178</v>
      </c>
      <c r="AF485">
        <f t="shared" si="392"/>
        <v>0.33356739607316999</v>
      </c>
      <c r="AG485">
        <f t="shared" si="367"/>
        <v>108.0133181030231</v>
      </c>
      <c r="AH485">
        <f t="shared" si="368"/>
        <v>-634.05393087111338</v>
      </c>
      <c r="AJ485">
        <f t="shared" si="393"/>
        <v>18000</v>
      </c>
      <c r="AK485">
        <f t="shared" si="394"/>
        <v>96177.747829489206</v>
      </c>
      <c r="AL485">
        <v>1</v>
      </c>
      <c r="AM485">
        <f t="shared" si="395"/>
        <v>189.23947557314941</v>
      </c>
      <c r="AN485">
        <f t="shared" si="369"/>
        <v>508.72143283660546</v>
      </c>
      <c r="AO485">
        <f t="shared" si="370"/>
        <v>-92.429333331153956</v>
      </c>
      <c r="AQ485">
        <f t="shared" si="396"/>
        <v>1.3616370472029184E-3</v>
      </c>
      <c r="AR485">
        <f t="shared" si="397"/>
        <v>-3.6900363979199087</v>
      </c>
      <c r="AT485">
        <f t="shared" si="418"/>
        <v>-2339.5350082230816</v>
      </c>
      <c r="AU485">
        <f t="shared" si="419"/>
        <v>-399.43642658245534</v>
      </c>
      <c r="AV485">
        <f t="shared" si="407"/>
        <v>-2.9724899239737028</v>
      </c>
      <c r="AW485">
        <f t="shared" si="408"/>
        <v>275.26797147052753</v>
      </c>
      <c r="AX485">
        <f t="shared" si="409"/>
        <v>-2703.1099882344197</v>
      </c>
      <c r="AY485">
        <f t="shared" si="417"/>
        <v>-1.4693123588327788</v>
      </c>
      <c r="BA485">
        <f t="shared" si="398"/>
        <v>0.87350398262667628</v>
      </c>
      <c r="BB485">
        <f t="shared" si="410"/>
        <v>-1.174702211357789</v>
      </c>
      <c r="BC485">
        <f t="shared" si="411"/>
        <v>-1.503177565140924</v>
      </c>
      <c r="BD485">
        <f t="shared" si="399"/>
        <v>-266.1257304397393</v>
      </c>
      <c r="BF485">
        <f t="shared" si="400"/>
        <v>-63.610904039961518</v>
      </c>
      <c r="BG485">
        <f t="shared" si="401"/>
        <v>-247.87243056378659</v>
      </c>
      <c r="BH485">
        <f t="shared" si="412"/>
        <v>-67.872430563786594</v>
      </c>
      <c r="BI485">
        <f t="shared" si="413"/>
        <v>-67.872430563786594</v>
      </c>
      <c r="BJ485">
        <f t="shared" si="402"/>
        <v>0</v>
      </c>
      <c r="BK485">
        <f t="shared" si="414"/>
        <v>0</v>
      </c>
      <c r="BM485">
        <f t="shared" si="415"/>
        <v>-62.436201828603728</v>
      </c>
      <c r="BN485">
        <f t="shared" si="403"/>
        <v>-161.74670012404727</v>
      </c>
      <c r="BQ485" s="56">
        <f t="shared" si="416"/>
        <v>15.727258588927347</v>
      </c>
    </row>
    <row r="486" spans="1:69" x14ac:dyDescent="0.2">
      <c r="A486">
        <f t="shared" si="420"/>
        <v>1360000</v>
      </c>
      <c r="B486">
        <f t="shared" si="404"/>
        <v>1360</v>
      </c>
      <c r="C486">
        <f t="shared" si="373"/>
        <v>1.0524596481774067</v>
      </c>
      <c r="D486">
        <f t="shared" si="374"/>
        <v>0.31706303797531149</v>
      </c>
      <c r="F486">
        <f t="shared" si="375"/>
        <v>4.7516976720692745E-5</v>
      </c>
      <c r="G486">
        <f t="shared" si="376"/>
        <v>2.5970547608209563E-3</v>
      </c>
      <c r="H486">
        <f t="shared" si="377"/>
        <v>-3.1389955952391793</v>
      </c>
      <c r="J486">
        <f t="shared" si="378"/>
        <v>15</v>
      </c>
      <c r="M486">
        <f t="shared" si="379"/>
        <v>1.6593740227957066E-4</v>
      </c>
      <c r="N486">
        <f t="shared" si="380"/>
        <v>-1.5707963250000001</v>
      </c>
      <c r="O486">
        <f t="shared" si="381"/>
        <v>1276.386759765815</v>
      </c>
      <c r="P486">
        <f t="shared" si="382"/>
        <v>1.5700128651249514</v>
      </c>
      <c r="Q486">
        <f t="shared" si="383"/>
        <v>189.94040864383382</v>
      </c>
      <c r="R486">
        <f t="shared" si="384"/>
        <v>1.5655314933300211</v>
      </c>
      <c r="S486">
        <f t="shared" si="385"/>
        <v>0.1833059282370158</v>
      </c>
      <c r="T486">
        <f t="shared" si="386"/>
        <v>-1.3864480132855967</v>
      </c>
      <c r="U486">
        <f t="shared" si="387"/>
        <v>0.16810663124403052</v>
      </c>
      <c r="V486">
        <f t="shared" si="388"/>
        <v>-1.4018876761347483</v>
      </c>
      <c r="X486">
        <f t="shared" si="405"/>
        <v>-60.630983701446468</v>
      </c>
      <c r="Y486">
        <f t="shared" si="389"/>
        <v>-231.79123441776048</v>
      </c>
      <c r="Z486">
        <f t="shared" si="406"/>
        <v>-51.791234417760478</v>
      </c>
      <c r="AC486">
        <v>1</v>
      </c>
      <c r="AD486">
        <f t="shared" si="390"/>
        <v>1276.38636803496</v>
      </c>
      <c r="AE486">
        <f t="shared" si="391"/>
        <v>-1.9632402014526733</v>
      </c>
      <c r="AF486">
        <f t="shared" si="392"/>
        <v>0.33479827207343998</v>
      </c>
      <c r="AG486">
        <f t="shared" si="367"/>
        <v>107.2429656303717</v>
      </c>
      <c r="AH486">
        <f t="shared" si="368"/>
        <v>-631.85422116560289</v>
      </c>
      <c r="AJ486">
        <f t="shared" si="393"/>
        <v>18000</v>
      </c>
      <c r="AK486">
        <f t="shared" si="394"/>
        <v>96532.647267974404</v>
      </c>
      <c r="AL486">
        <v>1</v>
      </c>
      <c r="AM486">
        <f t="shared" si="395"/>
        <v>189.93777622102081</v>
      </c>
      <c r="AN486">
        <f t="shared" si="369"/>
        <v>508.71784817579231</v>
      </c>
      <c r="AO486">
        <f t="shared" si="370"/>
        <v>-92.08953847848835</v>
      </c>
      <c r="AQ486">
        <f t="shared" si="396"/>
        <v>1.3516434159218998E-3</v>
      </c>
      <c r="AR486">
        <f t="shared" si="397"/>
        <v>-3.6764700913075679</v>
      </c>
      <c r="AT486">
        <f t="shared" si="418"/>
        <v>-2322.8481919333781</v>
      </c>
      <c r="AU486">
        <f t="shared" si="419"/>
        <v>-395.12959724104792</v>
      </c>
      <c r="AV486">
        <f t="shared" si="407"/>
        <v>-2.9730998175573307</v>
      </c>
      <c r="AW486">
        <f t="shared" si="408"/>
        <v>276.9998018384959</v>
      </c>
      <c r="AX486">
        <f t="shared" si="409"/>
        <v>-2693.287473257396</v>
      </c>
      <c r="AY486">
        <f t="shared" si="417"/>
        <v>-1.4683084646157192</v>
      </c>
      <c r="BA486">
        <f t="shared" si="398"/>
        <v>0.87025678157125042</v>
      </c>
      <c r="BB486">
        <f t="shared" si="410"/>
        <v>-1.2070516748637756</v>
      </c>
      <c r="BC486">
        <f t="shared" si="411"/>
        <v>-1.5047913529416115</v>
      </c>
      <c r="BD486">
        <f t="shared" si="399"/>
        <v>-266.21819366985403</v>
      </c>
      <c r="BF486">
        <f t="shared" si="400"/>
        <v>-63.704141403326979</v>
      </c>
      <c r="BG486">
        <f t="shared" si="401"/>
        <v>-247.90301945638501</v>
      </c>
      <c r="BH486">
        <f t="shared" si="412"/>
        <v>-67.90301945638501</v>
      </c>
      <c r="BI486">
        <f t="shared" si="413"/>
        <v>-67.90301945638501</v>
      </c>
      <c r="BJ486">
        <f t="shared" si="402"/>
        <v>0</v>
      </c>
      <c r="BK486">
        <f t="shared" si="414"/>
        <v>0</v>
      </c>
      <c r="BM486">
        <f t="shared" si="415"/>
        <v>-62.497089728463209</v>
      </c>
      <c r="BN486">
        <f t="shared" si="403"/>
        <v>-161.68482578653098</v>
      </c>
      <c r="BQ486" s="56">
        <f t="shared" si="416"/>
        <v>15.694909125421361</v>
      </c>
    </row>
    <row r="487" spans="1:69" x14ac:dyDescent="0.2">
      <c r="A487">
        <f t="shared" si="420"/>
        <v>1365000</v>
      </c>
      <c r="B487">
        <f t="shared" si="404"/>
        <v>1365</v>
      </c>
      <c r="C487">
        <f t="shared" si="373"/>
        <v>1.052836391463829</v>
      </c>
      <c r="D487">
        <f t="shared" si="374"/>
        <v>0.31815175456482081</v>
      </c>
      <c r="F487">
        <f t="shared" si="375"/>
        <v>4.7169489179134396E-5</v>
      </c>
      <c r="G487">
        <f t="shared" si="376"/>
        <v>2.5875408744518223E-3</v>
      </c>
      <c r="H487">
        <f t="shared" si="377"/>
        <v>-3.1390051091255482</v>
      </c>
      <c r="J487">
        <f t="shared" si="378"/>
        <v>15</v>
      </c>
      <c r="M487">
        <f t="shared" si="379"/>
        <v>1.6532957296719127E-4</v>
      </c>
      <c r="N487">
        <f t="shared" si="380"/>
        <v>-1.5707963250000001</v>
      </c>
      <c r="O487">
        <f t="shared" si="381"/>
        <v>1281.0793552722089</v>
      </c>
      <c r="P487">
        <f t="shared" si="382"/>
        <v>1.5700157349467503</v>
      </c>
      <c r="Q487">
        <f t="shared" si="383"/>
        <v>190.63869964926371</v>
      </c>
      <c r="R487">
        <f t="shared" si="384"/>
        <v>1.5655507780798767</v>
      </c>
      <c r="S487">
        <f t="shared" si="385"/>
        <v>0.18265691971714082</v>
      </c>
      <c r="T487">
        <f t="shared" si="386"/>
        <v>-1.3871081676194885</v>
      </c>
      <c r="U487">
        <f t="shared" si="387"/>
        <v>0.16750816493218321</v>
      </c>
      <c r="V487">
        <f t="shared" si="388"/>
        <v>-1.4024947508984333</v>
      </c>
      <c r="X487">
        <f t="shared" si="405"/>
        <v>-60.721538517027284</v>
      </c>
      <c r="Y487">
        <f t="shared" si="389"/>
        <v>-231.80073817315682</v>
      </c>
      <c r="Z487">
        <f t="shared" si="406"/>
        <v>-51.800738173156816</v>
      </c>
      <c r="AC487">
        <v>1</v>
      </c>
      <c r="AD487">
        <f t="shared" si="390"/>
        <v>1281.0789649762648</v>
      </c>
      <c r="AE487">
        <f t="shared" si="391"/>
        <v>-1.9777023271797451</v>
      </c>
      <c r="AF487">
        <f t="shared" si="392"/>
        <v>0.33602914807371004</v>
      </c>
      <c r="AG487">
        <f t="shared" si="367"/>
        <v>106.48074634561623</v>
      </c>
      <c r="AH487">
        <f t="shared" si="368"/>
        <v>-629.6692446488255</v>
      </c>
      <c r="AJ487">
        <f t="shared" si="393"/>
        <v>18000</v>
      </c>
      <c r="AK487">
        <f t="shared" si="394"/>
        <v>96887.546706459601</v>
      </c>
      <c r="AL487">
        <v>1</v>
      </c>
      <c r="AM487">
        <f t="shared" si="395"/>
        <v>190.63607686889222</v>
      </c>
      <c r="AN487">
        <f t="shared" si="369"/>
        <v>508.7143028332207</v>
      </c>
      <c r="AO487">
        <f t="shared" si="370"/>
        <v>-91.752232759155078</v>
      </c>
      <c r="AQ487">
        <f t="shared" si="396"/>
        <v>1.3417594034859715E-3</v>
      </c>
      <c r="AR487">
        <f t="shared" si="397"/>
        <v>-3.663003171516702</v>
      </c>
      <c r="AT487">
        <f t="shared" si="418"/>
        <v>-2306.3375686124741</v>
      </c>
      <c r="AU487">
        <f t="shared" si="419"/>
        <v>-390.88417619955118</v>
      </c>
      <c r="AV487">
        <f t="shared" si="407"/>
        <v>-2.9737053691915585</v>
      </c>
      <c r="AW487">
        <f t="shared" si="408"/>
        <v>278.71232498561261</v>
      </c>
      <c r="AX487">
        <f t="shared" si="409"/>
        <v>-2683.5357100606766</v>
      </c>
      <c r="AY487">
        <f t="shared" si="417"/>
        <v>-1.467307257892035</v>
      </c>
      <c r="BA487">
        <f t="shared" si="398"/>
        <v>0.86703214703829068</v>
      </c>
      <c r="BB487">
        <f t="shared" si="410"/>
        <v>-1.239295996899922</v>
      </c>
      <c r="BC487">
        <f t="shared" si="411"/>
        <v>-1.5063981112995235</v>
      </c>
      <c r="BD487">
        <f t="shared" si="399"/>
        <v>-266.31025414256499</v>
      </c>
      <c r="BF487">
        <f t="shared" si="400"/>
        <v>-63.797029594202044</v>
      </c>
      <c r="BG487">
        <f t="shared" si="401"/>
        <v>-247.93324616889626</v>
      </c>
      <c r="BH487">
        <f t="shared" si="412"/>
        <v>-67.933246168896261</v>
      </c>
      <c r="BI487">
        <f t="shared" si="413"/>
        <v>-67.933246168896261</v>
      </c>
      <c r="BJ487">
        <f t="shared" si="402"/>
        <v>0</v>
      </c>
      <c r="BK487">
        <f t="shared" si="414"/>
        <v>0</v>
      </c>
      <c r="BM487">
        <f t="shared" si="415"/>
        <v>-62.557733597302125</v>
      </c>
      <c r="BN487">
        <f t="shared" si="403"/>
        <v>-161.62299202633127</v>
      </c>
      <c r="BQ487" s="56">
        <f t="shared" si="416"/>
        <v>15.662664803385214</v>
      </c>
    </row>
    <row r="488" spans="1:69" x14ac:dyDescent="0.2">
      <c r="A488">
        <f t="shared" si="420"/>
        <v>1370000</v>
      </c>
      <c r="B488">
        <f t="shared" si="404"/>
        <v>1370</v>
      </c>
      <c r="C488">
        <f t="shared" si="373"/>
        <v>1.0532143817875874</v>
      </c>
      <c r="D488">
        <f t="shared" si="374"/>
        <v>0.3192396909795237</v>
      </c>
      <c r="F488">
        <f t="shared" si="375"/>
        <v>4.6825799521714527E-5</v>
      </c>
      <c r="G488">
        <f t="shared" si="376"/>
        <v>2.5780964419311976E-3</v>
      </c>
      <c r="H488">
        <f t="shared" si="377"/>
        <v>-3.1390145535580691</v>
      </c>
      <c r="J488">
        <f t="shared" si="378"/>
        <v>15</v>
      </c>
      <c r="M488">
        <f t="shared" si="379"/>
        <v>1.6472618036512124E-4</v>
      </c>
      <c r="N488">
        <f t="shared" si="380"/>
        <v>-1.5707963250000001</v>
      </c>
      <c r="O488">
        <f t="shared" si="381"/>
        <v>1285.7719507890765</v>
      </c>
      <c r="P488">
        <f t="shared" si="382"/>
        <v>1.5700185838209577</v>
      </c>
      <c r="Q488">
        <f t="shared" si="383"/>
        <v>191.33699072507497</v>
      </c>
      <c r="R488">
        <f t="shared" si="384"/>
        <v>1.5655699220689938</v>
      </c>
      <c r="S488">
        <f t="shared" si="385"/>
        <v>0.1820124122266889</v>
      </c>
      <c r="T488">
        <f t="shared" si="386"/>
        <v>-1.3877636635098092</v>
      </c>
      <c r="U488">
        <f t="shared" si="387"/>
        <v>0.16691388377095318</v>
      </c>
      <c r="V488">
        <f t="shared" si="388"/>
        <v>-1.4030975183544707</v>
      </c>
      <c r="X488">
        <f t="shared" si="405"/>
        <v>-60.811755518754033</v>
      </c>
      <c r="Y488">
        <f t="shared" si="389"/>
        <v>-231.80977821536382</v>
      </c>
      <c r="Z488">
        <f t="shared" si="406"/>
        <v>-51.809778215363821</v>
      </c>
      <c r="AC488">
        <v>1</v>
      </c>
      <c r="AD488">
        <f t="shared" si="390"/>
        <v>1285.7715619175701</v>
      </c>
      <c r="AE488">
        <f t="shared" si="391"/>
        <v>-1.9922175249278342</v>
      </c>
      <c r="AF488">
        <f t="shared" si="392"/>
        <v>0.33726002407398004</v>
      </c>
      <c r="AG488">
        <f t="shared" ref="AG488:AG551" si="421">AC488*AE488/(AE488^2+AF488^2)+AD488*AF488/(AE488^2+AF488^2)</f>
        <v>105.72654727814967</v>
      </c>
      <c r="AH488">
        <f t="shared" ref="AH488:AH551" si="422">AD488*AE488/(AE488^2+AF488^2)-AC488*AF488/(AE488^2+AF488^2)</f>
        <v>-627.49885913314938</v>
      </c>
      <c r="AJ488">
        <f t="shared" si="393"/>
        <v>18000</v>
      </c>
      <c r="AK488">
        <f t="shared" si="394"/>
        <v>97242.446144944799</v>
      </c>
      <c r="AL488">
        <v>1</v>
      </c>
      <c r="AM488">
        <f t="shared" si="395"/>
        <v>191.33437751676362</v>
      </c>
      <c r="AN488">
        <f t="shared" ref="AN488:AN551" si="423">AJ488*AL488/(AL488^2+AM488^2)+AK488*AM488/(AL488^2+AM488^2)</f>
        <v>508.71079623597603</v>
      </c>
      <c r="AO488">
        <f t="shared" ref="AO488:AO551" si="424">AK488*AL488/(AL488^2+AM488^2)-AJ488*AM488/(AL488^2+AM488^2)</f>
        <v>-91.417388922863765</v>
      </c>
      <c r="AQ488">
        <f t="shared" si="396"/>
        <v>1.3319834125441669E-3</v>
      </c>
      <c r="AR488">
        <f t="shared" si="397"/>
        <v>-3.6496345503710175</v>
      </c>
      <c r="AT488">
        <f t="shared" si="418"/>
        <v>-2290.0006906034982</v>
      </c>
      <c r="AU488">
        <f t="shared" si="419"/>
        <v>-386.69907790952561</v>
      </c>
      <c r="AV488">
        <f t="shared" si="407"/>
        <v>-2.9743066246358607</v>
      </c>
      <c r="AW488">
        <f t="shared" si="408"/>
        <v>280.40582769855968</v>
      </c>
      <c r="AX488">
        <f t="shared" si="409"/>
        <v>-2673.853940603939</v>
      </c>
      <c r="AY488">
        <f t="shared" si="417"/>
        <v>-1.4663087101521985</v>
      </c>
      <c r="BA488">
        <f t="shared" si="398"/>
        <v>0.86382984479547209</v>
      </c>
      <c r="BB488">
        <f t="shared" si="410"/>
        <v>-1.2714359083849063</v>
      </c>
      <c r="BC488">
        <f t="shared" si="411"/>
        <v>-1.5079979144836622</v>
      </c>
      <c r="BD488">
        <f t="shared" si="399"/>
        <v>-266.40191611317249</v>
      </c>
      <c r="BF488">
        <f t="shared" si="400"/>
        <v>-63.889571082327656</v>
      </c>
      <c r="BG488">
        <f t="shared" si="401"/>
        <v>-247.9631151006154</v>
      </c>
      <c r="BH488">
        <f t="shared" si="412"/>
        <v>-67.963115100615397</v>
      </c>
      <c r="BI488">
        <f t="shared" si="413"/>
        <v>-67.963115100615397</v>
      </c>
      <c r="BJ488">
        <f t="shared" si="402"/>
        <v>0</v>
      </c>
      <c r="BK488">
        <f t="shared" si="414"/>
        <v>0</v>
      </c>
      <c r="BM488">
        <f t="shared" si="415"/>
        <v>-62.618135173942747</v>
      </c>
      <c r="BN488">
        <f t="shared" si="403"/>
        <v>-161.56119898744291</v>
      </c>
      <c r="BQ488" s="56">
        <f t="shared" si="416"/>
        <v>15.63052489190023</v>
      </c>
    </row>
    <row r="489" spans="1:69" x14ac:dyDescent="0.2">
      <c r="A489">
        <f t="shared" si="420"/>
        <v>1375000</v>
      </c>
      <c r="B489">
        <f t="shared" si="404"/>
        <v>1375</v>
      </c>
      <c r="C489">
        <f t="shared" si="373"/>
        <v>1.0535936178065095</v>
      </c>
      <c r="D489">
        <f t="shared" si="374"/>
        <v>0.32032684548512697</v>
      </c>
      <c r="F489">
        <f t="shared" si="375"/>
        <v>4.6485852603019605E-5</v>
      </c>
      <c r="G489">
        <f t="shared" si="376"/>
        <v>2.5687207054444173E-3</v>
      </c>
      <c r="H489">
        <f t="shared" si="377"/>
        <v>-3.1390239292945559</v>
      </c>
      <c r="J489">
        <f t="shared" si="378"/>
        <v>15</v>
      </c>
      <c r="M489">
        <f t="shared" si="379"/>
        <v>1.6412717607288443E-4</v>
      </c>
      <c r="N489">
        <f t="shared" si="380"/>
        <v>-1.5707963250000001</v>
      </c>
      <c r="O489">
        <f t="shared" si="381"/>
        <v>1290.4645463163038</v>
      </c>
      <c r="P489">
        <f t="shared" si="382"/>
        <v>1.5700214119760922</v>
      </c>
      <c r="Q489">
        <f t="shared" si="383"/>
        <v>192.03528187049977</v>
      </c>
      <c r="R489">
        <f t="shared" si="384"/>
        <v>1.5655889268328884</v>
      </c>
      <c r="S489">
        <f t="shared" si="385"/>
        <v>0.18137235994024162</v>
      </c>
      <c r="T489">
        <f t="shared" si="386"/>
        <v>-1.3884145495349507</v>
      </c>
      <c r="U489">
        <f t="shared" si="387"/>
        <v>0.16632374466261401</v>
      </c>
      <c r="V489">
        <f t="shared" si="388"/>
        <v>-1.4036960237491418</v>
      </c>
      <c r="X489">
        <f t="shared" si="405"/>
        <v>-60.901636978370199</v>
      </c>
      <c r="Y489">
        <f t="shared" si="389"/>
        <v>-231.81835996185481</v>
      </c>
      <c r="Z489">
        <f t="shared" si="406"/>
        <v>-51.81835996185481</v>
      </c>
      <c r="AC489">
        <v>1</v>
      </c>
      <c r="AD489">
        <f t="shared" si="390"/>
        <v>1290.464158858875</v>
      </c>
      <c r="AE489">
        <f t="shared" si="391"/>
        <v>-2.0067857946969401</v>
      </c>
      <c r="AF489">
        <f t="shared" si="392"/>
        <v>0.33849090007424998</v>
      </c>
      <c r="AG489">
        <f t="shared" si="421"/>
        <v>104.98025739220454</v>
      </c>
      <c r="AH489">
        <f t="shared" si="422"/>
        <v>-625.34292417277038</v>
      </c>
      <c r="AJ489">
        <f t="shared" si="393"/>
        <v>18000</v>
      </c>
      <c r="AK489">
        <f t="shared" si="394"/>
        <v>97597.345583429997</v>
      </c>
      <c r="AL489">
        <v>1</v>
      </c>
      <c r="AM489">
        <f t="shared" si="395"/>
        <v>192.03267816463503</v>
      </c>
      <c r="AN489">
        <f t="shared" si="423"/>
        <v>508.70732782154181</v>
      </c>
      <c r="AO489">
        <f t="shared" si="424"/>
        <v>-91.084980115637819</v>
      </c>
      <c r="AQ489">
        <f t="shared" si="396"/>
        <v>1.3223138747353554E-3</v>
      </c>
      <c r="AR489">
        <f t="shared" si="397"/>
        <v>-3.6363631555222273</v>
      </c>
      <c r="AT489">
        <f t="shared" si="418"/>
        <v>-2273.8351521774694</v>
      </c>
      <c r="AU489">
        <f t="shared" si="419"/>
        <v>-382.57323966335377</v>
      </c>
      <c r="AV489">
        <f t="shared" si="407"/>
        <v>-2.9749036290152344</v>
      </c>
      <c r="AW489">
        <f t="shared" si="408"/>
        <v>282.08059144589782</v>
      </c>
      <c r="AX489">
        <f t="shared" si="409"/>
        <v>-2664.2414175916583</v>
      </c>
      <c r="AY489">
        <f t="shared" si="417"/>
        <v>-1.4653127933343433</v>
      </c>
      <c r="BA489">
        <f t="shared" si="398"/>
        <v>0.86064964379376574</v>
      </c>
      <c r="BB489">
        <f t="shared" si="410"/>
        <v>-1.3034721331410521</v>
      </c>
      <c r="BC489">
        <f t="shared" si="411"/>
        <v>-1.5095908356808911</v>
      </c>
      <c r="BD489">
        <f t="shared" si="399"/>
        <v>-266.49318377497491</v>
      </c>
      <c r="BF489">
        <f t="shared" si="400"/>
        <v>-63.981768311600796</v>
      </c>
      <c r="BG489">
        <f t="shared" si="401"/>
        <v>-247.99263058762804</v>
      </c>
      <c r="BH489">
        <f t="shared" si="412"/>
        <v>-67.992630587628042</v>
      </c>
      <c r="BI489">
        <f t="shared" si="413"/>
        <v>-67.992630587628042</v>
      </c>
      <c r="BJ489">
        <f t="shared" si="402"/>
        <v>0</v>
      </c>
      <c r="BK489">
        <f t="shared" si="414"/>
        <v>0</v>
      </c>
      <c r="BM489">
        <f t="shared" si="415"/>
        <v>-62.678296178459746</v>
      </c>
      <c r="BN489">
        <f t="shared" si="403"/>
        <v>-161.49944681265319</v>
      </c>
      <c r="BQ489" s="56">
        <f t="shared" si="416"/>
        <v>15.598488667144085</v>
      </c>
    </row>
    <row r="490" spans="1:69" x14ac:dyDescent="0.2">
      <c r="A490">
        <f t="shared" si="420"/>
        <v>1380000</v>
      </c>
      <c r="B490">
        <f t="shared" si="404"/>
        <v>1380</v>
      </c>
      <c r="C490">
        <f t="shared" si="373"/>
        <v>1.0539740981759347</v>
      </c>
      <c r="D490">
        <f t="shared" si="374"/>
        <v>0.32141321635722259</v>
      </c>
      <c r="F490">
        <f t="shared" si="375"/>
        <v>4.6149594274920955E-5</v>
      </c>
      <c r="G490">
        <f t="shared" si="376"/>
        <v>2.5594129181620959E-3</v>
      </c>
      <c r="H490">
        <f t="shared" si="377"/>
        <v>-3.1390332370818381</v>
      </c>
      <c r="J490">
        <f t="shared" si="378"/>
        <v>15</v>
      </c>
      <c r="M490">
        <f t="shared" si="379"/>
        <v>1.6353251239146094E-4</v>
      </c>
      <c r="N490">
        <f t="shared" si="380"/>
        <v>-1.5707963250000001</v>
      </c>
      <c r="O490">
        <f t="shared" si="381"/>
        <v>1295.1571418537781</v>
      </c>
      <c r="P490">
        <f t="shared" si="382"/>
        <v>1.5700242196373613</v>
      </c>
      <c r="Q490">
        <f t="shared" si="383"/>
        <v>192.73357308478148</v>
      </c>
      <c r="R490">
        <f t="shared" si="384"/>
        <v>1.5656077938848234</v>
      </c>
      <c r="S490">
        <f t="shared" si="385"/>
        <v>0.18073671764039542</v>
      </c>
      <c r="T490">
        <f t="shared" si="386"/>
        <v>-1.3890608736080556</v>
      </c>
      <c r="U490">
        <f t="shared" si="387"/>
        <v>0.16573770508986119</v>
      </c>
      <c r="V490">
        <f t="shared" si="388"/>
        <v>-1.4042903117033398</v>
      </c>
      <c r="X490">
        <f t="shared" si="405"/>
        <v>-60.991185145113896</v>
      </c>
      <c r="Y490">
        <f t="shared" si="389"/>
        <v>-231.82648875642377</v>
      </c>
      <c r="Z490">
        <f t="shared" si="406"/>
        <v>-51.826488756423771</v>
      </c>
      <c r="AC490">
        <v>1</v>
      </c>
      <c r="AD490">
        <f t="shared" si="390"/>
        <v>1295.15675580018</v>
      </c>
      <c r="AE490">
        <f t="shared" si="391"/>
        <v>-2.0214071364870616</v>
      </c>
      <c r="AF490">
        <f t="shared" si="392"/>
        <v>0.33972177607451998</v>
      </c>
      <c r="AG490">
        <f t="shared" si="421"/>
        <v>104.24176754764504</v>
      </c>
      <c r="AH490">
        <f t="shared" si="422"/>
        <v>-623.20130103874794</v>
      </c>
      <c r="AJ490">
        <f t="shared" si="393"/>
        <v>18000</v>
      </c>
      <c r="AK490">
        <f t="shared" si="394"/>
        <v>97952.245021915194</v>
      </c>
      <c r="AL490">
        <v>1</v>
      </c>
      <c r="AM490">
        <f t="shared" si="395"/>
        <v>192.73097881250641</v>
      </c>
      <c r="AN490">
        <f t="shared" si="423"/>
        <v>508.70389703757257</v>
      </c>
      <c r="AO490">
        <f t="shared" si="424"/>
        <v>-90.754979872635857</v>
      </c>
      <c r="AQ490">
        <f t="shared" si="396"/>
        <v>1.3127492500591721E-3</v>
      </c>
      <c r="AR490">
        <f t="shared" si="397"/>
        <v>-3.6231879301633154</v>
      </c>
      <c r="AT490">
        <f t="shared" si="418"/>
        <v>-2257.8385886834935</v>
      </c>
      <c r="AU490">
        <f t="shared" si="419"/>
        <v>-378.50562103809199</v>
      </c>
      <c r="AV490">
        <f t="shared" si="407"/>
        <v>-2.9754964268310462</v>
      </c>
      <c r="AW490">
        <f t="shared" si="408"/>
        <v>283.73689249619309</v>
      </c>
      <c r="AX490">
        <f t="shared" si="409"/>
        <v>-2654.6974042840711</v>
      </c>
      <c r="AY490">
        <f t="shared" si="417"/>
        <v>-1.4643194798156234</v>
      </c>
      <c r="BA490">
        <f t="shared" si="398"/>
        <v>0.85749131611464491</v>
      </c>
      <c r="BB490">
        <f t="shared" si="410"/>
        <v>-1.3354053879799332</v>
      </c>
      <c r="BC490">
        <f t="shared" si="411"/>
        <v>-1.5111769470154228</v>
      </c>
      <c r="BD490">
        <f t="shared" si="399"/>
        <v>-266.58406126038528</v>
      </c>
      <c r="BF490">
        <f t="shared" si="400"/>
        <v>-64.07362370043235</v>
      </c>
      <c r="BG490">
        <f t="shared" si="401"/>
        <v>-248.02179690393876</v>
      </c>
      <c r="BH490">
        <f t="shared" si="412"/>
        <v>-68.021796903938764</v>
      </c>
      <c r="BI490">
        <f t="shared" si="413"/>
        <v>-68.021796903938764</v>
      </c>
      <c r="BJ490">
        <f t="shared" si="402"/>
        <v>0</v>
      </c>
      <c r="BK490">
        <f t="shared" si="414"/>
        <v>0</v>
      </c>
      <c r="BM490">
        <f t="shared" si="415"/>
        <v>-62.738218312452418</v>
      </c>
      <c r="BN490">
        <f t="shared" si="403"/>
        <v>-161.43773564355354</v>
      </c>
      <c r="BQ490" s="56">
        <f t="shared" si="416"/>
        <v>15.566555412305203</v>
      </c>
    </row>
    <row r="491" spans="1:69" x14ac:dyDescent="0.2">
      <c r="A491">
        <f t="shared" si="420"/>
        <v>1385000</v>
      </c>
      <c r="B491">
        <f t="shared" si="404"/>
        <v>1385</v>
      </c>
      <c r="C491">
        <f t="shared" si="373"/>
        <v>1.0543558215487348</v>
      </c>
      <c r="D491">
        <f t="shared" si="374"/>
        <v>0.3224988018812861</v>
      </c>
      <c r="F491">
        <f t="shared" si="375"/>
        <v>4.5816971365009854E-5</v>
      </c>
      <c r="G491">
        <f t="shared" si="376"/>
        <v>2.5501723440417802E-3</v>
      </c>
      <c r="H491">
        <f t="shared" si="377"/>
        <v>-3.1390424776559582</v>
      </c>
      <c r="J491">
        <f t="shared" si="378"/>
        <v>15</v>
      </c>
      <c r="M491">
        <f t="shared" si="379"/>
        <v>1.6294214231062535E-4</v>
      </c>
      <c r="N491">
        <f t="shared" si="380"/>
        <v>-1.5707963250000001</v>
      </c>
      <c r="O491">
        <f t="shared" si="381"/>
        <v>1299.8497374013882</v>
      </c>
      <c r="P491">
        <f t="shared" si="382"/>
        <v>1.5700270070267199</v>
      </c>
      <c r="Q491">
        <f t="shared" si="383"/>
        <v>193.43186436717437</v>
      </c>
      <c r="R491">
        <f t="shared" si="384"/>
        <v>1.5656265247162109</v>
      </c>
      <c r="S491">
        <f t="shared" si="385"/>
        <v>0.18010544070792614</v>
      </c>
      <c r="T491">
        <f t="shared" si="386"/>
        <v>-1.3897026829882295</v>
      </c>
      <c r="U491">
        <f t="shared" si="387"/>
        <v>0.1651557231062408</v>
      </c>
      <c r="V491">
        <f t="shared" si="388"/>
        <v>-1.4048804262232311</v>
      </c>
      <c r="X491">
        <f t="shared" si="405"/>
        <v>-61.080402246010152</v>
      </c>
      <c r="Y491">
        <f t="shared" si="389"/>
        <v>-231.8341698704242</v>
      </c>
      <c r="Z491">
        <f t="shared" si="406"/>
        <v>-51.834169870424205</v>
      </c>
      <c r="AC491">
        <v>1</v>
      </c>
      <c r="AD491">
        <f t="shared" si="390"/>
        <v>1299.8493527414851</v>
      </c>
      <c r="AE491">
        <f t="shared" si="391"/>
        <v>-2.036081550298201</v>
      </c>
      <c r="AF491">
        <f t="shared" si="392"/>
        <v>0.34095265207478997</v>
      </c>
      <c r="AG491">
        <f t="shared" si="421"/>
        <v>103.51097046167173</v>
      </c>
      <c r="AH491">
        <f t="shared" si="422"/>
        <v>-621.07385269442568</v>
      </c>
      <c r="AJ491">
        <f t="shared" si="393"/>
        <v>18000</v>
      </c>
      <c r="AK491">
        <f t="shared" si="394"/>
        <v>98307.144460400406</v>
      </c>
      <c r="AL491">
        <v>1</v>
      </c>
      <c r="AM491">
        <f t="shared" si="395"/>
        <v>193.42927946037781</v>
      </c>
      <c r="AN491">
        <f t="shared" si="423"/>
        <v>508.70050334167411</v>
      </c>
      <c r="AO491">
        <f t="shared" si="424"/>
        <v>-90.427362111128858</v>
      </c>
      <c r="AQ491">
        <f t="shared" si="396"/>
        <v>1.3032880262628178E-3</v>
      </c>
      <c r="AR491">
        <f t="shared" si="397"/>
        <v>-3.610107832748005</v>
      </c>
      <c r="AT491">
        <f t="shared" si="418"/>
        <v>-2242.0086757187373</v>
      </c>
      <c r="AU491">
        <f t="shared" si="419"/>
        <v>-374.49520335467008</v>
      </c>
      <c r="AV491">
        <f t="shared" si="407"/>
        <v>-2.9760850619716623</v>
      </c>
      <c r="AW491">
        <f t="shared" si="408"/>
        <v>285.37500203308849</v>
      </c>
      <c r="AX491">
        <f t="shared" si="409"/>
        <v>-2645.2211743121097</v>
      </c>
      <c r="AY491">
        <f t="shared" si="417"/>
        <v>-1.463328742403774</v>
      </c>
      <c r="BA491">
        <f t="shared" si="398"/>
        <v>0.85435463691830582</v>
      </c>
      <c r="BB491">
        <f t="shared" si="410"/>
        <v>-1.3672363827868785</v>
      </c>
      <c r="BC491">
        <f t="shared" si="411"/>
        <v>-1.5127563195678884</v>
      </c>
      <c r="BD491">
        <f t="shared" si="399"/>
        <v>-266.67455264202374</v>
      </c>
      <c r="BF491">
        <f t="shared" si="400"/>
        <v>-64.165139642098865</v>
      </c>
      <c r="BG491">
        <f t="shared" si="401"/>
        <v>-248.0506182625748</v>
      </c>
      <c r="BH491">
        <f t="shared" si="412"/>
        <v>-68.050618262574801</v>
      </c>
      <c r="BI491">
        <f t="shared" si="413"/>
        <v>-68.050618262574801</v>
      </c>
      <c r="BJ491">
        <f t="shared" si="402"/>
        <v>0</v>
      </c>
      <c r="BK491">
        <f t="shared" si="414"/>
        <v>0</v>
      </c>
      <c r="BM491">
        <f t="shared" si="415"/>
        <v>-62.79790325931198</v>
      </c>
      <c r="BN491">
        <f t="shared" si="403"/>
        <v>-161.37606562055106</v>
      </c>
      <c r="BQ491" s="56">
        <f t="shared" si="416"/>
        <v>15.534724417498257</v>
      </c>
    </row>
    <row r="492" spans="1:69" x14ac:dyDescent="0.2">
      <c r="A492">
        <f t="shared" si="420"/>
        <v>1390000</v>
      </c>
      <c r="B492">
        <f t="shared" si="404"/>
        <v>1390</v>
      </c>
      <c r="C492">
        <f t="shared" si="373"/>
        <v>1.054738786575333</v>
      </c>
      <c r="D492">
        <f t="shared" si="374"/>
        <v>0.32358360035267542</v>
      </c>
      <c r="F492">
        <f t="shared" si="375"/>
        <v>4.5487931655574709E-5</v>
      </c>
      <c r="G492">
        <f t="shared" si="376"/>
        <v>2.5409982576338921E-3</v>
      </c>
      <c r="H492">
        <f t="shared" si="377"/>
        <v>-3.1390516517423661</v>
      </c>
      <c r="J492">
        <f t="shared" si="378"/>
        <v>15</v>
      </c>
      <c r="M492">
        <f t="shared" si="379"/>
        <v>1.6235601949655834E-4</v>
      </c>
      <c r="N492">
        <f t="shared" si="380"/>
        <v>-1.5707963250000001</v>
      </c>
      <c r="O492">
        <f t="shared" si="381"/>
        <v>1304.5423329590246</v>
      </c>
      <c r="P492">
        <f t="shared" si="382"/>
        <v>1.5700297743629295</v>
      </c>
      <c r="Q492">
        <f t="shared" si="383"/>
        <v>194.13015571694345</v>
      </c>
      <c r="R492">
        <f t="shared" si="384"/>
        <v>1.5656451207970044</v>
      </c>
      <c r="S492">
        <f t="shared" si="385"/>
        <v>0.1794784851121389</v>
      </c>
      <c r="T492">
        <f t="shared" si="386"/>
        <v>-1.3903400242915269</v>
      </c>
      <c r="U492">
        <f t="shared" si="387"/>
        <v>0.16457775732676366</v>
      </c>
      <c r="V492">
        <f t="shared" si="388"/>
        <v>-1.4054664107106978</v>
      </c>
      <c r="X492">
        <f t="shared" si="405"/>
        <v>-61.169290486158452</v>
      </c>
      <c r="Y492">
        <f t="shared" si="389"/>
        <v>-231.8414085039818</v>
      </c>
      <c r="Z492">
        <f t="shared" si="406"/>
        <v>-51.841408503981796</v>
      </c>
      <c r="AC492">
        <v>1</v>
      </c>
      <c r="AD492">
        <f t="shared" si="390"/>
        <v>1304.5419496827899</v>
      </c>
      <c r="AE492">
        <f t="shared" si="391"/>
        <v>-2.0508090361303575</v>
      </c>
      <c r="AF492">
        <f t="shared" si="392"/>
        <v>0.34218352807505997</v>
      </c>
      <c r="AG492">
        <f t="shared" si="421"/>
        <v>102.78776067141709</v>
      </c>
      <c r="AH492">
        <f t="shared" si="422"/>
        <v>-618.96044377123724</v>
      </c>
      <c r="AJ492">
        <f t="shared" si="393"/>
        <v>18000</v>
      </c>
      <c r="AK492">
        <f t="shared" si="394"/>
        <v>98662.043898885604</v>
      </c>
      <c r="AL492">
        <v>1</v>
      </c>
      <c r="AM492">
        <f t="shared" si="395"/>
        <v>194.12758010824922</v>
      </c>
      <c r="AN492">
        <f t="shared" si="423"/>
        <v>508.69714620118981</v>
      </c>
      <c r="AO492">
        <f t="shared" si="424"/>
        <v>-90.102101123628742</v>
      </c>
      <c r="AQ492">
        <f t="shared" si="396"/>
        <v>1.2939287182432693E-3</v>
      </c>
      <c r="AR492">
        <f t="shared" si="397"/>
        <v>-3.5971218367162883</v>
      </c>
      <c r="AT492">
        <f t="shared" si="418"/>
        <v>-2226.3431283177051</v>
      </c>
      <c r="AU492">
        <f t="shared" si="419"/>
        <v>-370.54098915197432</v>
      </c>
      <c r="AV492">
        <f t="shared" si="407"/>
        <v>-2.97666957772286</v>
      </c>
      <c r="AW492">
        <f t="shared" si="408"/>
        <v>286.99518626741605</v>
      </c>
      <c r="AX492">
        <f t="shared" si="409"/>
        <v>-2635.8120114962112</v>
      </c>
      <c r="AY492">
        <f t="shared" si="417"/>
        <v>-1.4623405543288619</v>
      </c>
      <c r="BA492">
        <f t="shared" si="398"/>
        <v>0.85123938439289015</v>
      </c>
      <c r="BB492">
        <f t="shared" si="410"/>
        <v>-1.3989658206042956</v>
      </c>
      <c r="BC492">
        <f t="shared" si="411"/>
        <v>-1.5143290233939981</v>
      </c>
      <c r="BD492">
        <f t="shared" si="399"/>
        <v>-266.7646619337869</v>
      </c>
      <c r="BF492">
        <f t="shared" si="400"/>
        <v>-64.256318505088373</v>
      </c>
      <c r="BG492">
        <f t="shared" si="401"/>
        <v>-248.07909881666671</v>
      </c>
      <c r="BH492">
        <f t="shared" si="412"/>
        <v>-68.079098816666715</v>
      </c>
      <c r="BI492">
        <f t="shared" si="413"/>
        <v>-68.079098816666715</v>
      </c>
      <c r="BJ492">
        <f t="shared" si="402"/>
        <v>0</v>
      </c>
      <c r="BK492">
        <f t="shared" si="414"/>
        <v>0</v>
      </c>
      <c r="BM492">
        <f t="shared" si="415"/>
        <v>-62.85735268448407</v>
      </c>
      <c r="BN492">
        <f t="shared" si="403"/>
        <v>-161.31443688287987</v>
      </c>
      <c r="BQ492" s="56">
        <f t="shared" si="416"/>
        <v>15.502994979680839</v>
      </c>
    </row>
    <row r="493" spans="1:69" x14ac:dyDescent="0.2">
      <c r="A493">
        <f t="shared" si="420"/>
        <v>1395000</v>
      </c>
      <c r="B493">
        <f t="shared" si="404"/>
        <v>1395</v>
      </c>
      <c r="C493">
        <f t="shared" si="373"/>
        <v>1.0551229919037266</v>
      </c>
      <c r="D493">
        <f t="shared" si="374"/>
        <v>0.32466761007662881</v>
      </c>
      <c r="F493">
        <f t="shared" si="375"/>
        <v>4.5162423863104682E-5</v>
      </c>
      <c r="G493">
        <f t="shared" si="376"/>
        <v>2.5318899438918404E-3</v>
      </c>
      <c r="H493">
        <f t="shared" si="377"/>
        <v>-3.1390607600561085</v>
      </c>
      <c r="J493">
        <f t="shared" si="378"/>
        <v>15</v>
      </c>
      <c r="M493">
        <f t="shared" si="379"/>
        <v>1.617740982797248E-4</v>
      </c>
      <c r="N493">
        <f t="shared" si="380"/>
        <v>-1.5707963250000001</v>
      </c>
      <c r="O493">
        <f t="shared" si="381"/>
        <v>1309.2349285265802</v>
      </c>
      <c r="P493">
        <f t="shared" si="382"/>
        <v>1.5700325218616151</v>
      </c>
      <c r="Q493">
        <f t="shared" si="383"/>
        <v>194.82844713336431</v>
      </c>
      <c r="R493">
        <f t="shared" si="384"/>
        <v>1.5656635835760835</v>
      </c>
      <c r="S493">
        <f t="shared" si="385"/>
        <v>0.17885580740139978</v>
      </c>
      <c r="T493">
        <f t="shared" si="386"/>
        <v>-1.3909729435017226</v>
      </c>
      <c r="U493">
        <f t="shared" si="387"/>
        <v>0.16400376691870028</v>
      </c>
      <c r="V493">
        <f t="shared" si="388"/>
        <v>-1.4060483079735748</v>
      </c>
      <c r="X493">
        <f t="shared" si="405"/>
        <v>-61.257852049015881</v>
      </c>
      <c r="Y493">
        <f t="shared" si="389"/>
        <v>-231.84820978718355</v>
      </c>
      <c r="Z493">
        <f t="shared" si="406"/>
        <v>-51.848209787183549</v>
      </c>
      <c r="AC493">
        <v>1</v>
      </c>
      <c r="AD493">
        <f t="shared" si="390"/>
        <v>1309.2345466240949</v>
      </c>
      <c r="AE493">
        <f t="shared" si="391"/>
        <v>-2.06558959398353</v>
      </c>
      <c r="AF493">
        <f t="shared" si="392"/>
        <v>0.34341440407533003</v>
      </c>
      <c r="AG493">
        <f t="shared" si="421"/>
        <v>102.07203449740612</v>
      </c>
      <c r="AH493">
        <f t="shared" si="422"/>
        <v>-616.86094054488694</v>
      </c>
      <c r="AJ493">
        <f t="shared" si="393"/>
        <v>18000</v>
      </c>
      <c r="AK493">
        <f t="shared" si="394"/>
        <v>99016.943337370802</v>
      </c>
      <c r="AL493">
        <v>1</v>
      </c>
      <c r="AM493">
        <f t="shared" si="395"/>
        <v>194.82588075612063</v>
      </c>
      <c r="AN493">
        <f t="shared" si="423"/>
        <v>508.69382509299118</v>
      </c>
      <c r="AO493">
        <f t="shared" si="424"/>
        <v>-89.779171571164611</v>
      </c>
      <c r="AQ493">
        <f t="shared" si="396"/>
        <v>1.2846698674644638E-3</v>
      </c>
      <c r="AR493">
        <f t="shared" si="397"/>
        <v>-3.5842289302258541</v>
      </c>
      <c r="AT493">
        <f t="shared" si="418"/>
        <v>-2210.8397001602848</v>
      </c>
      <c r="AU493">
        <f t="shared" si="419"/>
        <v>-366.64200167534818</v>
      </c>
      <c r="AV493">
        <f t="shared" si="407"/>
        <v>-2.9772500167780334</v>
      </c>
      <c r="AW493">
        <f t="shared" si="408"/>
        <v>288.59770654642756</v>
      </c>
      <c r="AX493">
        <f t="shared" si="409"/>
        <v>-2626.4692096688914</v>
      </c>
      <c r="AY493">
        <f t="shared" si="417"/>
        <v>-1.4613548892352271</v>
      </c>
      <c r="BA493">
        <f t="shared" si="398"/>
        <v>0.84814533970468542</v>
      </c>
      <c r="BB493">
        <f t="shared" si="410"/>
        <v>-1.4305943977138511</v>
      </c>
      <c r="BC493">
        <f t="shared" si="411"/>
        <v>-1.5158951275428063</v>
      </c>
      <c r="BD493">
        <f t="shared" si="399"/>
        <v>-266.85439309189405</v>
      </c>
      <c r="BF493">
        <f t="shared" si="400"/>
        <v>-64.347162633440334</v>
      </c>
      <c r="BG493">
        <f t="shared" si="401"/>
        <v>-248.10724266050573</v>
      </c>
      <c r="BH493">
        <f t="shared" si="412"/>
        <v>-68.107242660505733</v>
      </c>
      <c r="BI493">
        <f t="shared" si="413"/>
        <v>-68.107242660505733</v>
      </c>
      <c r="BJ493">
        <f t="shared" si="402"/>
        <v>0</v>
      </c>
      <c r="BK493">
        <f t="shared" si="414"/>
        <v>0</v>
      </c>
      <c r="BM493">
        <f t="shared" si="415"/>
        <v>-62.916568235726487</v>
      </c>
      <c r="BN493">
        <f t="shared" si="403"/>
        <v>-161.25284956861171</v>
      </c>
      <c r="BQ493" s="56">
        <f t="shared" si="416"/>
        <v>15.471366402571284</v>
      </c>
    </row>
    <row r="494" spans="1:69" x14ac:dyDescent="0.2">
      <c r="A494">
        <f t="shared" si="420"/>
        <v>1400000</v>
      </c>
      <c r="B494">
        <f t="shared" si="404"/>
        <v>1400</v>
      </c>
      <c r="C494">
        <f t="shared" si="373"/>
        <v>1.0555084361795046</v>
      </c>
      <c r="D494">
        <f t="shared" si="374"/>
        <v>0.32575082936826272</v>
      </c>
      <c r="F494">
        <f t="shared" si="375"/>
        <v>4.4840397618305087E-5</v>
      </c>
      <c r="G494">
        <f t="shared" si="376"/>
        <v>2.5228466979862027E-3</v>
      </c>
      <c r="H494">
        <f t="shared" si="377"/>
        <v>-3.1390698033020139</v>
      </c>
      <c r="J494">
        <f t="shared" si="378"/>
        <v>15</v>
      </c>
      <c r="M494">
        <f t="shared" si="379"/>
        <v>1.611963336430115E-4</v>
      </c>
      <c r="N494">
        <f t="shared" si="380"/>
        <v>-1.5707963250000001</v>
      </c>
      <c r="O494">
        <f t="shared" si="381"/>
        <v>1313.9275241039481</v>
      </c>
      <c r="P494">
        <f t="shared" si="382"/>
        <v>1.5700352497353216</v>
      </c>
      <c r="Q494">
        <f t="shared" si="383"/>
        <v>195.52673861572279</v>
      </c>
      <c r="R494">
        <f t="shared" si="384"/>
        <v>1.5656819144816314</v>
      </c>
      <c r="S494">
        <f t="shared" si="385"/>
        <v>0.17823736469384507</v>
      </c>
      <c r="T494">
        <f t="shared" si="386"/>
        <v>-1.3916014859808676</v>
      </c>
      <c r="U494">
        <f t="shared" si="387"/>
        <v>0.1634337115925529</v>
      </c>
      <c r="V494">
        <f t="shared" si="388"/>
        <v>-1.4066261602356784</v>
      </c>
      <c r="X494">
        <f t="shared" si="405"/>
        <v>-61.346089096675733</v>
      </c>
      <c r="Y494">
        <f t="shared" si="389"/>
        <v>-231.85457878124393</v>
      </c>
      <c r="Z494">
        <f t="shared" si="406"/>
        <v>-51.85457878124393</v>
      </c>
      <c r="AC494">
        <v>1</v>
      </c>
      <c r="AD494">
        <f t="shared" si="390"/>
        <v>1313.9271435654</v>
      </c>
      <c r="AE494">
        <f t="shared" si="391"/>
        <v>-2.0804232238577196</v>
      </c>
      <c r="AF494">
        <f t="shared" si="392"/>
        <v>0.34464528007560002</v>
      </c>
      <c r="AG494">
        <f t="shared" si="421"/>
        <v>101.36369000786061</v>
      </c>
      <c r="AH494">
        <f t="shared" si="422"/>
        <v>-614.77521091190022</v>
      </c>
      <c r="AJ494">
        <f t="shared" si="393"/>
        <v>18000</v>
      </c>
      <c r="AK494">
        <f t="shared" si="394"/>
        <v>99371.842775855999</v>
      </c>
      <c r="AL494">
        <v>1</v>
      </c>
      <c r="AM494">
        <f t="shared" si="395"/>
        <v>195.524181403992</v>
      </c>
      <c r="AN494">
        <f t="shared" si="423"/>
        <v>508.69053950327401</v>
      </c>
      <c r="AO494">
        <f t="shared" si="424"/>
        <v>-89.458548476703186</v>
      </c>
      <c r="AQ494">
        <f t="shared" si="396"/>
        <v>1.2755100413890253E-3</v>
      </c>
      <c r="AR494">
        <f t="shared" si="397"/>
        <v>-3.5714281158892711</v>
      </c>
      <c r="AT494">
        <f t="shared" si="418"/>
        <v>-2195.4961827980801</v>
      </c>
      <c r="AU494">
        <f t="shared" si="419"/>
        <v>-362.79728437907295</v>
      </c>
      <c r="AV494">
        <f t="shared" si="407"/>
        <v>-2.9778264212481917</v>
      </c>
      <c r="AW494">
        <f t="shared" si="408"/>
        <v>290.18281946023444</v>
      </c>
      <c r="AX494">
        <f t="shared" si="409"/>
        <v>-2617.1920725010114</v>
      </c>
      <c r="AY494">
        <f t="shared" si="417"/>
        <v>-1.4603717211736054</v>
      </c>
      <c r="BA494">
        <f t="shared" si="398"/>
        <v>0.84507228694927683</v>
      </c>
      <c r="BB494">
        <f t="shared" si="410"/>
        <v>-1.4621228037175764</v>
      </c>
      <c r="BC494">
        <f t="shared" si="411"/>
        <v>-1.5174547000745864</v>
      </c>
      <c r="BD494">
        <f t="shared" si="399"/>
        <v>-266.94375001591169</v>
      </c>
      <c r="BF494">
        <f t="shared" si="400"/>
        <v>-64.437674347079877</v>
      </c>
      <c r="BG494">
        <f t="shared" si="401"/>
        <v>-248.13505383057881</v>
      </c>
      <c r="BH494">
        <f t="shared" si="412"/>
        <v>-68.135053830578812</v>
      </c>
      <c r="BI494">
        <f t="shared" si="413"/>
        <v>-68.135053830578812</v>
      </c>
      <c r="BJ494">
        <f t="shared" si="402"/>
        <v>0</v>
      </c>
      <c r="BK494">
        <f t="shared" si="414"/>
        <v>0</v>
      </c>
      <c r="BM494">
        <f t="shared" si="415"/>
        <v>-62.975551543362307</v>
      </c>
      <c r="BN494">
        <f t="shared" si="403"/>
        <v>-161.19130381466712</v>
      </c>
      <c r="BQ494" s="56">
        <f t="shared" si="416"/>
        <v>15.43983799656756</v>
      </c>
    </row>
    <row r="495" spans="1:69" x14ac:dyDescent="0.2">
      <c r="A495">
        <f t="shared" si="420"/>
        <v>1405000</v>
      </c>
      <c r="B495">
        <f t="shared" si="404"/>
        <v>1405</v>
      </c>
      <c r="C495">
        <f t="shared" si="373"/>
        <v>1.05589511804587</v>
      </c>
      <c r="D495">
        <f t="shared" si="374"/>
        <v>0.32683325655256967</v>
      </c>
      <c r="F495">
        <f t="shared" si="375"/>
        <v>4.4521803446609559E-5</v>
      </c>
      <c r="G495">
        <f t="shared" si="376"/>
        <v>2.5138678251228831E-3</v>
      </c>
      <c r="H495">
        <f t="shared" si="377"/>
        <v>-3.1390787821748773</v>
      </c>
      <c r="J495">
        <f t="shared" si="378"/>
        <v>15</v>
      </c>
      <c r="M495">
        <f t="shared" si="379"/>
        <v>1.6062268121011823E-4</v>
      </c>
      <c r="N495">
        <f t="shared" si="380"/>
        <v>-1.5707963250000001</v>
      </c>
      <c r="O495">
        <f t="shared" si="381"/>
        <v>1318.6201196910238</v>
      </c>
      <c r="P495">
        <f t="shared" si="382"/>
        <v>1.570037958193568</v>
      </c>
      <c r="Q495">
        <f t="shared" si="383"/>
        <v>196.22503016331498</v>
      </c>
      <c r="R495">
        <f t="shared" si="384"/>
        <v>1.5657001149215011</v>
      </c>
      <c r="S495">
        <f t="shared" si="385"/>
        <v>0.17762311466826503</v>
      </c>
      <c r="T495">
        <f t="shared" si="386"/>
        <v>-1.3922256964796385</v>
      </c>
      <c r="U495">
        <f t="shared" si="387"/>
        <v>0.16286755159320113</v>
      </c>
      <c r="V495">
        <f t="shared" si="388"/>
        <v>-1.4072000091466352</v>
      </c>
      <c r="X495">
        <f t="shared" si="405"/>
        <v>-61.434003770141878</v>
      </c>
      <c r="Y495">
        <f t="shared" si="389"/>
        <v>-231.8605204796466</v>
      </c>
      <c r="Z495">
        <f t="shared" si="406"/>
        <v>-51.860520479646596</v>
      </c>
      <c r="AC495">
        <v>1</v>
      </c>
      <c r="AD495">
        <f t="shared" si="390"/>
        <v>1318.6197405067051</v>
      </c>
      <c r="AE495">
        <f t="shared" si="391"/>
        <v>-2.0953099257529262</v>
      </c>
      <c r="AF495">
        <f t="shared" si="392"/>
        <v>0.34587615607587002</v>
      </c>
      <c r="AG495">
        <f t="shared" si="421"/>
        <v>100.66262698382579</v>
      </c>
      <c r="AH495">
        <f t="shared" si="422"/>
        <v>-612.70312436653978</v>
      </c>
      <c r="AJ495">
        <f t="shared" si="393"/>
        <v>18000</v>
      </c>
      <c r="AK495">
        <f t="shared" si="394"/>
        <v>99726.742214341197</v>
      </c>
      <c r="AL495">
        <v>1</v>
      </c>
      <c r="AM495">
        <f t="shared" si="395"/>
        <v>196.22248205186341</v>
      </c>
      <c r="AN495">
        <f t="shared" si="423"/>
        <v>508.68728892735976</v>
      </c>
      <c r="AO495">
        <f t="shared" si="424"/>
        <v>-89.140207218709662</v>
      </c>
      <c r="AQ495">
        <f t="shared" si="396"/>
        <v>1.2664478329241229E-3</v>
      </c>
      <c r="AR495">
        <f t="shared" si="397"/>
        <v>-3.5587184105167853</v>
      </c>
      <c r="AT495">
        <f t="shared" si="418"/>
        <v>-2180.3104048985606</v>
      </c>
      <c r="AU495">
        <f t="shared" si="419"/>
        <v>-359.00590044240442</v>
      </c>
      <c r="AV495">
        <f t="shared" si="407"/>
        <v>-2.9783988326717625</v>
      </c>
      <c r="AW495">
        <f t="shared" si="408"/>
        <v>291.75077694553545</v>
      </c>
      <c r="AX495">
        <f t="shared" si="409"/>
        <v>-2607.9799133316315</v>
      </c>
      <c r="AY495">
        <f t="shared" si="417"/>
        <v>-1.4593910245934316</v>
      </c>
      <c r="BA495">
        <f t="shared" si="398"/>
        <v>0.84202001310363783</v>
      </c>
      <c r="BB495">
        <f t="shared" si="410"/>
        <v>-1.4935517216178353</v>
      </c>
      <c r="BC495">
        <f t="shared" si="411"/>
        <v>-1.5190078080783309</v>
      </c>
      <c r="BD495">
        <f t="shared" si="399"/>
        <v>-267.0327365497559</v>
      </c>
      <c r="BF495">
        <f t="shared" si="400"/>
        <v>-64.527855942146374</v>
      </c>
      <c r="BG495">
        <f t="shared" si="401"/>
        <v>-248.16253630658161</v>
      </c>
      <c r="BH495">
        <f t="shared" si="412"/>
        <v>-68.162536306581615</v>
      </c>
      <c r="BI495">
        <f t="shared" si="413"/>
        <v>-68.162536306581615</v>
      </c>
      <c r="BJ495">
        <f t="shared" si="402"/>
        <v>0</v>
      </c>
      <c r="BK495">
        <f t="shared" si="414"/>
        <v>0</v>
      </c>
      <c r="BM495">
        <f t="shared" si="415"/>
        <v>-63.03430422052854</v>
      </c>
      <c r="BN495">
        <f t="shared" si="403"/>
        <v>-161.12979975682569</v>
      </c>
      <c r="BQ495" s="56">
        <f t="shared" si="416"/>
        <v>15.408409078667303</v>
      </c>
    </row>
    <row r="496" spans="1:69" x14ac:dyDescent="0.2">
      <c r="A496">
        <f t="shared" si="420"/>
        <v>1410000</v>
      </c>
      <c r="B496">
        <f t="shared" si="404"/>
        <v>1410</v>
      </c>
      <c r="C496">
        <f t="shared" si="373"/>
        <v>1.056283036143659</v>
      </c>
      <c r="D496">
        <f t="shared" si="374"/>
        <v>0.32791488996441542</v>
      </c>
      <c r="F496">
        <f t="shared" si="375"/>
        <v>4.4206592749175315E-5</v>
      </c>
      <c r="G496">
        <f t="shared" si="376"/>
        <v>2.5049526403651302E-3</v>
      </c>
      <c r="H496">
        <f t="shared" si="377"/>
        <v>-3.1390876973596349</v>
      </c>
      <c r="J496">
        <f t="shared" si="378"/>
        <v>15</v>
      </c>
      <c r="M496">
        <f t="shared" si="379"/>
        <v>1.6005309723419583E-4</v>
      </c>
      <c r="N496">
        <f t="shared" si="380"/>
        <v>-1.5707963250000001</v>
      </c>
      <c r="O496">
        <f t="shared" si="381"/>
        <v>1323.3127152877039</v>
      </c>
      <c r="P496">
        <f t="shared" si="382"/>
        <v>1.5700406474429016</v>
      </c>
      <c r="Q496">
        <f t="shared" si="383"/>
        <v>196.92332177544685</v>
      </c>
      <c r="R496">
        <f t="shared" si="384"/>
        <v>1.5657181862835774</v>
      </c>
      <c r="S496">
        <f t="shared" si="385"/>
        <v>0.17701301555515747</v>
      </c>
      <c r="T496">
        <f t="shared" si="386"/>
        <v>-1.3928456191474816</v>
      </c>
      <c r="U496">
        <f t="shared" si="387"/>
        <v>0.1623052476912164</v>
      </c>
      <c r="V496">
        <f t="shared" si="388"/>
        <v>-1.4077698957915155</v>
      </c>
      <c r="X496">
        <f t="shared" si="405"/>
        <v>-61.521598189598677</v>
      </c>
      <c r="Y496">
        <f t="shared" si="389"/>
        <v>-231.86603980926449</v>
      </c>
      <c r="Z496">
        <f t="shared" si="406"/>
        <v>-51.866039809264493</v>
      </c>
      <c r="AC496">
        <v>1</v>
      </c>
      <c r="AD496">
        <f t="shared" si="390"/>
        <v>1323.3123374480099</v>
      </c>
      <c r="AE496">
        <f t="shared" si="391"/>
        <v>-2.1102496996691493</v>
      </c>
      <c r="AF496">
        <f t="shared" si="392"/>
        <v>0.34710703207614002</v>
      </c>
      <c r="AG496">
        <f t="shared" si="421"/>
        <v>99.96874688509682</v>
      </c>
      <c r="AH496">
        <f t="shared" si="422"/>
        <v>-610.64455197808343</v>
      </c>
      <c r="AJ496">
        <f t="shared" si="393"/>
        <v>18000</v>
      </c>
      <c r="AK496">
        <f t="shared" si="394"/>
        <v>100081.64165282641</v>
      </c>
      <c r="AL496">
        <v>1</v>
      </c>
      <c r="AM496">
        <f t="shared" si="395"/>
        <v>196.92078269973481</v>
      </c>
      <c r="AN496">
        <f t="shared" si="423"/>
        <v>508.68407286950185</v>
      </c>
      <c r="AO496">
        <f t="shared" si="424"/>
        <v>-88.824123524845476</v>
      </c>
      <c r="AQ496">
        <f t="shared" si="396"/>
        <v>1.2574818598810598E-3</v>
      </c>
      <c r="AR496">
        <f t="shared" si="397"/>
        <v>-3.5460988448645887</v>
      </c>
      <c r="AT496">
        <f t="shared" si="418"/>
        <v>-2165.2802315065733</v>
      </c>
      <c r="AU496">
        <f t="shared" si="419"/>
        <v>-355.26693229874991</v>
      </c>
      <c r="AV496">
        <f t="shared" si="407"/>
        <v>-2.9789672920241927</v>
      </c>
      <c r="AW496">
        <f t="shared" si="408"/>
        <v>293.30182638671266</v>
      </c>
      <c r="AX496">
        <f t="shared" si="409"/>
        <v>-2598.8320550013859</v>
      </c>
      <c r="AY496">
        <f t="shared" si="417"/>
        <v>-1.4584127743353137</v>
      </c>
      <c r="BA496">
        <f t="shared" si="398"/>
        <v>0.8389883079791377</v>
      </c>
      <c r="BB496">
        <f t="shared" si="410"/>
        <v>-1.5248818278961789</v>
      </c>
      <c r="BC496">
        <f t="shared" si="411"/>
        <v>-1.5205545176888791</v>
      </c>
      <c r="BD496">
        <f t="shared" si="399"/>
        <v>-267.12135648267395</v>
      </c>
      <c r="BF496">
        <f t="shared" si="400"/>
        <v>-64.617709691316477</v>
      </c>
      <c r="BG496">
        <f t="shared" si="401"/>
        <v>-248.18969401241046</v>
      </c>
      <c r="BH496">
        <f t="shared" si="412"/>
        <v>-68.189694012410456</v>
      </c>
      <c r="BI496">
        <f t="shared" si="413"/>
        <v>-68.189694012410456</v>
      </c>
      <c r="BJ496">
        <f t="shared" si="402"/>
        <v>0</v>
      </c>
      <c r="BK496">
        <f t="shared" si="414"/>
        <v>0</v>
      </c>
      <c r="BM496">
        <f t="shared" si="415"/>
        <v>-63.092827863420297</v>
      </c>
      <c r="BN496">
        <f t="shared" si="403"/>
        <v>-161.06833752973654</v>
      </c>
      <c r="BQ496" s="56">
        <f t="shared" si="416"/>
        <v>15.377078972388958</v>
      </c>
    </row>
    <row r="497" spans="1:69" x14ac:dyDescent="0.2">
      <c r="A497">
        <f t="shared" si="420"/>
        <v>1415000</v>
      </c>
      <c r="B497">
        <f t="shared" si="404"/>
        <v>1415</v>
      </c>
      <c r="C497">
        <f t="shared" si="373"/>
        <v>1.0566721891113617</v>
      </c>
      <c r="D497">
        <f t="shared" si="374"/>
        <v>0.32899572794853649</v>
      </c>
      <c r="F497">
        <f t="shared" si="375"/>
        <v>4.3894717784347656E-5</v>
      </c>
      <c r="G497">
        <f t="shared" si="376"/>
        <v>2.4961004684593358E-3</v>
      </c>
      <c r="H497">
        <f t="shared" si="377"/>
        <v>-3.139096549531541</v>
      </c>
      <c r="J497">
        <f t="shared" si="378"/>
        <v>15</v>
      </c>
      <c r="M497">
        <f t="shared" si="379"/>
        <v>1.5948753858672514E-4</v>
      </c>
      <c r="N497">
        <f t="shared" si="380"/>
        <v>-1.5707963250000001</v>
      </c>
      <c r="O497">
        <f t="shared" si="381"/>
        <v>1328.0053108938866</v>
      </c>
      <c r="P497">
        <f t="shared" si="382"/>
        <v>1.5700433176869506</v>
      </c>
      <c r="Q497">
        <f t="shared" si="383"/>
        <v>197.62161345143434</v>
      </c>
      <c r="R497">
        <f t="shared" si="384"/>
        <v>1.5657361299361294</v>
      </c>
      <c r="S497">
        <f t="shared" si="385"/>
        <v>0.17640702612794856</v>
      </c>
      <c r="T497">
        <f t="shared" si="386"/>
        <v>-1.3934612975425611</v>
      </c>
      <c r="U497">
        <f t="shared" si="387"/>
        <v>0.16174676117434295</v>
      </c>
      <c r="V497">
        <f t="shared" si="388"/>
        <v>-1.4083358607002758</v>
      </c>
      <c r="X497">
        <f t="shared" si="405"/>
        <v>-61.608874454676894</v>
      </c>
      <c r="Y497">
        <f t="shared" si="389"/>
        <v>-231.87114163145785</v>
      </c>
      <c r="Z497">
        <f t="shared" si="406"/>
        <v>-51.871141631457846</v>
      </c>
      <c r="AC497">
        <v>1</v>
      </c>
      <c r="AD497">
        <f t="shared" si="390"/>
        <v>1328.0049343893149</v>
      </c>
      <c r="AE497">
        <f t="shared" si="391"/>
        <v>-2.1252425456063895</v>
      </c>
      <c r="AF497">
        <f t="shared" si="392"/>
        <v>0.34833790807640996</v>
      </c>
      <c r="AG497">
        <f t="shared" si="421"/>
        <v>99.281952816925156</v>
      </c>
      <c r="AH497">
        <f t="shared" si="422"/>
        <v>-608.59936636845282</v>
      </c>
      <c r="AJ497">
        <f t="shared" si="393"/>
        <v>18000</v>
      </c>
      <c r="AK497">
        <f t="shared" si="394"/>
        <v>100436.54109131161</v>
      </c>
      <c r="AL497">
        <v>1</v>
      </c>
      <c r="AM497">
        <f t="shared" si="395"/>
        <v>197.61908334760622</v>
      </c>
      <c r="AN497">
        <f t="shared" si="423"/>
        <v>508.68089084269639</v>
      </c>
      <c r="AO497">
        <f t="shared" si="424"/>
        <v>-88.51027346579977</v>
      </c>
      <c r="AQ497">
        <f t="shared" si="396"/>
        <v>1.2486107644482057E-3</v>
      </c>
      <c r="AR497">
        <f t="shared" si="397"/>
        <v>-3.5335684633884226</v>
      </c>
      <c r="AT497">
        <f t="shared" si="418"/>
        <v>-2150.403563322739</v>
      </c>
      <c r="AU497">
        <f t="shared" si="419"/>
        <v>-351.57948117758809</v>
      </c>
      <c r="AV497">
        <f t="shared" si="407"/>
        <v>-2.9795318397273656</v>
      </c>
      <c r="AW497">
        <f t="shared" si="408"/>
        <v>294.83621071436903</v>
      </c>
      <c r="AX497">
        <f t="shared" si="409"/>
        <v>-2589.7478296892687</v>
      </c>
      <c r="AY497">
        <f t="shared" si="417"/>
        <v>-1.4574369456236784</v>
      </c>
      <c r="BA497">
        <f t="shared" si="398"/>
        <v>0.83597696417543954</v>
      </c>
      <c r="BB497">
        <f t="shared" si="410"/>
        <v>-1.5561137925911788</v>
      </c>
      <c r="BC497">
        <f t="shared" si="411"/>
        <v>-1.5220948941036871</v>
      </c>
      <c r="BD497">
        <f t="shared" si="399"/>
        <v>-267.20961355020472</v>
      </c>
      <c r="BF497">
        <f t="shared" si="400"/>
        <v>-64.707237844121849</v>
      </c>
      <c r="BG497">
        <f t="shared" si="401"/>
        <v>-248.21653081713328</v>
      </c>
      <c r="BH497">
        <f t="shared" si="412"/>
        <v>-68.216530817133275</v>
      </c>
      <c r="BI497">
        <f t="shared" si="413"/>
        <v>-68.216530817133275</v>
      </c>
      <c r="BJ497">
        <f t="shared" si="402"/>
        <v>0</v>
      </c>
      <c r="BK497">
        <f t="shared" si="414"/>
        <v>0</v>
      </c>
      <c r="BM497">
        <f t="shared" si="415"/>
        <v>-63.151124051530658</v>
      </c>
      <c r="BN497">
        <f t="shared" si="403"/>
        <v>-161.00691726692853</v>
      </c>
      <c r="BQ497" s="56">
        <f t="shared" si="416"/>
        <v>15.345847007693958</v>
      </c>
    </row>
    <row r="498" spans="1:69" x14ac:dyDescent="0.2">
      <c r="A498">
        <f t="shared" si="420"/>
        <v>1420000</v>
      </c>
      <c r="B498">
        <f t="shared" si="404"/>
        <v>1420</v>
      </c>
      <c r="C498">
        <f t="shared" si="373"/>
        <v>1.0570625755851426</v>
      </c>
      <c r="D498">
        <f t="shared" si="374"/>
        <v>0.33007576885953654</v>
      </c>
      <c r="F498">
        <f t="shared" si="375"/>
        <v>4.3586131649580566E-5</v>
      </c>
      <c r="G498">
        <f t="shared" si="376"/>
        <v>2.4873106436645166E-3</v>
      </c>
      <c r="H498">
        <f t="shared" si="377"/>
        <v>-3.1391053393563357</v>
      </c>
      <c r="J498">
        <f t="shared" si="378"/>
        <v>15</v>
      </c>
      <c r="M498">
        <f t="shared" si="379"/>
        <v>1.5892596274663103E-4</v>
      </c>
      <c r="N498">
        <f t="shared" si="380"/>
        <v>-1.5707963250000001</v>
      </c>
      <c r="O498">
        <f t="shared" si="381"/>
        <v>1332.6979065094717</v>
      </c>
      <c r="P498">
        <f t="shared" si="382"/>
        <v>1.5700459691264745</v>
      </c>
      <c r="Q498">
        <f t="shared" si="383"/>
        <v>198.3199051906029</v>
      </c>
      <c r="R498">
        <f t="shared" si="384"/>
        <v>1.5657539472281552</v>
      </c>
      <c r="S498">
        <f t="shared" si="385"/>
        <v>0.17580510569437671</v>
      </c>
      <c r="T498">
        <f t="shared" si="386"/>
        <v>-1.3940727746415087</v>
      </c>
      <c r="U498">
        <f t="shared" si="387"/>
        <v>0.16119205383914001</v>
      </c>
      <c r="V498">
        <f t="shared" si="388"/>
        <v>-1.4088979438570135</v>
      </c>
      <c r="X498">
        <f t="shared" si="405"/>
        <v>-61.695834644715234</v>
      </c>
      <c r="Y498">
        <f t="shared" si="389"/>
        <v>-231.87583074315012</v>
      </c>
      <c r="Z498">
        <f t="shared" si="406"/>
        <v>-51.875830743150118</v>
      </c>
      <c r="AC498">
        <v>1</v>
      </c>
      <c r="AD498">
        <f t="shared" si="390"/>
        <v>1332.69753133062</v>
      </c>
      <c r="AE498">
        <f t="shared" si="391"/>
        <v>-2.1402884635646462</v>
      </c>
      <c r="AF498">
        <f t="shared" si="392"/>
        <v>0.34956878407667996</v>
      </c>
      <c r="AG498">
        <f t="shared" si="421"/>
        <v>98.602149497484461</v>
      </c>
      <c r="AH498">
        <f t="shared" si="422"/>
        <v>-606.56744169019123</v>
      </c>
      <c r="AJ498">
        <f t="shared" si="393"/>
        <v>18000</v>
      </c>
      <c r="AK498">
        <f t="shared" si="394"/>
        <v>100791.44052979679</v>
      </c>
      <c r="AL498">
        <v>1</v>
      </c>
      <c r="AM498">
        <f t="shared" si="395"/>
        <v>198.31738399547763</v>
      </c>
      <c r="AN498">
        <f t="shared" si="423"/>
        <v>508.67774236849795</v>
      </c>
      <c r="AO498">
        <f t="shared" si="424"/>
        <v>-88.198633449251076</v>
      </c>
      <c r="AQ498">
        <f t="shared" si="396"/>
        <v>1.2398332126768979E-3</v>
      </c>
      <c r="AR498">
        <f t="shared" si="397"/>
        <v>-3.52112632400239</v>
      </c>
      <c r="AT498">
        <f t="shared" si="418"/>
        <v>-2135.6783359983287</v>
      </c>
      <c r="AU498">
        <f t="shared" si="419"/>
        <v>-347.94266665874756</v>
      </c>
      <c r="AV498">
        <f t="shared" si="407"/>
        <v>-2.9800925156588276</v>
      </c>
      <c r="AW498">
        <f t="shared" si="408"/>
        <v>296.35416850138495</v>
      </c>
      <c r="AX498">
        <f t="shared" si="409"/>
        <v>-2580.7265787527713</v>
      </c>
      <c r="AY498">
        <f t="shared" si="417"/>
        <v>-1.4564635140595814</v>
      </c>
      <c r="BA498">
        <f t="shared" si="398"/>
        <v>0.83298577703527699</v>
      </c>
      <c r="BB498">
        <f t="shared" si="410"/>
        <v>-1.5872482793751719</v>
      </c>
      <c r="BC498">
        <f t="shared" si="411"/>
        <v>-1.5236290015992462</v>
      </c>
      <c r="BD498">
        <f t="shared" si="399"/>
        <v>-267.2975114351201</v>
      </c>
      <c r="BF498">
        <f t="shared" si="400"/>
        <v>-64.796442627261499</v>
      </c>
      <c r="BG498">
        <f t="shared" si="401"/>
        <v>-248.24305053594014</v>
      </c>
      <c r="BH498">
        <f t="shared" si="412"/>
        <v>-68.243050535940142</v>
      </c>
      <c r="BI498">
        <f t="shared" si="413"/>
        <v>-68.243050535940142</v>
      </c>
      <c r="BJ498">
        <f t="shared" si="402"/>
        <v>0</v>
      </c>
      <c r="BK498">
        <f t="shared" si="414"/>
        <v>0</v>
      </c>
      <c r="BM498">
        <f t="shared" si="415"/>
        <v>-63.209194347886317</v>
      </c>
      <c r="BN498">
        <f t="shared" si="403"/>
        <v>-160.94553910082004</v>
      </c>
      <c r="BQ498" s="56">
        <f t="shared" si="416"/>
        <v>15.314712520909966</v>
      </c>
    </row>
    <row r="499" spans="1:69" x14ac:dyDescent="0.2">
      <c r="A499">
        <f t="shared" si="420"/>
        <v>1425000</v>
      </c>
      <c r="B499">
        <f t="shared" si="404"/>
        <v>1425</v>
      </c>
      <c r="C499">
        <f t="shared" si="373"/>
        <v>1.0574541941988596</v>
      </c>
      <c r="D499">
        <f t="shared" si="374"/>
        <v>0.3311550110618835</v>
      </c>
      <c r="F499">
        <f t="shared" si="375"/>
        <v>4.3280788263800667E-5</v>
      </c>
      <c r="G499">
        <f t="shared" si="376"/>
        <v>2.4785825095853808E-3</v>
      </c>
      <c r="H499">
        <f t="shared" si="377"/>
        <v>-3.1391140674904148</v>
      </c>
      <c r="J499">
        <f t="shared" si="378"/>
        <v>15</v>
      </c>
      <c r="M499">
        <f t="shared" si="379"/>
        <v>1.5836832778962532E-4</v>
      </c>
      <c r="N499">
        <f t="shared" si="380"/>
        <v>-1.5707963250000001</v>
      </c>
      <c r="O499">
        <f t="shared" si="381"/>
        <v>1337.3905021343603</v>
      </c>
      <c r="P499">
        <f t="shared" si="382"/>
        <v>1.5700486019594158</v>
      </c>
      <c r="Q499">
        <f t="shared" si="383"/>
        <v>199.0181969922875</v>
      </c>
      <c r="R499">
        <f t="shared" si="384"/>
        <v>1.5657716394897208</v>
      </c>
      <c r="S499">
        <f t="shared" si="385"/>
        <v>0.17520721408803602</v>
      </c>
      <c r="T499">
        <f t="shared" si="386"/>
        <v>-1.394680092848988</v>
      </c>
      <c r="U499">
        <f t="shared" si="387"/>
        <v>0.16064108798278368</v>
      </c>
      <c r="V499">
        <f t="shared" si="388"/>
        <v>-1.4094561847090392</v>
      </c>
      <c r="X499">
        <f t="shared" si="405"/>
        <v>-61.782480819018126</v>
      </c>
      <c r="Y499">
        <f t="shared" si="389"/>
        <v>-231.88011187788331</v>
      </c>
      <c r="Z499">
        <f t="shared" si="406"/>
        <v>-51.880111877883309</v>
      </c>
      <c r="AC499">
        <v>1</v>
      </c>
      <c r="AD499">
        <f t="shared" si="390"/>
        <v>1337.3901282719248</v>
      </c>
      <c r="AE499">
        <f t="shared" si="391"/>
        <v>-2.1553874535439195</v>
      </c>
      <c r="AF499">
        <f t="shared" si="392"/>
        <v>0.35079966007695002</v>
      </c>
      <c r="AG499">
        <f t="shared" si="421"/>
        <v>97.929243226076693</v>
      </c>
      <c r="AH499">
        <f t="shared" si="422"/>
        <v>-604.5486536047855</v>
      </c>
      <c r="AJ499">
        <f t="shared" si="393"/>
        <v>18000</v>
      </c>
      <c r="AK499">
        <f t="shared" si="394"/>
        <v>101146.339968282</v>
      </c>
      <c r="AL499">
        <v>1</v>
      </c>
      <c r="AM499">
        <f t="shared" si="395"/>
        <v>199.01568464334903</v>
      </c>
      <c r="AN499">
        <f t="shared" si="423"/>
        <v>508.67462697683976</v>
      </c>
      <c r="AO499">
        <f t="shared" si="424"/>
        <v>-87.889180213956124</v>
      </c>
      <c r="AQ499">
        <f t="shared" si="396"/>
        <v>1.2311478939799453E-3</v>
      </c>
      <c r="AR499">
        <f t="shared" si="397"/>
        <v>-3.5087714978428441</v>
      </c>
      <c r="AT499">
        <f t="shared" si="418"/>
        <v>-2121.1025194461813</v>
      </c>
      <c r="AU499">
        <f t="shared" si="419"/>
        <v>-344.35562623867122</v>
      </c>
      <c r="AV499">
        <f t="shared" si="407"/>
        <v>-2.9806493591608336</v>
      </c>
      <c r="AW499">
        <f t="shared" si="408"/>
        <v>297.85593405656147</v>
      </c>
      <c r="AX499">
        <f t="shared" si="409"/>
        <v>-2571.7676525712832</v>
      </c>
      <c r="AY499">
        <f t="shared" si="417"/>
        <v>-1.4554924556136764</v>
      </c>
      <c r="BA499">
        <f t="shared" si="398"/>
        <v>0.83001454460008783</v>
      </c>
      <c r="BB499">
        <f t="shared" si="410"/>
        <v>-1.6182859456299652</v>
      </c>
      <c r="BC499">
        <f t="shared" si="411"/>
        <v>-1.5251569035471573</v>
      </c>
      <c r="BD499">
        <f t="shared" si="399"/>
        <v>-267.3850537683453</v>
      </c>
      <c r="BF499">
        <f t="shared" si="400"/>
        <v>-64.885326244908995</v>
      </c>
      <c r="BG499">
        <f t="shared" si="401"/>
        <v>-248.26925693107407</v>
      </c>
      <c r="BH499">
        <f t="shared" si="412"/>
        <v>-68.269256931074068</v>
      </c>
      <c r="BI499">
        <f t="shared" si="413"/>
        <v>-68.269256931074068</v>
      </c>
      <c r="BJ499">
        <f t="shared" si="402"/>
        <v>0</v>
      </c>
      <c r="BK499">
        <f t="shared" si="414"/>
        <v>0</v>
      </c>
      <c r="BM499">
        <f t="shared" si="415"/>
        <v>-63.267040299279032</v>
      </c>
      <c r="BN499">
        <f t="shared" si="403"/>
        <v>-160.88420316272882</v>
      </c>
      <c r="BQ499" s="56">
        <f t="shared" si="416"/>
        <v>15.283674854655171</v>
      </c>
    </row>
    <row r="500" spans="1:69" x14ac:dyDescent="0.2">
      <c r="A500">
        <f t="shared" si="420"/>
        <v>1430000</v>
      </c>
      <c r="B500">
        <f t="shared" si="404"/>
        <v>1430</v>
      </c>
      <c r="C500">
        <f t="shared" si="373"/>
        <v>1.0578470435840854</v>
      </c>
      <c r="D500">
        <f t="shared" si="374"/>
        <v>0.3322334529299058</v>
      </c>
      <c r="F500">
        <f t="shared" si="375"/>
        <v>4.2978642350202056E-5</v>
      </c>
      <c r="G500">
        <f t="shared" si="376"/>
        <v>2.4699154190089014E-3</v>
      </c>
      <c r="H500">
        <f t="shared" si="377"/>
        <v>-3.1391227345809911</v>
      </c>
      <c r="J500">
        <f t="shared" si="378"/>
        <v>15</v>
      </c>
      <c r="M500">
        <f t="shared" si="379"/>
        <v>1.5781459237777348E-4</v>
      </c>
      <c r="N500">
        <f t="shared" si="380"/>
        <v>-1.5707963250000001</v>
      </c>
      <c r="O500">
        <f t="shared" si="381"/>
        <v>1342.0830977684541</v>
      </c>
      <c r="P500">
        <f t="shared" si="382"/>
        <v>1.5700512163809481</v>
      </c>
      <c r="Q500">
        <f t="shared" si="383"/>
        <v>199.71648885583235</v>
      </c>
      <c r="R500">
        <f t="shared" si="384"/>
        <v>1.5657892080322902</v>
      </c>
      <c r="S500">
        <f t="shared" si="385"/>
        <v>0.17461331166007682</v>
      </c>
      <c r="T500">
        <f t="shared" si="386"/>
        <v>-1.3952832940070685</v>
      </c>
      <c r="U500">
        <f t="shared" si="387"/>
        <v>0.16009382639502309</v>
      </c>
      <c r="V500">
        <f t="shared" si="388"/>
        <v>-1.4100106221757704</v>
      </c>
      <c r="X500">
        <f t="shared" si="405"/>
        <v>-61.868815017109284</v>
      </c>
      <c r="Y500">
        <f t="shared" si="389"/>
        <v>-231.8839897068525</v>
      </c>
      <c r="Z500">
        <f t="shared" si="406"/>
        <v>-51.883989706852503</v>
      </c>
      <c r="AC500">
        <v>1</v>
      </c>
      <c r="AD500">
        <f t="shared" si="390"/>
        <v>1342.0827252132301</v>
      </c>
      <c r="AE500">
        <f t="shared" si="391"/>
        <v>-2.1705395155442098</v>
      </c>
      <c r="AF500">
        <f t="shared" si="392"/>
        <v>0.35203053607722001</v>
      </c>
      <c r="AG500">
        <f t="shared" si="421"/>
        <v>97.263141852059405</v>
      </c>
      <c r="AH500">
        <f t="shared" si="422"/>
        <v>-602.54287926132736</v>
      </c>
      <c r="AJ500">
        <f t="shared" si="393"/>
        <v>18000</v>
      </c>
      <c r="AK500">
        <f t="shared" si="394"/>
        <v>101501.2394067672</v>
      </c>
      <c r="AL500">
        <v>1</v>
      </c>
      <c r="AM500">
        <f t="shared" si="395"/>
        <v>199.71398529122041</v>
      </c>
      <c r="AN500">
        <f t="shared" si="423"/>
        <v>508.67154420585825</v>
      </c>
      <c r="AO500">
        <f t="shared" si="424"/>
        <v>-87.581890823962596</v>
      </c>
      <c r="AQ500">
        <f t="shared" si="396"/>
        <v>1.2225535206423883E-3</v>
      </c>
      <c r="AR500">
        <f t="shared" si="397"/>
        <v>-3.4965030690372307</v>
      </c>
      <c r="AT500">
        <f t="shared" si="418"/>
        <v>-2106.6741171672606</v>
      </c>
      <c r="AU500">
        <f t="shared" si="419"/>
        <v>-340.81751490830817</v>
      </c>
      <c r="AV500">
        <f t="shared" si="407"/>
        <v>-2.9812024090492137</v>
      </c>
      <c r="AW500">
        <f t="shared" si="408"/>
        <v>299.34173751592306</v>
      </c>
      <c r="AX500">
        <f t="shared" si="409"/>
        <v>-2562.8704103926771</v>
      </c>
      <c r="AY500">
        <f t="shared" si="417"/>
        <v>-1.4545237466193417</v>
      </c>
      <c r="BA500">
        <f t="shared" si="398"/>
        <v>0.82706306756648884</v>
      </c>
      <c r="BB500">
        <f t="shared" si="410"/>
        <v>-1.6492274425214857</v>
      </c>
      <c r="BC500">
        <f t="shared" si="411"/>
        <v>-1.526678662429872</v>
      </c>
      <c r="BD500">
        <f t="shared" si="399"/>
        <v>-267.472244129861</v>
      </c>
      <c r="BF500">
        <f t="shared" si="400"/>
        <v>-64.973890879014547</v>
      </c>
      <c r="BG500">
        <f t="shared" si="401"/>
        <v>-248.29515371274258</v>
      </c>
      <c r="BH500">
        <f t="shared" si="412"/>
        <v>-68.295153712742575</v>
      </c>
      <c r="BI500">
        <f t="shared" si="413"/>
        <v>-68.295153712742575</v>
      </c>
      <c r="BJ500">
        <f t="shared" si="402"/>
        <v>0</v>
      </c>
      <c r="BK500">
        <f t="shared" si="414"/>
        <v>0</v>
      </c>
      <c r="BM500">
        <f t="shared" si="415"/>
        <v>-63.324663436493069</v>
      </c>
      <c r="BN500">
        <f t="shared" si="403"/>
        <v>-160.82290958288158</v>
      </c>
      <c r="BQ500" s="56">
        <f t="shared" si="416"/>
        <v>15.252733357763651</v>
      </c>
    </row>
    <row r="501" spans="1:69" x14ac:dyDescent="0.2">
      <c r="A501">
        <f t="shared" si="420"/>
        <v>1435000</v>
      </c>
      <c r="B501">
        <f t="shared" si="404"/>
        <v>1435</v>
      </c>
      <c r="C501">
        <f t="shared" si="373"/>
        <v>1.0582411223701276</v>
      </c>
      <c r="D501">
        <f t="shared" si="374"/>
        <v>0.33331109284778865</v>
      </c>
      <c r="F501">
        <f t="shared" si="375"/>
        <v>4.2679649419460207E-5</v>
      </c>
      <c r="G501">
        <f t="shared" si="376"/>
        <v>2.4613087337443072E-3</v>
      </c>
      <c r="H501">
        <f t="shared" si="377"/>
        <v>-3.139131341266256</v>
      </c>
      <c r="J501">
        <f t="shared" si="378"/>
        <v>15</v>
      </c>
      <c r="M501">
        <f t="shared" si="379"/>
        <v>1.5726471574927948E-4</v>
      </c>
      <c r="N501">
        <f t="shared" si="380"/>
        <v>-1.5707963250000001</v>
      </c>
      <c r="O501">
        <f t="shared" si="381"/>
        <v>1346.7756934116576</v>
      </c>
      <c r="P501">
        <f t="shared" si="382"/>
        <v>1.5700538125835251</v>
      </c>
      <c r="Q501">
        <f t="shared" si="383"/>
        <v>200.41478078059089</v>
      </c>
      <c r="R501">
        <f t="shared" si="384"/>
        <v>1.5658066541490501</v>
      </c>
      <c r="S501">
        <f t="shared" si="385"/>
        <v>0.17402335927105847</v>
      </c>
      <c r="T501">
        <f t="shared" si="386"/>
        <v>-1.3958824194044217</v>
      </c>
      <c r="U501">
        <f t="shared" si="387"/>
        <v>0.15955023235028898</v>
      </c>
      <c r="V501">
        <f t="shared" si="388"/>
        <v>-1.4105612946574508</v>
      </c>
      <c r="X501">
        <f t="shared" si="405"/>
        <v>-61.954839258981416</v>
      </c>
      <c r="Y501">
        <f t="shared" si="389"/>
        <v>-231.88746883992027</v>
      </c>
      <c r="Z501">
        <f t="shared" si="406"/>
        <v>-51.887468839920274</v>
      </c>
      <c r="AC501">
        <v>1</v>
      </c>
      <c r="AD501">
        <f t="shared" si="390"/>
        <v>1346.7753221545349</v>
      </c>
      <c r="AE501">
        <f t="shared" si="391"/>
        <v>-2.1857446495655166</v>
      </c>
      <c r="AF501">
        <f t="shared" si="392"/>
        <v>0.35326141207749001</v>
      </c>
      <c r="AG501">
        <f t="shared" si="421"/>
        <v>96.603754744475452</v>
      </c>
      <c r="AH501">
        <f t="shared" si="422"/>
        <v>-600.54999727550194</v>
      </c>
      <c r="AJ501">
        <f t="shared" si="393"/>
        <v>18000</v>
      </c>
      <c r="AK501">
        <f t="shared" si="394"/>
        <v>101856.1388452524</v>
      </c>
      <c r="AL501">
        <v>1</v>
      </c>
      <c r="AM501">
        <f t="shared" si="395"/>
        <v>200.41228593909182</v>
      </c>
      <c r="AN501">
        <f t="shared" si="423"/>
        <v>508.66849360172171</v>
      </c>
      <c r="AO501">
        <f t="shared" si="424"/>
        <v>-87.276742662943064</v>
      </c>
      <c r="AQ501">
        <f t="shared" si="396"/>
        <v>1.2140488273441675E-3</v>
      </c>
      <c r="AR501">
        <f t="shared" si="397"/>
        <v>-3.4843201344777603</v>
      </c>
      <c r="AT501">
        <f t="shared" si="418"/>
        <v>-2092.3911655924308</v>
      </c>
      <c r="AU501">
        <f t="shared" si="419"/>
        <v>-337.32750474228118</v>
      </c>
      <c r="AV501">
        <f t="shared" si="407"/>
        <v>-2.98175170362207</v>
      </c>
      <c r="AW501">
        <f t="shared" si="408"/>
        <v>300.81180493174151</v>
      </c>
      <c r="AX501">
        <f t="shared" si="409"/>
        <v>-2554.0342201830044</v>
      </c>
      <c r="AY501">
        <f t="shared" si="417"/>
        <v>-1.4535573637659593</v>
      </c>
      <c r="BA501">
        <f t="shared" si="398"/>
        <v>0.82413114924356556</v>
      </c>
      <c r="BB501">
        <f t="shared" si="410"/>
        <v>-1.6800734150734757</v>
      </c>
      <c r="BC501">
        <f t="shared" si="411"/>
        <v>-1.5281943398561106</v>
      </c>
      <c r="BD501">
        <f t="shared" si="399"/>
        <v>-267.55908604958694</v>
      </c>
      <c r="BF501">
        <f t="shared" si="400"/>
        <v>-65.062138689602065</v>
      </c>
      <c r="BG501">
        <f t="shared" si="401"/>
        <v>-248.32074454001031</v>
      </c>
      <c r="BH501">
        <f t="shared" si="412"/>
        <v>-68.32074454001031</v>
      </c>
      <c r="BI501">
        <f t="shared" si="413"/>
        <v>-68.32074454001031</v>
      </c>
      <c r="BJ501">
        <f t="shared" si="402"/>
        <v>0</v>
      </c>
      <c r="BK501">
        <f t="shared" si="414"/>
        <v>0</v>
      </c>
      <c r="BM501">
        <f t="shared" si="415"/>
        <v>-63.382065274528586</v>
      </c>
      <c r="BN501">
        <f t="shared" si="403"/>
        <v>-160.76165849042334</v>
      </c>
      <c r="BQ501" s="56">
        <f t="shared" si="416"/>
        <v>15.221887385211661</v>
      </c>
    </row>
    <row r="502" spans="1:69" x14ac:dyDescent="0.2">
      <c r="A502">
        <f t="shared" si="420"/>
        <v>1440000</v>
      </c>
      <c r="B502">
        <f t="shared" si="404"/>
        <v>1440</v>
      </c>
      <c r="C502">
        <f t="shared" si="373"/>
        <v>1.0586364291840475</v>
      </c>
      <c r="D502">
        <f t="shared" si="374"/>
        <v>0.33438792920956995</v>
      </c>
      <c r="F502">
        <f t="shared" si="375"/>
        <v>4.2383765753353058E-5</v>
      </c>
      <c r="G502">
        <f t="shared" si="376"/>
        <v>2.4527618244664091E-3</v>
      </c>
      <c r="H502">
        <f t="shared" si="377"/>
        <v>-3.1391398881755337</v>
      </c>
      <c r="J502">
        <f t="shared" si="378"/>
        <v>15</v>
      </c>
      <c r="M502">
        <f t="shared" si="379"/>
        <v>1.5671865770848338E-4</v>
      </c>
      <c r="N502">
        <f t="shared" si="380"/>
        <v>-1.5707963250000001</v>
      </c>
      <c r="O502">
        <f t="shared" si="381"/>
        <v>1351.4682890638758</v>
      </c>
      <c r="P502">
        <f t="shared" si="382"/>
        <v>1.5700563907569274</v>
      </c>
      <c r="Q502">
        <f t="shared" si="383"/>
        <v>201.11307276592547</v>
      </c>
      <c r="R502">
        <f t="shared" si="384"/>
        <v>1.5658239791152273</v>
      </c>
      <c r="S502">
        <f t="shared" si="385"/>
        <v>0.17343731828295325</v>
      </c>
      <c r="T502">
        <f t="shared" si="386"/>
        <v>-1.396477509785337</v>
      </c>
      <c r="U502">
        <f t="shared" si="387"/>
        <v>0.15901026959995071</v>
      </c>
      <c r="V502">
        <f t="shared" si="388"/>
        <v>-1.4111082400436992</v>
      </c>
      <c r="X502">
        <f t="shared" si="405"/>
        <v>-62.040555545342208</v>
      </c>
      <c r="Y502">
        <f t="shared" si="389"/>
        <v>-231.89055382661149</v>
      </c>
      <c r="Z502">
        <f t="shared" si="406"/>
        <v>-51.890553826611495</v>
      </c>
      <c r="AC502">
        <v>1</v>
      </c>
      <c r="AD502">
        <f t="shared" si="390"/>
        <v>1351.46791909584</v>
      </c>
      <c r="AE502">
        <f t="shared" si="391"/>
        <v>-2.2010028556078409</v>
      </c>
      <c r="AF502">
        <f t="shared" si="392"/>
        <v>0.35449228807776001</v>
      </c>
      <c r="AG502">
        <f t="shared" si="421"/>
        <v>95.95099276236806</v>
      </c>
      <c r="AH502">
        <f t="shared" si="422"/>
        <v>-598.56988770891007</v>
      </c>
      <c r="AJ502">
        <f t="shared" si="393"/>
        <v>18000</v>
      </c>
      <c r="AK502">
        <f t="shared" si="394"/>
        <v>102211.03828373759</v>
      </c>
      <c r="AL502">
        <v>1</v>
      </c>
      <c r="AM502">
        <f t="shared" si="395"/>
        <v>201.11058658696322</v>
      </c>
      <c r="AN502">
        <f t="shared" si="423"/>
        <v>508.6654747184632</v>
      </c>
      <c r="AO502">
        <f t="shared" si="424"/>
        <v>-86.973713428646491</v>
      </c>
      <c r="AQ502">
        <f t="shared" si="396"/>
        <v>1.2056325706943755E-3</v>
      </c>
      <c r="AR502">
        <f t="shared" si="397"/>
        <v>-3.472221803599802</v>
      </c>
      <c r="AT502">
        <f t="shared" si="418"/>
        <v>-2078.2517334390977</v>
      </c>
      <c r="AU502">
        <f t="shared" si="419"/>
        <v>-333.88478449899992</v>
      </c>
      <c r="AV502">
        <f t="shared" si="407"/>
        <v>-2.9822972806682966</v>
      </c>
      <c r="AW502">
        <f t="shared" si="408"/>
        <v>302.2663583593519</v>
      </c>
      <c r="AX502">
        <f t="shared" si="409"/>
        <v>-2545.2584584792321</v>
      </c>
      <c r="AY502">
        <f t="shared" si="417"/>
        <v>-1.4525932840923423</v>
      </c>
      <c r="BA502">
        <f t="shared" si="398"/>
        <v>0.82121859551097454</v>
      </c>
      <c r="BB502">
        <f t="shared" si="410"/>
        <v>-1.7108245022400967</v>
      </c>
      <c r="BC502">
        <f t="shared" si="411"/>
        <v>-1.5297039965759542</v>
      </c>
      <c r="BD502">
        <f t="shared" si="399"/>
        <v>-267.64558300824638</v>
      </c>
      <c r="BF502">
        <f t="shared" si="400"/>
        <v>-65.150071815061381</v>
      </c>
      <c r="BG502">
        <f t="shared" si="401"/>
        <v>-248.34603302167298</v>
      </c>
      <c r="BH502">
        <f t="shared" si="412"/>
        <v>-68.34603302167298</v>
      </c>
      <c r="BI502">
        <f t="shared" si="413"/>
        <v>-68.34603302167298</v>
      </c>
      <c r="BJ502">
        <f t="shared" si="402"/>
        <v>0</v>
      </c>
      <c r="BK502">
        <f t="shared" si="414"/>
        <v>0</v>
      </c>
      <c r="BM502">
        <f t="shared" si="415"/>
        <v>-63.439247312821287</v>
      </c>
      <c r="BN502">
        <f t="shared" si="403"/>
        <v>-160.7004500134266</v>
      </c>
      <c r="BQ502" s="56">
        <f t="shared" si="416"/>
        <v>15.191136298045041</v>
      </c>
    </row>
    <row r="503" spans="1:69" x14ac:dyDescent="0.2">
      <c r="A503">
        <f t="shared" si="420"/>
        <v>1445000</v>
      </c>
      <c r="B503">
        <f t="shared" si="404"/>
        <v>1445</v>
      </c>
      <c r="C503">
        <f t="shared" si="373"/>
        <v>1.059032962650682</v>
      </c>
      <c r="D503">
        <f t="shared" si="374"/>
        <v>0.33546396041913584</v>
      </c>
      <c r="F503">
        <f t="shared" si="375"/>
        <v>4.2090948388778262E-5</v>
      </c>
      <c r="G503">
        <f t="shared" si="376"/>
        <v>2.4442740705621765E-3</v>
      </c>
      <c r="H503">
        <f t="shared" si="377"/>
        <v>-3.1391483759294379</v>
      </c>
      <c r="J503">
        <f t="shared" si="378"/>
        <v>15</v>
      </c>
      <c r="M503">
        <f t="shared" si="379"/>
        <v>1.5617637861606648E-4</v>
      </c>
      <c r="N503">
        <f t="shared" si="380"/>
        <v>-1.5707963250000001</v>
      </c>
      <c r="O503">
        <f t="shared" si="381"/>
        <v>1356.160884725015</v>
      </c>
      <c r="P503">
        <f t="shared" si="382"/>
        <v>1.5700589510883092</v>
      </c>
      <c r="Q503">
        <f t="shared" si="383"/>
        <v>201.81136481120731</v>
      </c>
      <c r="R503">
        <f t="shared" si="384"/>
        <v>1.565841184188399</v>
      </c>
      <c r="S503">
        <f t="shared" si="385"/>
        <v>0.17285515055129619</v>
      </c>
      <c r="T503">
        <f t="shared" si="386"/>
        <v>-1.3970686053585657</v>
      </c>
      <c r="U503">
        <f t="shared" si="387"/>
        <v>0.15847390236471864</v>
      </c>
      <c r="V503">
        <f t="shared" si="388"/>
        <v>-1.4116514957218904</v>
      </c>
      <c r="X503">
        <f t="shared" si="405"/>
        <v>-62.125965857856343</v>
      </c>
      <c r="Y503">
        <f t="shared" si="389"/>
        <v>-231.8932491570888</v>
      </c>
      <c r="Z503">
        <f t="shared" si="406"/>
        <v>-51.893249157088803</v>
      </c>
      <c r="AC503">
        <v>1</v>
      </c>
      <c r="AD503">
        <f t="shared" si="390"/>
        <v>1356.160516037145</v>
      </c>
      <c r="AE503">
        <f t="shared" si="391"/>
        <v>-2.2163141336711814</v>
      </c>
      <c r="AF503">
        <f t="shared" si="392"/>
        <v>0.35572316407803001</v>
      </c>
      <c r="AG503">
        <f t="shared" si="421"/>
        <v>95.304768225762913</v>
      </c>
      <c r="AH503">
        <f t="shared" si="422"/>
        <v>-596.60243204870847</v>
      </c>
      <c r="AJ503">
        <f t="shared" si="393"/>
        <v>18000</v>
      </c>
      <c r="AK503">
        <f t="shared" si="394"/>
        <v>102565.93772222279</v>
      </c>
      <c r="AL503">
        <v>1</v>
      </c>
      <c r="AM503">
        <f t="shared" si="395"/>
        <v>201.8088872348346</v>
      </c>
      <c r="AN503">
        <f t="shared" si="423"/>
        <v>508.6624871178181</v>
      </c>
      <c r="AO503">
        <f t="shared" si="424"/>
        <v>-86.672781127465484</v>
      </c>
      <c r="AQ503">
        <f t="shared" si="396"/>
        <v>1.1973035287767713E-3</v>
      </c>
      <c r="AR503">
        <f t="shared" si="397"/>
        <v>-3.460207198164869</v>
      </c>
      <c r="AT503">
        <f t="shared" si="418"/>
        <v>-2064.2539210823024</v>
      </c>
      <c r="AU503">
        <f t="shared" si="419"/>
        <v>-330.48855923138808</v>
      </c>
      <c r="AV503">
        <f t="shared" si="407"/>
        <v>-2.9828391774759386</v>
      </c>
      <c r="AW503">
        <f t="shared" si="408"/>
        <v>303.70561594181834</v>
      </c>
      <c r="AX503">
        <f t="shared" si="409"/>
        <v>-2536.5425102449458</v>
      </c>
      <c r="AY503">
        <f t="shared" si="417"/>
        <v>-1.4516314849803051</v>
      </c>
      <c r="BA503">
        <f t="shared" si="398"/>
        <v>0.81832521477782227</v>
      </c>
      <c r="BB503">
        <f t="shared" si="410"/>
        <v>-1.7414813369776398</v>
      </c>
      <c r="BC503">
        <f t="shared" si="411"/>
        <v>-1.5312076924956335</v>
      </c>
      <c r="BD503">
        <f t="shared" si="399"/>
        <v>-267.73173843821348</v>
      </c>
      <c r="BF503">
        <f t="shared" si="400"/>
        <v>-65.237692372435689</v>
      </c>
      <c r="BG503">
        <f t="shared" si="401"/>
        <v>-248.37102271711399</v>
      </c>
      <c r="BH503">
        <f t="shared" si="412"/>
        <v>-68.371022717113988</v>
      </c>
      <c r="BI503">
        <f t="shared" si="413"/>
        <v>-68.371022717113988</v>
      </c>
      <c r="BJ503">
        <f t="shared" si="402"/>
        <v>0</v>
      </c>
      <c r="BK503">
        <f t="shared" si="414"/>
        <v>0</v>
      </c>
      <c r="BM503">
        <f t="shared" si="415"/>
        <v>-63.49621103545806</v>
      </c>
      <c r="BN503">
        <f t="shared" si="403"/>
        <v>-160.6392842789005</v>
      </c>
      <c r="BQ503" s="56">
        <f t="shared" si="416"/>
        <v>15.160479463307496</v>
      </c>
    </row>
    <row r="504" spans="1:69" x14ac:dyDescent="0.2">
      <c r="A504">
        <f t="shared" si="420"/>
        <v>1450000</v>
      </c>
      <c r="B504">
        <f t="shared" si="404"/>
        <v>1450</v>
      </c>
      <c r="C504">
        <f t="shared" si="373"/>
        <v>1.0594307213926626</v>
      </c>
      <c r="D504">
        <f t="shared" si="374"/>
        <v>0.33653918489021634</v>
      </c>
      <c r="F504">
        <f t="shared" si="375"/>
        <v>4.1801155102155588E-5</v>
      </c>
      <c r="G504">
        <f t="shared" si="376"/>
        <v>2.4358448599804908E-3</v>
      </c>
      <c r="H504">
        <f t="shared" si="377"/>
        <v>-3.1391568051400198</v>
      </c>
      <c r="J504">
        <f t="shared" si="378"/>
        <v>15</v>
      </c>
      <c r="M504">
        <f t="shared" si="379"/>
        <v>1.5563783937945936E-4</v>
      </c>
      <c r="N504">
        <f t="shared" si="380"/>
        <v>-1.5707963250000001</v>
      </c>
      <c r="O504">
        <f t="shared" si="381"/>
        <v>1360.8534803949829</v>
      </c>
      <c r="P504">
        <f t="shared" si="382"/>
        <v>1.5700614937622426</v>
      </c>
      <c r="Q504">
        <f t="shared" si="383"/>
        <v>202.50965691581624</v>
      </c>
      <c r="R504">
        <f t="shared" si="384"/>
        <v>1.5658582706087971</v>
      </c>
      <c r="S504">
        <f t="shared" si="385"/>
        <v>0.17227681841747908</v>
      </c>
      <c r="T504">
        <f t="shared" si="386"/>
        <v>-1.3976557458059939</v>
      </c>
      <c r="U504">
        <f t="shared" si="387"/>
        <v>0.15794109532718884</v>
      </c>
      <c r="V504">
        <f t="shared" si="388"/>
        <v>-1.4121910985853756</v>
      </c>
      <c r="X504">
        <f t="shared" si="405"/>
        <v>-62.211072159384045</v>
      </c>
      <c r="Y504">
        <f t="shared" si="389"/>
        <v>-231.89555926310942</v>
      </c>
      <c r="Z504">
        <f t="shared" si="406"/>
        <v>-51.895559263109419</v>
      </c>
      <c r="AC504">
        <v>1</v>
      </c>
      <c r="AD504">
        <f t="shared" si="390"/>
        <v>1360.8531129784499</v>
      </c>
      <c r="AE504">
        <f t="shared" si="391"/>
        <v>-2.2316784837555388</v>
      </c>
      <c r="AF504">
        <f t="shared" si="392"/>
        <v>0.35695404007830001</v>
      </c>
      <c r="AG504">
        <f t="shared" si="421"/>
        <v>94.664994887300679</v>
      </c>
      <c r="AH504">
        <f t="shared" si="422"/>
        <v>-594.64751318756919</v>
      </c>
      <c r="AJ504">
        <f t="shared" si="393"/>
        <v>18000</v>
      </c>
      <c r="AK504">
        <f t="shared" si="394"/>
        <v>102920.837160708</v>
      </c>
      <c r="AL504">
        <v>1</v>
      </c>
      <c r="AM504">
        <f t="shared" si="395"/>
        <v>202.50718788270603</v>
      </c>
      <c r="AN504">
        <f t="shared" si="423"/>
        <v>508.65953036906421</v>
      </c>
      <c r="AO504">
        <f t="shared" si="424"/>
        <v>-86.37392406911539</v>
      </c>
      <c r="AQ504">
        <f t="shared" si="396"/>
        <v>1.1890605007062426E-3</v>
      </c>
      <c r="AR504">
        <f t="shared" si="397"/>
        <v>-3.4482754520481032</v>
      </c>
      <c r="AT504">
        <f t="shared" si="418"/>
        <v>-2050.3958599399252</v>
      </c>
      <c r="AU504">
        <f t="shared" si="419"/>
        <v>-327.13804990791266</v>
      </c>
      <c r="AV504">
        <f t="shared" si="407"/>
        <v>-2.9833774308403864</v>
      </c>
      <c r="AW504">
        <f t="shared" si="408"/>
        <v>305.12979199251185</v>
      </c>
      <c r="AX504">
        <f t="shared" si="409"/>
        <v>-2527.8857687289451</v>
      </c>
      <c r="AY504">
        <f t="shared" si="417"/>
        <v>-1.4506719441483771</v>
      </c>
      <c r="BA504">
        <f t="shared" si="398"/>
        <v>0.81545081794232299</v>
      </c>
      <c r="BB504">
        <f t="shared" si="410"/>
        <v>-1.7720445463151746</v>
      </c>
      <c r="BC504">
        <f t="shared" si="411"/>
        <v>-1.5327054866920093</v>
      </c>
      <c r="BD504">
        <f t="shared" si="399"/>
        <v>-267.81755572434309</v>
      </c>
      <c r="BF504">
        <f t="shared" si="400"/>
        <v>-65.325002457704187</v>
      </c>
      <c r="BG504">
        <f t="shared" si="401"/>
        <v>-248.39571713714258</v>
      </c>
      <c r="BH504">
        <f t="shared" si="412"/>
        <v>-68.395717137142583</v>
      </c>
      <c r="BI504">
        <f t="shared" si="413"/>
        <v>-68.395717137142583</v>
      </c>
      <c r="BJ504">
        <f t="shared" si="402"/>
        <v>0</v>
      </c>
      <c r="BK504">
        <f t="shared" si="414"/>
        <v>0</v>
      </c>
      <c r="BM504">
        <f t="shared" si="415"/>
        <v>-63.552957911389008</v>
      </c>
      <c r="BN504">
        <f t="shared" si="403"/>
        <v>-160.57816141279955</v>
      </c>
      <c r="BQ504" s="56">
        <f t="shared" si="416"/>
        <v>15.129916253969961</v>
      </c>
    </row>
    <row r="505" spans="1:69" x14ac:dyDescent="0.2">
      <c r="A505">
        <f t="shared" si="420"/>
        <v>1455000</v>
      </c>
      <c r="B505">
        <f t="shared" si="404"/>
        <v>1455</v>
      </c>
      <c r="C505">
        <f t="shared" si="373"/>
        <v>1.0598297040304356</v>
      </c>
      <c r="D505">
        <f t="shared" si="374"/>
        <v>0.33761360104638072</v>
      </c>
      <c r="F505">
        <f t="shared" si="375"/>
        <v>4.1514344394203926E-5</v>
      </c>
      <c r="G505">
        <f t="shared" si="376"/>
        <v>2.4274735890850024E-3</v>
      </c>
      <c r="H505">
        <f t="shared" si="377"/>
        <v>-3.1391651764109154</v>
      </c>
      <c r="J505">
        <f t="shared" si="378"/>
        <v>15</v>
      </c>
      <c r="M505">
        <f t="shared" si="379"/>
        <v>1.5510300144344749E-4</v>
      </c>
      <c r="N505">
        <f t="shared" si="380"/>
        <v>-1.5707963250000001</v>
      </c>
      <c r="O505">
        <f t="shared" si="381"/>
        <v>1365.5460760736883</v>
      </c>
      <c r="P505">
        <f t="shared" si="382"/>
        <v>1.5700640189607631</v>
      </c>
      <c r="Q505">
        <f t="shared" si="383"/>
        <v>203.20794907914069</v>
      </c>
      <c r="R505">
        <f t="shared" si="384"/>
        <v>1.5658752395996061</v>
      </c>
      <c r="S505">
        <f t="shared" si="385"/>
        <v>0.17170228470118529</v>
      </c>
      <c r="T505">
        <f t="shared" si="386"/>
        <v>-1.3982389702911504</v>
      </c>
      <c r="U505">
        <f t="shared" si="387"/>
        <v>0.15741181362452691</v>
      </c>
      <c r="V505">
        <f t="shared" si="388"/>
        <v>-1.4127270850415405</v>
      </c>
      <c r="X505">
        <f t="shared" si="405"/>
        <v>-62.295876394215753</v>
      </c>
      <c r="Y505">
        <f t="shared" si="389"/>
        <v>-231.89748851896314</v>
      </c>
      <c r="Z505">
        <f t="shared" si="406"/>
        <v>-51.897488518963144</v>
      </c>
      <c r="AC505">
        <v>1</v>
      </c>
      <c r="AD505">
        <f t="shared" si="390"/>
        <v>1365.5457099197552</v>
      </c>
      <c r="AE505">
        <f t="shared" si="391"/>
        <v>-2.2470959058609132</v>
      </c>
      <c r="AF505">
        <f t="shared" si="392"/>
        <v>0.35818491607857</v>
      </c>
      <c r="AG505">
        <f t="shared" si="421"/>
        <v>94.031587904503951</v>
      </c>
      <c r="AH505">
        <f t="shared" si="422"/>
        <v>-592.70501540395003</v>
      </c>
      <c r="AJ505">
        <f t="shared" si="393"/>
        <v>18000</v>
      </c>
      <c r="AK505">
        <f t="shared" si="394"/>
        <v>103275.73659919319</v>
      </c>
      <c r="AL505">
        <v>1</v>
      </c>
      <c r="AM505">
        <f t="shared" si="395"/>
        <v>203.20548853057741</v>
      </c>
      <c r="AN505">
        <f t="shared" si="423"/>
        <v>508.65660404886751</v>
      </c>
      <c r="AO505">
        <f t="shared" si="424"/>
        <v>-86.077120861423566</v>
      </c>
      <c r="AQ505">
        <f t="shared" si="396"/>
        <v>1.1809023061959227E-3</v>
      </c>
      <c r="AR505">
        <f t="shared" si="397"/>
        <v>-3.4364257110301355</v>
      </c>
      <c r="AT505">
        <f t="shared" si="418"/>
        <v>-2036.6757118716348</v>
      </c>
      <c r="AU505">
        <f t="shared" si="419"/>
        <v>-323.83249304361209</v>
      </c>
      <c r="AV505">
        <f t="shared" si="407"/>
        <v>-2.9839120770724139</v>
      </c>
      <c r="AW505">
        <f t="shared" si="408"/>
        <v>306.53909707565867</v>
      </c>
      <c r="AX505">
        <f t="shared" si="409"/>
        <v>-2519.2876353266784</v>
      </c>
      <c r="AY505">
        <f t="shared" si="417"/>
        <v>-1.4497146396456531</v>
      </c>
      <c r="BA505">
        <f t="shared" si="398"/>
        <v>0.81259521835220361</v>
      </c>
      <c r="BB505">
        <f t="shared" si="410"/>
        <v>-1.8025147514242945</v>
      </c>
      <c r="BC505">
        <f t="shared" si="411"/>
        <v>-1.5341974374267608</v>
      </c>
      <c r="BD505">
        <f t="shared" si="399"/>
        <v>-267.90303820478346</v>
      </c>
      <c r="BF505">
        <f t="shared" si="400"/>
        <v>-65.412004146060127</v>
      </c>
      <c r="BG505">
        <f t="shared" si="401"/>
        <v>-248.42011974481574</v>
      </c>
      <c r="BH505">
        <f t="shared" si="412"/>
        <v>-68.420119744815736</v>
      </c>
      <c r="BI505">
        <f t="shared" si="413"/>
        <v>-68.420119744815736</v>
      </c>
      <c r="BJ505">
        <f t="shared" si="402"/>
        <v>0</v>
      </c>
      <c r="BK505">
        <f t="shared" si="414"/>
        <v>0</v>
      </c>
      <c r="BM505">
        <f t="shared" si="415"/>
        <v>-63.609489394635837</v>
      </c>
      <c r="BN505">
        <f t="shared" si="403"/>
        <v>-160.51708154003231</v>
      </c>
      <c r="BQ505" s="56">
        <f t="shared" si="416"/>
        <v>15.099446048860843</v>
      </c>
    </row>
    <row r="506" spans="1:69" x14ac:dyDescent="0.2">
      <c r="A506">
        <f t="shared" si="420"/>
        <v>1460000</v>
      </c>
      <c r="B506">
        <f t="shared" si="404"/>
        <v>1460</v>
      </c>
      <c r="C506">
        <f t="shared" si="373"/>
        <v>1.0602299091822822</v>
      </c>
      <c r="D506">
        <f t="shared" si="374"/>
        <v>0.33868720732103202</v>
      </c>
      <c r="F506">
        <f t="shared" si="375"/>
        <v>4.1230475475082548E-5</v>
      </c>
      <c r="G506">
        <f t="shared" si="376"/>
        <v>2.4191596625100014E-3</v>
      </c>
      <c r="H506">
        <f t="shared" si="377"/>
        <v>-3.1391734903374902</v>
      </c>
      <c r="J506">
        <f t="shared" si="378"/>
        <v>15</v>
      </c>
      <c r="M506">
        <f t="shared" si="379"/>
        <v>1.5457182678096991E-4</v>
      </c>
      <c r="N506">
        <f t="shared" si="380"/>
        <v>-1.5707963250000001</v>
      </c>
      <c r="O506">
        <f t="shared" si="381"/>
        <v>1370.2386717610418</v>
      </c>
      <c r="P506">
        <f t="shared" si="382"/>
        <v>1.5700665268634126</v>
      </c>
      <c r="Q506">
        <f t="shared" si="383"/>
        <v>203.90624130057742</v>
      </c>
      <c r="R506">
        <f t="shared" si="384"/>
        <v>1.5658920923672557</v>
      </c>
      <c r="S506">
        <f t="shared" si="385"/>
        <v>0.17113151269296256</v>
      </c>
      <c r="T506">
        <f t="shared" si="386"/>
        <v>-1.3988183174675506</v>
      </c>
      <c r="U506">
        <f t="shared" si="387"/>
        <v>0.1568860228412885</v>
      </c>
      <c r="V506">
        <f t="shared" si="388"/>
        <v>-1.4132594910197107</v>
      </c>
      <c r="X506">
        <f t="shared" si="405"/>
        <v>-62.380380488303402</v>
      </c>
      <c r="Y506">
        <f t="shared" si="389"/>
        <v>-231.89904124239317</v>
      </c>
      <c r="Z506">
        <f t="shared" si="406"/>
        <v>-51.899041242393167</v>
      </c>
      <c r="AC506">
        <v>1</v>
      </c>
      <c r="AD506">
        <f t="shared" si="390"/>
        <v>1370.23830686106</v>
      </c>
      <c r="AE506">
        <f t="shared" si="391"/>
        <v>-2.2625663999873038</v>
      </c>
      <c r="AF506">
        <f t="shared" si="392"/>
        <v>0.35941579207884</v>
      </c>
      <c r="AG506">
        <f t="shared" si="421"/>
        <v>93.404463812662101</v>
      </c>
      <c r="AH506">
        <f t="shared" si="422"/>
        <v>-590.77482434267267</v>
      </c>
      <c r="AJ506">
        <f t="shared" si="393"/>
        <v>18000</v>
      </c>
      <c r="AK506">
        <f t="shared" si="394"/>
        <v>103630.6360376784</v>
      </c>
      <c r="AL506">
        <v>1</v>
      </c>
      <c r="AM506">
        <f t="shared" si="395"/>
        <v>203.90378917844885</v>
      </c>
      <c r="AN506">
        <f t="shared" si="423"/>
        <v>508.65370774112955</v>
      </c>
      <c r="AO506">
        <f t="shared" si="424"/>
        <v>-85.782350405225216</v>
      </c>
      <c r="AQ506">
        <f t="shared" si="396"/>
        <v>1.1728277851346658E-3</v>
      </c>
      <c r="AR506">
        <f t="shared" si="397"/>
        <v>-3.4246571325932242</v>
      </c>
      <c r="AT506">
        <f t="shared" si="418"/>
        <v>-2023.091668591228</v>
      </c>
      <c r="AU506">
        <f t="shared" si="419"/>
        <v>-320.5711403408261</v>
      </c>
      <c r="AV506">
        <f t="shared" si="407"/>
        <v>-2.984443152006055</v>
      </c>
      <c r="AW506">
        <f t="shared" si="408"/>
        <v>307.93373808491793</v>
      </c>
      <c r="AX506">
        <f t="shared" si="409"/>
        <v>-2510.7475194444287</v>
      </c>
      <c r="AY506">
        <f t="shared" si="417"/>
        <v>-1.4487595498457753</v>
      </c>
      <c r="BA506">
        <f t="shared" si="398"/>
        <v>0.80975823176584794</v>
      </c>
      <c r="BB506">
        <f t="shared" si="410"/>
        <v>-1.8328925676879044</v>
      </c>
      <c r="BC506">
        <f t="shared" si="411"/>
        <v>-1.5356836021602798</v>
      </c>
      <c r="BD506">
        <f t="shared" si="399"/>
        <v>-267.9881891717726</v>
      </c>
      <c r="BF506">
        <f t="shared" si="400"/>
        <v>-65.498699492184471</v>
      </c>
      <c r="BG506">
        <f t="shared" si="401"/>
        <v>-248.44423395624278</v>
      </c>
      <c r="BH506">
        <f t="shared" si="412"/>
        <v>-68.444233956242783</v>
      </c>
      <c r="BI506">
        <f t="shared" si="413"/>
        <v>-68.444233956242783</v>
      </c>
      <c r="BJ506">
        <f t="shared" si="402"/>
        <v>0</v>
      </c>
      <c r="BK506">
        <f t="shared" si="414"/>
        <v>0</v>
      </c>
      <c r="BM506">
        <f t="shared" si="415"/>
        <v>-63.665806924496565</v>
      </c>
      <c r="BN506">
        <f t="shared" si="403"/>
        <v>-160.45604478447021</v>
      </c>
      <c r="BQ506" s="56">
        <f t="shared" si="416"/>
        <v>15.069068232597234</v>
      </c>
    </row>
    <row r="507" spans="1:69" x14ac:dyDescent="0.2">
      <c r="A507">
        <f t="shared" si="420"/>
        <v>1465000</v>
      </c>
      <c r="B507">
        <f t="shared" si="404"/>
        <v>1465</v>
      </c>
      <c r="C507">
        <f t="shared" si="373"/>
        <v>1.0606313354643386</v>
      </c>
      <c r="D507">
        <f t="shared" si="374"/>
        <v>0.33976000215740232</v>
      </c>
      <c r="F507">
        <f t="shared" si="375"/>
        <v>4.0949508249886978E-5</v>
      </c>
      <c r="G507">
        <f t="shared" si="376"/>
        <v>2.4109024930192516E-3</v>
      </c>
      <c r="H507">
        <f t="shared" si="377"/>
        <v>-3.139181747506981</v>
      </c>
      <c r="J507">
        <f t="shared" si="378"/>
        <v>15</v>
      </c>
      <c r="M507">
        <f t="shared" si="379"/>
        <v>1.5404427788410653E-4</v>
      </c>
      <c r="N507">
        <f t="shared" si="380"/>
        <v>-1.5707963250000001</v>
      </c>
      <c r="O507">
        <f t="shared" si="381"/>
        <v>1374.9312674569549</v>
      </c>
      <c r="P507">
        <f t="shared" si="382"/>
        <v>1.5700690176472818</v>
      </c>
      <c r="Q507">
        <f t="shared" si="383"/>
        <v>204.60453357953145</v>
      </c>
      <c r="R507">
        <f t="shared" si="384"/>
        <v>1.5659088301017061</v>
      </c>
      <c r="S507">
        <f t="shared" si="385"/>
        <v>0.17056446614693063</v>
      </c>
      <c r="T507">
        <f t="shared" si="386"/>
        <v>-1.3993938254868843</v>
      </c>
      <c r="U507">
        <f t="shared" si="387"/>
        <v>0.15636368900237246</v>
      </c>
      <c r="V507">
        <f t="shared" si="388"/>
        <v>-1.4137883519789012</v>
      </c>
      <c r="X507">
        <f t="shared" si="405"/>
        <v>-62.464586349488059</v>
      </c>
      <c r="Y507">
        <f t="shared" si="389"/>
        <v>-231.9002216954982</v>
      </c>
      <c r="Z507">
        <f t="shared" si="406"/>
        <v>-51.900221695498203</v>
      </c>
      <c r="AC507">
        <v>1</v>
      </c>
      <c r="AD507">
        <f t="shared" si="390"/>
        <v>1374.930903802365</v>
      </c>
      <c r="AE507">
        <f t="shared" si="391"/>
        <v>-2.2780899661347118</v>
      </c>
      <c r="AF507">
        <f t="shared" si="392"/>
        <v>0.36064666807911</v>
      </c>
      <c r="AG507">
        <f t="shared" si="421"/>
        <v>92.783540498318629</v>
      </c>
      <c r="AH507">
        <f t="shared" si="422"/>
        <v>-588.85682699580332</v>
      </c>
      <c r="AJ507">
        <f t="shared" si="393"/>
        <v>18000</v>
      </c>
      <c r="AK507">
        <f t="shared" si="394"/>
        <v>103985.5354761636</v>
      </c>
      <c r="AL507">
        <v>1</v>
      </c>
      <c r="AM507">
        <f t="shared" si="395"/>
        <v>204.60208982632022</v>
      </c>
      <c r="AN507">
        <f t="shared" si="423"/>
        <v>508.65084103684046</v>
      </c>
      <c r="AO507">
        <f t="shared" si="424"/>
        <v>-85.489591889364235</v>
      </c>
      <c r="AQ507">
        <f t="shared" si="396"/>
        <v>1.1648357971745975E-3</v>
      </c>
      <c r="AR507">
        <f t="shared" si="397"/>
        <v>-3.412968885721571</v>
      </c>
      <c r="AT507">
        <f t="shared" si="418"/>
        <v>-2009.6419510920457</v>
      </c>
      <c r="AU507">
        <f t="shared" si="419"/>
        <v>-317.35325833934411</v>
      </c>
      <c r="AV507">
        <f t="shared" si="407"/>
        <v>-2.9849706910063367</v>
      </c>
      <c r="AW507">
        <f t="shared" si="408"/>
        <v>309.31391832003936</v>
      </c>
      <c r="AX507">
        <f t="shared" si="409"/>
        <v>-2502.2648383662158</v>
      </c>
      <c r="AY507">
        <f t="shared" si="417"/>
        <v>-1.4478066534410492</v>
      </c>
      <c r="BA507">
        <f t="shared" si="398"/>
        <v>0.80693967631416474</v>
      </c>
      <c r="BB507">
        <f t="shared" si="410"/>
        <v>-1.8631786047680476</v>
      </c>
      <c r="BC507">
        <f t="shared" si="411"/>
        <v>-1.5371640375652875</v>
      </c>
      <c r="BD507">
        <f t="shared" si="399"/>
        <v>-268.07301187241819</v>
      </c>
      <c r="BF507">
        <f t="shared" si="400"/>
        <v>-65.585090530514861</v>
      </c>
      <c r="BG507">
        <f t="shared" si="401"/>
        <v>-248.46806314137382</v>
      </c>
      <c r="BH507">
        <f t="shared" si="412"/>
        <v>-68.468063141373818</v>
      </c>
      <c r="BI507">
        <f t="shared" si="413"/>
        <v>-68.468063141373818</v>
      </c>
      <c r="BJ507">
        <f t="shared" si="402"/>
        <v>0</v>
      </c>
      <c r="BK507">
        <f t="shared" si="414"/>
        <v>0</v>
      </c>
      <c r="BM507">
        <f t="shared" si="415"/>
        <v>-63.721911925746817</v>
      </c>
      <c r="BN507">
        <f t="shared" si="403"/>
        <v>-160.3950512689556</v>
      </c>
      <c r="BQ507" s="56">
        <f t="shared" si="416"/>
        <v>15.038782195517088</v>
      </c>
    </row>
    <row r="508" spans="1:69" x14ac:dyDescent="0.2">
      <c r="A508">
        <f t="shared" si="420"/>
        <v>1470000</v>
      </c>
      <c r="B508">
        <f t="shared" si="404"/>
        <v>1470</v>
      </c>
      <c r="C508">
        <f t="shared" si="373"/>
        <v>1.061033981490616</v>
      </c>
      <c r="D508">
        <f t="shared" si="374"/>
        <v>0.34083198400854681</v>
      </c>
      <c r="F508">
        <f t="shared" si="375"/>
        <v>4.0671403304489405E-5</v>
      </c>
      <c r="G508">
        <f t="shared" si="376"/>
        <v>2.4027015013676975E-3</v>
      </c>
      <c r="H508">
        <f t="shared" si="377"/>
        <v>-3.1391899484986325</v>
      </c>
      <c r="J508">
        <f t="shared" si="378"/>
        <v>15</v>
      </c>
      <c r="M508">
        <f t="shared" si="379"/>
        <v>1.5352031775524904E-4</v>
      </c>
      <c r="N508">
        <f t="shared" si="380"/>
        <v>-1.5707963250000001</v>
      </c>
      <c r="O508">
        <f t="shared" si="381"/>
        <v>1379.6238631613396</v>
      </c>
      <c r="P508">
        <f t="shared" si="382"/>
        <v>1.5700714914870519</v>
      </c>
      <c r="Q508">
        <f t="shared" si="383"/>
        <v>205.30282591541587</v>
      </c>
      <c r="R508">
        <f t="shared" si="384"/>
        <v>1.565925453976728</v>
      </c>
      <c r="S508">
        <f t="shared" si="385"/>
        <v>0.1700011092736213</v>
      </c>
      <c r="T508">
        <f t="shared" si="386"/>
        <v>-1.3999655320070445</v>
      </c>
      <c r="U508">
        <f t="shared" si="387"/>
        <v>0.15584477856610565</v>
      </c>
      <c r="V508">
        <f t="shared" si="388"/>
        <v>-1.4143137029154207</v>
      </c>
      <c r="X508">
        <f t="shared" si="405"/>
        <v>-62.548495867724263</v>
      </c>
      <c r="Y508">
        <f t="shared" si="389"/>
        <v>-231.90103408561859</v>
      </c>
      <c r="Z508">
        <f t="shared" si="406"/>
        <v>-51.901034085618591</v>
      </c>
      <c r="AC508">
        <v>1</v>
      </c>
      <c r="AD508">
        <f t="shared" si="390"/>
        <v>1379.6235007436699</v>
      </c>
      <c r="AE508">
        <f t="shared" si="391"/>
        <v>-2.2936666043031364</v>
      </c>
      <c r="AF508">
        <f t="shared" si="392"/>
        <v>0.36187754407938</v>
      </c>
      <c r="AG508">
        <f t="shared" si="421"/>
        <v>92.168737173346358</v>
      </c>
      <c r="AH508">
        <f t="shared" si="422"/>
        <v>-586.95091168383044</v>
      </c>
      <c r="AJ508">
        <f t="shared" si="393"/>
        <v>18000</v>
      </c>
      <c r="AK508">
        <f t="shared" si="394"/>
        <v>104340.43491464879</v>
      </c>
      <c r="AL508">
        <v>1</v>
      </c>
      <c r="AM508">
        <f t="shared" si="395"/>
        <v>205.3003904741916</v>
      </c>
      <c r="AN508">
        <f t="shared" si="423"/>
        <v>508.64800353393372</v>
      </c>
      <c r="AO508">
        <f t="shared" si="424"/>
        <v>-85.19882478579558</v>
      </c>
      <c r="AQ508">
        <f t="shared" si="396"/>
        <v>1.1569252213284719E-3</v>
      </c>
      <c r="AR508">
        <f t="shared" si="397"/>
        <v>-3.401360150705707</v>
      </c>
      <c r="AT508">
        <f t="shared" si="418"/>
        <v>-1996.3248090851118</v>
      </c>
      <c r="AU508">
        <f t="shared" si="419"/>
        <v>-314.1781280756968</v>
      </c>
      <c r="AV508">
        <f t="shared" si="407"/>
        <v>-2.9854947289768572</v>
      </c>
      <c r="AW508">
        <f t="shared" si="408"/>
        <v>310.67983756165955</v>
      </c>
      <c r="AX508">
        <f t="shared" si="409"/>
        <v>-2493.8390171233195</v>
      </c>
      <c r="AY508">
        <f t="shared" si="417"/>
        <v>-1.4468559294366838</v>
      </c>
      <c r="BA508">
        <f t="shared" si="398"/>
        <v>0.80413937246316058</v>
      </c>
      <c r="BB508">
        <f t="shared" si="410"/>
        <v>-1.8933734666728397</v>
      </c>
      <c r="BC508">
        <f t="shared" si="411"/>
        <v>-1.5386387995401734</v>
      </c>
      <c r="BD508">
        <f t="shared" si="399"/>
        <v>-268.1575095094621</v>
      </c>
      <c r="BF508">
        <f t="shared" si="400"/>
        <v>-65.671179275510468</v>
      </c>
      <c r="BG508">
        <f t="shared" si="401"/>
        <v>-248.49161062477228</v>
      </c>
      <c r="BH508">
        <f t="shared" si="412"/>
        <v>-68.491610624772278</v>
      </c>
      <c r="BI508">
        <f t="shared" si="413"/>
        <v>-68.491610624772278</v>
      </c>
      <c r="BJ508">
        <f t="shared" si="402"/>
        <v>0</v>
      </c>
      <c r="BK508">
        <f t="shared" si="414"/>
        <v>0</v>
      </c>
      <c r="BM508">
        <f t="shared" si="415"/>
        <v>-63.77780580883762</v>
      </c>
      <c r="BN508">
        <f t="shared" si="403"/>
        <v>-160.33410111531023</v>
      </c>
      <c r="BQ508" s="56">
        <f t="shared" si="416"/>
        <v>15.008587333612295</v>
      </c>
    </row>
    <row r="509" spans="1:69" x14ac:dyDescent="0.2">
      <c r="A509">
        <f t="shared" si="420"/>
        <v>1475000</v>
      </c>
      <c r="B509">
        <f t="shared" si="404"/>
        <v>1475</v>
      </c>
      <c r="C509">
        <f t="shared" si="373"/>
        <v>1.0614378458730205</v>
      </c>
      <c r="D509">
        <f t="shared" si="374"/>
        <v>0.34190315133733845</v>
      </c>
      <c r="F509">
        <f t="shared" si="375"/>
        <v>4.039612189171475E-5</v>
      </c>
      <c r="G509">
        <f t="shared" si="376"/>
        <v>2.3945561161659934E-3</v>
      </c>
      <c r="H509">
        <f t="shared" si="377"/>
        <v>-3.1391980938838344</v>
      </c>
      <c r="J509">
        <f t="shared" si="378"/>
        <v>15</v>
      </c>
      <c r="M509">
        <f t="shared" si="379"/>
        <v>1.5299990989845158E-4</v>
      </c>
      <c r="N509">
        <f t="shared" si="380"/>
        <v>-1.5707963250000001</v>
      </c>
      <c r="O509">
        <f t="shared" si="381"/>
        <v>1384.3164588741106</v>
      </c>
      <c r="P509">
        <f t="shared" si="382"/>
        <v>1.5700739485550359</v>
      </c>
      <c r="Q509">
        <f t="shared" si="383"/>
        <v>206.00111830765175</v>
      </c>
      <c r="R509">
        <f t="shared" si="384"/>
        <v>1.5659419651501774</v>
      </c>
      <c r="S509">
        <f t="shared" si="385"/>
        <v>0.16944140673294791</v>
      </c>
      <c r="T509">
        <f t="shared" si="386"/>
        <v>-1.4005334742000077</v>
      </c>
      <c r="U509">
        <f t="shared" si="387"/>
        <v>0.15532925841745432</v>
      </c>
      <c r="V509">
        <f t="shared" si="388"/>
        <v>-1.4148355783703273</v>
      </c>
      <c r="X509">
        <f t="shared" si="405"/>
        <v>-62.632110915300807</v>
      </c>
      <c r="Y509">
        <f t="shared" si="389"/>
        <v>-231.90148256620446</v>
      </c>
      <c r="Z509">
        <f t="shared" si="406"/>
        <v>-51.901482566204464</v>
      </c>
      <c r="AC509">
        <v>1</v>
      </c>
      <c r="AD509">
        <f t="shared" si="390"/>
        <v>1384.3160976849749</v>
      </c>
      <c r="AE509">
        <f t="shared" si="391"/>
        <v>-2.3092963144925776</v>
      </c>
      <c r="AF509">
        <f t="shared" si="392"/>
        <v>0.36310842007965</v>
      </c>
      <c r="AG509">
        <f t="shared" si="421"/>
        <v>91.559974349595066</v>
      </c>
      <c r="AH509">
        <f t="shared" si="422"/>
        <v>-585.05696803713613</v>
      </c>
      <c r="AJ509">
        <f t="shared" si="393"/>
        <v>18000</v>
      </c>
      <c r="AK509">
        <f t="shared" si="394"/>
        <v>104695.33435313399</v>
      </c>
      <c r="AL509">
        <v>1</v>
      </c>
      <c r="AM509">
        <f t="shared" si="395"/>
        <v>205.99869112206304</v>
      </c>
      <c r="AN509">
        <f t="shared" si="423"/>
        <v>508.64519483714588</v>
      </c>
      <c r="AO509">
        <f t="shared" si="424"/>
        <v>-84.910028844787547</v>
      </c>
      <c r="AQ509">
        <f t="shared" si="396"/>
        <v>1.1490949555765637E-3</v>
      </c>
      <c r="AR509">
        <f t="shared" si="397"/>
        <v>-3.3898301189508624</v>
      </c>
      <c r="AT509">
        <f t="shared" si="418"/>
        <v>-1983.1385204496983</v>
      </c>
      <c r="AU509">
        <f t="shared" si="419"/>
        <v>-311.04504475132211</v>
      </c>
      <c r="AV509">
        <f t="shared" si="407"/>
        <v>-2.986015300367221</v>
      </c>
      <c r="AW509">
        <f t="shared" si="408"/>
        <v>312.03169214428442</v>
      </c>
      <c r="AX509">
        <f t="shared" si="409"/>
        <v>-2485.4694883663938</v>
      </c>
      <c r="AY509">
        <f t="shared" si="417"/>
        <v>-1.4459073571451575</v>
      </c>
      <c r="BA509">
        <f t="shared" si="398"/>
        <v>0.80135714297720573</v>
      </c>
      <c r="BB509">
        <f t="shared" si="410"/>
        <v>-1.923477751822475</v>
      </c>
      <c r="BC509">
        <f t="shared" si="411"/>
        <v>-1.5401079432220635</v>
      </c>
      <c r="BD509">
        <f t="shared" si="399"/>
        <v>-268.24168524202889</v>
      </c>
      <c r="BF509">
        <f t="shared" si="400"/>
        <v>-65.756967721912389</v>
      </c>
      <c r="BG509">
        <f t="shared" si="401"/>
        <v>-248.51487968637204</v>
      </c>
      <c r="BH509">
        <f t="shared" si="412"/>
        <v>-68.514879686372041</v>
      </c>
      <c r="BI509">
        <f t="shared" si="413"/>
        <v>-68.514879686372041</v>
      </c>
      <c r="BJ509">
        <f t="shared" si="402"/>
        <v>0</v>
      </c>
      <c r="BK509">
        <f t="shared" si="414"/>
        <v>0</v>
      </c>
      <c r="BM509">
        <f t="shared" si="415"/>
        <v>-63.833489970089914</v>
      </c>
      <c r="BN509">
        <f t="shared" si="403"/>
        <v>-160.27319444434315</v>
      </c>
      <c r="BQ509" s="56">
        <f t="shared" si="416"/>
        <v>14.978483048462664</v>
      </c>
    </row>
    <row r="510" spans="1:69" x14ac:dyDescent="0.2">
      <c r="A510">
        <f t="shared" si="420"/>
        <v>1480000</v>
      </c>
      <c r="B510">
        <f t="shared" si="404"/>
        <v>1480</v>
      </c>
      <c r="C510">
        <f t="shared" si="373"/>
        <v>1.0618429272213727</v>
      </c>
      <c r="D510">
        <f t="shared" si="374"/>
        <v>0.34297350261646176</v>
      </c>
      <c r="F510">
        <f t="shared" si="375"/>
        <v>4.0123625917842989E-5</v>
      </c>
      <c r="G510">
        <f t="shared" si="376"/>
        <v>2.3864657737477694E-3</v>
      </c>
      <c r="H510">
        <f t="shared" si="377"/>
        <v>-3.1392061842262526</v>
      </c>
      <c r="J510">
        <f t="shared" si="378"/>
        <v>15</v>
      </c>
      <c r="M510">
        <f t="shared" si="379"/>
        <v>1.5248301831095681E-4</v>
      </c>
      <c r="N510">
        <f t="shared" si="380"/>
        <v>-1.5707963250000001</v>
      </c>
      <c r="O510">
        <f t="shared" si="381"/>
        <v>1389.0090545951823</v>
      </c>
      <c r="P510">
        <f t="shared" si="382"/>
        <v>1.5700763890212177</v>
      </c>
      <c r="Q510">
        <f t="shared" si="383"/>
        <v>206.69941075566794</v>
      </c>
      <c r="R510">
        <f t="shared" si="384"/>
        <v>1.5659583647642639</v>
      </c>
      <c r="S510">
        <f t="shared" si="385"/>
        <v>0.16888532362730185</v>
      </c>
      <c r="T510">
        <f t="shared" si="386"/>
        <v>-1.4010976887595632</v>
      </c>
      <c r="U510">
        <f t="shared" si="387"/>
        <v>0.1548170958613615</v>
      </c>
      <c r="V510">
        <f t="shared" si="388"/>
        <v>-1.4153540124367432</v>
      </c>
      <c r="X510">
        <f t="shared" si="405"/>
        <v>-62.71543334705833</v>
      </c>
      <c r="Y510">
        <f t="shared" si="389"/>
        <v>-231.90157123766846</v>
      </c>
      <c r="Z510">
        <f t="shared" si="406"/>
        <v>-51.901571237668463</v>
      </c>
      <c r="AC510">
        <v>1</v>
      </c>
      <c r="AD510">
        <f t="shared" si="390"/>
        <v>1389.00869462628</v>
      </c>
      <c r="AE510">
        <f t="shared" si="391"/>
        <v>-2.3249790967030357</v>
      </c>
      <c r="AF510">
        <f t="shared" si="392"/>
        <v>0.36433929607991999</v>
      </c>
      <c r="AG510">
        <f t="shared" si="421"/>
        <v>90.957173814097615</v>
      </c>
      <c r="AH510">
        <f t="shared" si="422"/>
        <v>-583.17488697775366</v>
      </c>
      <c r="AJ510">
        <f t="shared" si="393"/>
        <v>18000</v>
      </c>
      <c r="AK510">
        <f t="shared" si="394"/>
        <v>105050.2337916192</v>
      </c>
      <c r="AL510">
        <v>1</v>
      </c>
      <c r="AM510">
        <f t="shared" si="395"/>
        <v>206.69699176993441</v>
      </c>
      <c r="AN510">
        <f t="shared" si="423"/>
        <v>508.64241455787874</v>
      </c>
      <c r="AO510">
        <f t="shared" si="424"/>
        <v>-84.623184090221315</v>
      </c>
      <c r="AQ510">
        <f t="shared" si="396"/>
        <v>1.1413439164828438E-3</v>
      </c>
      <c r="AR510">
        <f t="shared" si="397"/>
        <v>-3.3783779927892175</v>
      </c>
      <c r="AT510">
        <f t="shared" si="418"/>
        <v>-1970.0813906959888</v>
      </c>
      <c r="AU510">
        <f t="shared" si="419"/>
        <v>-307.9533174093487</v>
      </c>
      <c r="AV510">
        <f t="shared" si="407"/>
        <v>-2.9865324391803338</v>
      </c>
      <c r="AW510">
        <f t="shared" si="408"/>
        <v>313.36967502750934</v>
      </c>
      <c r="AX510">
        <f t="shared" si="409"/>
        <v>-2477.1556922400928</v>
      </c>
      <c r="AY510">
        <f t="shared" si="417"/>
        <v>-1.444960916180704</v>
      </c>
      <c r="BA510">
        <f t="shared" si="398"/>
        <v>0.79859281288297479</v>
      </c>
      <c r="BB510">
        <f t="shared" si="410"/>
        <v>-1.9534920531143745</v>
      </c>
      <c r="BC510">
        <f t="shared" si="411"/>
        <v>-1.5415715229996299</v>
      </c>
      <c r="BD510">
        <f t="shared" si="399"/>
        <v>-268.32554218635994</v>
      </c>
      <c r="BF510">
        <f t="shared" si="400"/>
        <v>-65.842457845000055</v>
      </c>
      <c r="BG510">
        <f t="shared" si="401"/>
        <v>-248.53787356221869</v>
      </c>
      <c r="BH510">
        <f t="shared" si="412"/>
        <v>-68.537873562218692</v>
      </c>
      <c r="BI510">
        <f t="shared" si="413"/>
        <v>-68.537873562218692</v>
      </c>
      <c r="BJ510">
        <f t="shared" si="402"/>
        <v>0</v>
      </c>
      <c r="BK510">
        <f t="shared" si="414"/>
        <v>0</v>
      </c>
      <c r="BM510">
        <f t="shared" si="415"/>
        <v>-63.888965791885681</v>
      </c>
      <c r="BN510">
        <f t="shared" si="403"/>
        <v>-160.21233137585878</v>
      </c>
      <c r="BQ510" s="56">
        <f t="shared" si="416"/>
        <v>14.948468747170763</v>
      </c>
    </row>
    <row r="511" spans="1:69" x14ac:dyDescent="0.2">
      <c r="A511">
        <f t="shared" si="420"/>
        <v>1485000</v>
      </c>
      <c r="B511">
        <f t="shared" si="404"/>
        <v>1485</v>
      </c>
      <c r="C511">
        <f t="shared" si="373"/>
        <v>1.0622492241434283</v>
      </c>
      <c r="D511">
        <f t="shared" si="374"/>
        <v>0.34404303632840672</v>
      </c>
      <c r="F511">
        <f t="shared" si="375"/>
        <v>3.98538779294292E-5</v>
      </c>
      <c r="G511">
        <f t="shared" si="376"/>
        <v>2.3784299180395888E-3</v>
      </c>
      <c r="H511">
        <f t="shared" si="377"/>
        <v>-3.1392142200819606</v>
      </c>
      <c r="J511">
        <f t="shared" si="378"/>
        <v>15</v>
      </c>
      <c r="M511">
        <f t="shared" si="379"/>
        <v>1.5196960747489299E-4</v>
      </c>
      <c r="N511">
        <f t="shared" si="380"/>
        <v>-1.5707963250000001</v>
      </c>
      <c r="O511">
        <f t="shared" si="381"/>
        <v>1393.7016503244713</v>
      </c>
      <c r="P511">
        <f t="shared" si="382"/>
        <v>1.5700788130532923</v>
      </c>
      <c r="Q511">
        <f t="shared" si="383"/>
        <v>207.39770325890106</v>
      </c>
      <c r="R511">
        <f t="shared" si="384"/>
        <v>1.5659746539458148</v>
      </c>
      <c r="S511">
        <f t="shared" si="385"/>
        <v>0.16833282549477332</v>
      </c>
      <c r="T511">
        <f t="shared" si="386"/>
        <v>-1.4016582119088972</v>
      </c>
      <c r="U511">
        <f t="shared" si="387"/>
        <v>0.15430825861620659</v>
      </c>
      <c r="V511">
        <f t="shared" si="388"/>
        <v>-1.415869038767031</v>
      </c>
      <c r="X511">
        <f t="shared" si="405"/>
        <v>-62.798465000603571</v>
      </c>
      <c r="Y511">
        <f t="shared" si="389"/>
        <v>-231.90130414822158</v>
      </c>
      <c r="Z511">
        <f t="shared" si="406"/>
        <v>-51.901304148221584</v>
      </c>
      <c r="AC511">
        <v>1</v>
      </c>
      <c r="AD511">
        <f t="shared" si="390"/>
        <v>1393.701291567585</v>
      </c>
      <c r="AE511">
        <f t="shared" si="391"/>
        <v>-2.3407149509345109</v>
      </c>
      <c r="AF511">
        <f t="shared" si="392"/>
        <v>0.36557017208018999</v>
      </c>
      <c r="AG511">
        <f t="shared" si="421"/>
        <v>90.360258604821297</v>
      </c>
      <c r="AH511">
        <f t="shared" si="422"/>
        <v>-581.30456070141076</v>
      </c>
      <c r="AJ511">
        <f t="shared" si="393"/>
        <v>18000</v>
      </c>
      <c r="AK511">
        <f t="shared" si="394"/>
        <v>105405.1332301044</v>
      </c>
      <c r="AL511">
        <v>1</v>
      </c>
      <c r="AM511">
        <f t="shared" si="395"/>
        <v>207.39529241780582</v>
      </c>
      <c r="AN511">
        <f t="shared" si="423"/>
        <v>508.63966231406437</v>
      </c>
      <c r="AO511">
        <f t="shared" si="424"/>
        <v>-84.338270814985108</v>
      </c>
      <c r="AQ511">
        <f t="shared" si="396"/>
        <v>1.133671038820184E-3</v>
      </c>
      <c r="AR511">
        <f t="shared" si="397"/>
        <v>-3.3670029852959464</v>
      </c>
      <c r="AT511">
        <f t="shared" si="418"/>
        <v>-1957.1517524395581</v>
      </c>
      <c r="AU511">
        <f t="shared" si="419"/>
        <v>-304.90226861974827</v>
      </c>
      <c r="AV511">
        <f t="shared" si="407"/>
        <v>-2.987046178979555</v>
      </c>
      <c r="AW511">
        <f t="shared" si="408"/>
        <v>314.69397586552617</v>
      </c>
      <c r="AX511">
        <f t="shared" si="409"/>
        <v>-2468.8970762601543</v>
      </c>
      <c r="AY511">
        <f t="shared" si="417"/>
        <v>-1.444016586453917</v>
      </c>
      <c r="BA511">
        <f t="shared" si="398"/>
        <v>0.79584620943405726</v>
      </c>
      <c r="BB511">
        <f t="shared" si="410"/>
        <v>-1.9834169579873773</v>
      </c>
      <c r="BC511">
        <f t="shared" si="411"/>
        <v>-1.5430295925256381</v>
      </c>
      <c r="BD511">
        <f t="shared" si="399"/>
        <v>-268.40908341653233</v>
      </c>
      <c r="BF511">
        <f t="shared" si="400"/>
        <v>-65.927651600843248</v>
      </c>
      <c r="BG511">
        <f t="shared" si="401"/>
        <v>-248.56059544519707</v>
      </c>
      <c r="BH511">
        <f t="shared" si="412"/>
        <v>-68.560595445197066</v>
      </c>
      <c r="BI511">
        <f t="shared" si="413"/>
        <v>-68.560595445197066</v>
      </c>
      <c r="BJ511">
        <f t="shared" si="402"/>
        <v>0</v>
      </c>
      <c r="BK511">
        <f t="shared" si="414"/>
        <v>0</v>
      </c>
      <c r="BM511">
        <f t="shared" si="415"/>
        <v>-63.944234642855868</v>
      </c>
      <c r="BN511">
        <f t="shared" si="403"/>
        <v>-160.15151202866471</v>
      </c>
      <c r="BQ511" s="56">
        <f t="shared" si="416"/>
        <v>14.91854384229776</v>
      </c>
    </row>
    <row r="512" spans="1:69" x14ac:dyDescent="0.2">
      <c r="A512">
        <f t="shared" si="420"/>
        <v>1490000</v>
      </c>
      <c r="B512">
        <f t="shared" si="404"/>
        <v>1490</v>
      </c>
      <c r="C512">
        <f t="shared" si="373"/>
        <v>1.0626567352448972</v>
      </c>
      <c r="D512">
        <f t="shared" si="374"/>
        <v>0.34511175096546237</v>
      </c>
      <c r="F512">
        <f t="shared" si="375"/>
        <v>3.958684110043268E-5</v>
      </c>
      <c r="G512">
        <f t="shared" si="376"/>
        <v>2.3704480004335198E-3</v>
      </c>
      <c r="H512">
        <f t="shared" si="377"/>
        <v>-3.1392222019995666</v>
      </c>
      <c r="J512">
        <f t="shared" si="378"/>
        <v>15</v>
      </c>
      <c r="M512">
        <f t="shared" si="379"/>
        <v>1.5145964234913832E-4</v>
      </c>
      <c r="N512">
        <f t="shared" si="380"/>
        <v>-1.5707963250000001</v>
      </c>
      <c r="O512">
        <f t="shared" si="381"/>
        <v>1398.3942460618944</v>
      </c>
      <c r="P512">
        <f t="shared" si="382"/>
        <v>1.5700812208167036</v>
      </c>
      <c r="Q512">
        <f t="shared" si="383"/>
        <v>208.09599581679524</v>
      </c>
      <c r="R512">
        <f t="shared" si="384"/>
        <v>1.5659908338065329</v>
      </c>
      <c r="S512">
        <f t="shared" si="385"/>
        <v>0.16778387830249367</v>
      </c>
      <c r="T512">
        <f t="shared" si="386"/>
        <v>-1.4022150794080357</v>
      </c>
      <c r="U512">
        <f t="shared" si="387"/>
        <v>0.15380271480738458</v>
      </c>
      <c r="V512">
        <f t="shared" si="388"/>
        <v>-1.4163806905798302</v>
      </c>
      <c r="X512">
        <f t="shared" si="405"/>
        <v>-62.881207696520363</v>
      </c>
      <c r="Y512">
        <f t="shared" si="389"/>
        <v>-231.90068529469343</v>
      </c>
      <c r="Z512">
        <f t="shared" si="406"/>
        <v>-51.900685294693432</v>
      </c>
      <c r="AC512">
        <v>1</v>
      </c>
      <c r="AD512">
        <f t="shared" si="390"/>
        <v>1398.3938885088901</v>
      </c>
      <c r="AE512">
        <f t="shared" si="391"/>
        <v>-2.3565038771870022</v>
      </c>
      <c r="AF512">
        <f t="shared" si="392"/>
        <v>0.36680104808045999</v>
      </c>
      <c r="AG512">
        <f t="shared" si="421"/>
        <v>89.769152986949791</v>
      </c>
      <c r="AH512">
        <f t="shared" si="422"/>
        <v>-579.44588265985021</v>
      </c>
      <c r="AJ512">
        <f t="shared" si="393"/>
        <v>18000</v>
      </c>
      <c r="AK512">
        <f t="shared" si="394"/>
        <v>105760.0326685896</v>
      </c>
      <c r="AL512">
        <v>1</v>
      </c>
      <c r="AM512">
        <f t="shared" si="395"/>
        <v>208.0935930656772</v>
      </c>
      <c r="AN512">
        <f t="shared" si="423"/>
        <v>508.63693773003479</v>
      </c>
      <c r="AO512">
        <f t="shared" si="424"/>
        <v>-84.055269576461441</v>
      </c>
      <c r="AQ512">
        <f t="shared" si="396"/>
        <v>1.1260752752043517E-3</v>
      </c>
      <c r="AR512">
        <f t="shared" si="397"/>
        <v>-3.355704320108968</v>
      </c>
      <c r="AT512">
        <f t="shared" si="418"/>
        <v>-1944.3479648873588</v>
      </c>
      <c r="AU512">
        <f t="shared" si="419"/>
        <v>-301.89123417261249</v>
      </c>
      <c r="AV512">
        <f t="shared" si="407"/>
        <v>-2.9875565528957169</v>
      </c>
      <c r="AW512">
        <f t="shared" si="408"/>
        <v>316.00478107496349</v>
      </c>
      <c r="AX512">
        <f t="shared" si="409"/>
        <v>-2460.6930951928975</v>
      </c>
      <c r="AY512">
        <f t="shared" si="417"/>
        <v>-1.4430743481664681</v>
      </c>
      <c r="BA512">
        <f t="shared" si="398"/>
        <v>0.79311716207620775</v>
      </c>
      <c r="BB512">
        <f t="shared" si="410"/>
        <v>-2.0132530484851654</v>
      </c>
      <c r="BC512">
        <f t="shared" si="411"/>
        <v>-1.5444822047292488</v>
      </c>
      <c r="BD512">
        <f t="shared" si="399"/>
        <v>-268.49231196516348</v>
      </c>
      <c r="BF512">
        <f t="shared" si="400"/>
        <v>-66.012550926550318</v>
      </c>
      <c r="BG512">
        <f t="shared" si="401"/>
        <v>-248.58304848574289</v>
      </c>
      <c r="BH512">
        <f t="shared" si="412"/>
        <v>-68.583048485742893</v>
      </c>
      <c r="BI512">
        <f t="shared" si="413"/>
        <v>-68.583048485742893</v>
      </c>
      <c r="BJ512">
        <f t="shared" si="402"/>
        <v>0</v>
      </c>
      <c r="BK512">
        <f t="shared" si="414"/>
        <v>0</v>
      </c>
      <c r="BM512">
        <f t="shared" si="415"/>
        <v>-63.99929787806515</v>
      </c>
      <c r="BN512">
        <f t="shared" si="403"/>
        <v>-160.09073652057936</v>
      </c>
      <c r="BQ512" s="56">
        <f t="shared" si="416"/>
        <v>14.88870775179997</v>
      </c>
    </row>
    <row r="513" spans="1:69" x14ac:dyDescent="0.2">
      <c r="A513">
        <f t="shared" si="420"/>
        <v>1495000</v>
      </c>
      <c r="B513">
        <f t="shared" si="404"/>
        <v>1495</v>
      </c>
      <c r="C513">
        <f t="shared" si="373"/>
        <v>1.0630654591294644</v>
      </c>
      <c r="D513">
        <f t="shared" si="374"/>
        <v>0.34617964502971038</v>
      </c>
      <c r="F513">
        <f t="shared" si="375"/>
        <v>3.9322479219646849E-5</v>
      </c>
      <c r="G513">
        <f t="shared" si="376"/>
        <v>2.3625194796622622E-3</v>
      </c>
      <c r="H513">
        <f t="shared" si="377"/>
        <v>-3.1392301305203381</v>
      </c>
      <c r="J513">
        <f t="shared" si="378"/>
        <v>15</v>
      </c>
      <c r="M513">
        <f t="shared" si="379"/>
        <v>1.5095308836134857E-4</v>
      </c>
      <c r="N513">
        <f t="shared" si="380"/>
        <v>-1.5707963250000001</v>
      </c>
      <c r="O513">
        <f t="shared" si="381"/>
        <v>1403.0868418073701</v>
      </c>
      <c r="P513">
        <f t="shared" si="382"/>
        <v>1.5700836124746824</v>
      </c>
      <c r="Q513">
        <f t="shared" si="383"/>
        <v>208.79428842880208</v>
      </c>
      <c r="R513">
        <f t="shared" si="384"/>
        <v>1.5660069054432486</v>
      </c>
      <c r="S513">
        <f t="shared" si="385"/>
        <v>0.16723844844009708</v>
      </c>
      <c r="T513">
        <f t="shared" si="386"/>
        <v>-1.4027683265611475</v>
      </c>
      <c r="U513">
        <f t="shared" si="387"/>
        <v>0.15330043296100324</v>
      </c>
      <c r="V513">
        <f t="shared" si="388"/>
        <v>-1.416889000666965</v>
      </c>
      <c r="X513">
        <f t="shared" si="405"/>
        <v>-62.963663238577666</v>
      </c>
      <c r="Y513">
        <f t="shared" si="389"/>
        <v>-231.89971862333763</v>
      </c>
      <c r="Z513">
        <f t="shared" si="406"/>
        <v>-51.899718623337634</v>
      </c>
      <c r="AC513">
        <v>1</v>
      </c>
      <c r="AD513">
        <f t="shared" si="390"/>
        <v>1403.0864854501949</v>
      </c>
      <c r="AE513">
        <f t="shared" si="391"/>
        <v>-2.3723458754605105</v>
      </c>
      <c r="AF513">
        <f t="shared" si="392"/>
        <v>0.36803192408072999</v>
      </c>
      <c r="AG513">
        <f t="shared" si="421"/>
        <v>89.183782429683248</v>
      </c>
      <c r="AH513">
        <f t="shared" si="422"/>
        <v>-577.59874754342513</v>
      </c>
      <c r="AJ513">
        <f t="shared" si="393"/>
        <v>18000</v>
      </c>
      <c r="AK513">
        <f t="shared" si="394"/>
        <v>106114.93210707481</v>
      </c>
      <c r="AL513">
        <v>1</v>
      </c>
      <c r="AM513">
        <f t="shared" si="395"/>
        <v>208.79189371354863</v>
      </c>
      <c r="AN513">
        <f t="shared" si="423"/>
        <v>508.63424043639304</v>
      </c>
      <c r="AO513">
        <f t="shared" si="424"/>
        <v>-83.774161192104657</v>
      </c>
      <c r="AQ513">
        <f t="shared" si="396"/>
        <v>1.1185555957365582E-3</v>
      </c>
      <c r="AR513">
        <f t="shared" si="397"/>
        <v>-3.3444812312523093</v>
      </c>
      <c r="AT513">
        <f t="shared" si="418"/>
        <v>-1931.6684133349406</v>
      </c>
      <c r="AU513">
        <f t="shared" si="419"/>
        <v>-298.91956277932024</v>
      </c>
      <c r="AV513">
        <f t="shared" si="407"/>
        <v>-2.9880635936340108</v>
      </c>
      <c r="AW513">
        <f t="shared" si="408"/>
        <v>317.3022739011052</v>
      </c>
      <c r="AX513">
        <f t="shared" si="409"/>
        <v>-2452.5432109370595</v>
      </c>
      <c r="AY513">
        <f t="shared" si="417"/>
        <v>-1.4421341818059397</v>
      </c>
      <c r="BA513">
        <f t="shared" si="398"/>
        <v>0.79040550241324248</v>
      </c>
      <c r="BB513">
        <f t="shared" si="410"/>
        <v>-2.0430009013187251</v>
      </c>
      <c r="BC513">
        <f t="shared" si="411"/>
        <v>-1.5459294118280711</v>
      </c>
      <c r="BD513">
        <f t="shared" si="399"/>
        <v>-268.57523082410216</v>
      </c>
      <c r="BF513">
        <f t="shared" si="400"/>
        <v>-66.097157740512401</v>
      </c>
      <c r="BG513">
        <f t="shared" si="401"/>
        <v>-248.60523579254161</v>
      </c>
      <c r="BH513">
        <f t="shared" si="412"/>
        <v>-68.605235792541606</v>
      </c>
      <c r="BI513">
        <f t="shared" si="413"/>
        <v>-68.605235792541606</v>
      </c>
      <c r="BJ513">
        <f t="shared" si="402"/>
        <v>0</v>
      </c>
      <c r="BK513">
        <f t="shared" si="414"/>
        <v>0</v>
      </c>
      <c r="BM513">
        <f t="shared" si="415"/>
        <v>-64.054156839193666</v>
      </c>
      <c r="BN513">
        <f t="shared" si="403"/>
        <v>-160.03000496843947</v>
      </c>
      <c r="BQ513" s="56">
        <f t="shared" si="416"/>
        <v>14.858959898966411</v>
      </c>
    </row>
    <row r="514" spans="1:69" x14ac:dyDescent="0.2">
      <c r="A514">
        <f t="shared" si="420"/>
        <v>1500000</v>
      </c>
      <c r="B514">
        <f t="shared" si="404"/>
        <v>1500</v>
      </c>
      <c r="C514">
        <f t="shared" si="373"/>
        <v>1.063475394398808</v>
      </c>
      <c r="D514">
        <f t="shared" si="374"/>
        <v>0.34724671703301779</v>
      </c>
      <c r="F514">
        <f t="shared" si="375"/>
        <v>3.9060756678422105E-5</v>
      </c>
      <c r="G514">
        <f t="shared" si="376"/>
        <v>2.3546438216767822E-3</v>
      </c>
      <c r="H514">
        <f t="shared" si="377"/>
        <v>-3.1392380061783234</v>
      </c>
      <c r="J514">
        <f t="shared" si="378"/>
        <v>15</v>
      </c>
      <c r="M514">
        <f t="shared" si="379"/>
        <v>1.5044991140014406E-4</v>
      </c>
      <c r="N514">
        <f t="shared" si="380"/>
        <v>-1.5707963250000001</v>
      </c>
      <c r="O514">
        <f t="shared" si="381"/>
        <v>1407.7794375608182</v>
      </c>
      <c r="P514">
        <f t="shared" si="382"/>
        <v>1.5700859881882825</v>
      </c>
      <c r="Q514">
        <f t="shared" si="383"/>
        <v>209.4925810943804</v>
      </c>
      <c r="R514">
        <f t="shared" si="384"/>
        <v>1.5660228699381693</v>
      </c>
      <c r="S514">
        <f t="shared" si="385"/>
        <v>0.16669650271329942</v>
      </c>
      <c r="T514">
        <f t="shared" si="386"/>
        <v>-1.4033179882237108</v>
      </c>
      <c r="U514">
        <f t="shared" si="387"/>
        <v>0.15280138199769452</v>
      </c>
      <c r="V514">
        <f t="shared" si="388"/>
        <v>-1.4173940014002191</v>
      </c>
      <c r="X514">
        <f t="shared" si="405"/>
        <v>-63.045833413934211</v>
      </c>
      <c r="Y514">
        <f t="shared" si="389"/>
        <v>-231.89840803062131</v>
      </c>
      <c r="Z514">
        <f t="shared" si="406"/>
        <v>-51.898408030621312</v>
      </c>
      <c r="AC514">
        <v>1</v>
      </c>
      <c r="AD514">
        <f t="shared" si="390"/>
        <v>1407.7790823915</v>
      </c>
      <c r="AE514">
        <f t="shared" si="391"/>
        <v>-2.3882409457550358</v>
      </c>
      <c r="AF514">
        <f t="shared" si="392"/>
        <v>0.36926280008099999</v>
      </c>
      <c r="AG514">
        <f t="shared" si="421"/>
        <v>88.604073583544093</v>
      </c>
      <c r="AH514">
        <f t="shared" si="422"/>
        <v>-575.76305126396528</v>
      </c>
      <c r="AJ514">
        <f t="shared" si="393"/>
        <v>18000</v>
      </c>
      <c r="AK514">
        <f t="shared" si="394"/>
        <v>106469.83154555999</v>
      </c>
      <c r="AL514">
        <v>1</v>
      </c>
      <c r="AM514">
        <f t="shared" si="395"/>
        <v>209.49019436142001</v>
      </c>
      <c r="AN514">
        <f t="shared" si="423"/>
        <v>508.63157006988814</v>
      </c>
      <c r="AO514">
        <f t="shared" si="424"/>
        <v>-83.494926735107114</v>
      </c>
      <c r="AQ514">
        <f t="shared" si="396"/>
        <v>1.1111109876543346E-3</v>
      </c>
      <c r="AR514">
        <f t="shared" si="397"/>
        <v>-3.333332962963004</v>
      </c>
      <c r="AT514">
        <f t="shared" si="418"/>
        <v>-1919.1115086746236</v>
      </c>
      <c r="AU514">
        <f t="shared" si="419"/>
        <v>-295.98661578137188</v>
      </c>
      <c r="AV514">
        <f t="shared" si="407"/>
        <v>-2.9885673334807419</v>
      </c>
      <c r="AW514">
        <f t="shared" si="408"/>
        <v>318.58663448253242</v>
      </c>
      <c r="AX514">
        <f t="shared" si="409"/>
        <v>-2444.4468924079383</v>
      </c>
      <c r="AY514">
        <f t="shared" si="417"/>
        <v>-1.4411960681407638</v>
      </c>
      <c r="BA514">
        <f t="shared" si="398"/>
        <v>0.78771106417354941</v>
      </c>
      <c r="BB514">
        <f t="shared" si="410"/>
        <v>-2.0726610879280578</v>
      </c>
      <c r="BC514">
        <f t="shared" si="411"/>
        <v>-1.547371265339978</v>
      </c>
      <c r="BD514">
        <f t="shared" si="399"/>
        <v>-268.6578429451049</v>
      </c>
      <c r="BF514">
        <f t="shared" si="400"/>
        <v>-66.18147394264362</v>
      </c>
      <c r="BG514">
        <f t="shared" si="401"/>
        <v>-248.62716043321242</v>
      </c>
      <c r="BH514">
        <f t="shared" si="412"/>
        <v>-68.627160433212424</v>
      </c>
      <c r="BI514">
        <f t="shared" si="413"/>
        <v>-68.627160433212424</v>
      </c>
      <c r="BJ514">
        <f t="shared" si="402"/>
        <v>0</v>
      </c>
      <c r="BK514">
        <f t="shared" si="414"/>
        <v>0</v>
      </c>
      <c r="BM514">
        <f t="shared" si="415"/>
        <v>-64.108812854715566</v>
      </c>
      <c r="BN514">
        <f t="shared" si="403"/>
        <v>-159.96931748810749</v>
      </c>
      <c r="BQ514" s="56">
        <f t="shared" si="416"/>
        <v>14.829299712357077</v>
      </c>
    </row>
    <row r="515" spans="1:69" x14ac:dyDescent="0.2">
      <c r="A515">
        <f t="shared" si="420"/>
        <v>1505000</v>
      </c>
      <c r="B515">
        <f t="shared" si="404"/>
        <v>1505</v>
      </c>
      <c r="C515">
        <f t="shared" si="373"/>
        <v>1.0638865396526211</v>
      </c>
      <c r="D515">
        <f t="shared" si="374"/>
        <v>0.34831296549703017</v>
      </c>
      <c r="F515">
        <f t="shared" si="375"/>
        <v>3.8801638458673662E-5</v>
      </c>
      <c r="G515">
        <f t="shared" si="376"/>
        <v>2.3468204995263737E-3</v>
      </c>
      <c r="H515">
        <f t="shared" si="377"/>
        <v>-3.1392458295004739</v>
      </c>
      <c r="J515">
        <f t="shared" si="378"/>
        <v>15</v>
      </c>
      <c r="M515">
        <f t="shared" si="379"/>
        <v>1.4995007780745255E-4</v>
      </c>
      <c r="N515">
        <f t="shared" si="380"/>
        <v>-1.5707963250000001</v>
      </c>
      <c r="O515">
        <f t="shared" si="381"/>
        <v>1412.4720333221589</v>
      </c>
      <c r="P515">
        <f t="shared" si="382"/>
        <v>1.5700883481164183</v>
      </c>
      <c r="Q515">
        <f t="shared" si="383"/>
        <v>210.19087381299627</v>
      </c>
      <c r="R515">
        <f t="shared" si="384"/>
        <v>1.5660387283591206</v>
      </c>
      <c r="S515">
        <f t="shared" si="385"/>
        <v>0.16615800833759087</v>
      </c>
      <c r="T515">
        <f t="shared" si="386"/>
        <v>-1.4038640988095461</v>
      </c>
      <c r="U515">
        <f t="shared" si="387"/>
        <v>0.15230553122653917</v>
      </c>
      <c r="V515">
        <f t="shared" si="388"/>
        <v>-1.4178957247379822</v>
      </c>
      <c r="X515">
        <f t="shared" si="405"/>
        <v>-63.127719993340385</v>
      </c>
      <c r="Y515">
        <f t="shared" si="389"/>
        <v>-231.89675736400065</v>
      </c>
      <c r="Z515">
        <f t="shared" si="406"/>
        <v>-51.896757364000649</v>
      </c>
      <c r="AC515">
        <v>1</v>
      </c>
      <c r="AD515">
        <f t="shared" si="390"/>
        <v>1412.471679332805</v>
      </c>
      <c r="AE515">
        <f t="shared" si="391"/>
        <v>-2.4041890880705781</v>
      </c>
      <c r="AF515">
        <f t="shared" si="392"/>
        <v>0.37049367608126998</v>
      </c>
      <c r="AG515">
        <f t="shared" si="421"/>
        <v>88.029954258175209</v>
      </c>
      <c r="AH515">
        <f t="shared" si="422"/>
        <v>-573.93869093790693</v>
      </c>
      <c r="AJ515">
        <f t="shared" si="393"/>
        <v>18000</v>
      </c>
      <c r="AK515">
        <f t="shared" si="394"/>
        <v>106824.73098404519</v>
      </c>
      <c r="AL515">
        <v>1</v>
      </c>
      <c r="AM515">
        <f t="shared" si="395"/>
        <v>210.18849500929144</v>
      </c>
      <c r="AN515">
        <f t="shared" si="423"/>
        <v>508.62892627329313</v>
      </c>
      <c r="AO515">
        <f t="shared" si="424"/>
        <v>-83.217547530151421</v>
      </c>
      <c r="AQ515">
        <f t="shared" si="396"/>
        <v>1.1037404549905129E-3</v>
      </c>
      <c r="AR515">
        <f t="shared" si="397"/>
        <v>-3.3222587695214436</v>
      </c>
      <c r="AT515">
        <f t="shared" si="418"/>
        <v>-1906.675686914353</v>
      </c>
      <c r="AU515">
        <f t="shared" si="419"/>
        <v>-293.09176686666655</v>
      </c>
      <c r="AV515">
        <f t="shared" si="407"/>
        <v>-2.989067804309959</v>
      </c>
      <c r="AW515">
        <f t="shared" si="408"/>
        <v>319.85803991423148</v>
      </c>
      <c r="AX515">
        <f t="shared" si="409"/>
        <v>-2436.4036154237729</v>
      </c>
      <c r="AY515">
        <f t="shared" si="417"/>
        <v>-1.4402599882152705</v>
      </c>
      <c r="BA515">
        <f t="shared" si="398"/>
        <v>0.78503368317721622</v>
      </c>
      <c r="BB515">
        <f t="shared" si="410"/>
        <v>-2.1022341745429705</v>
      </c>
      <c r="BC515">
        <f t="shared" si="411"/>
        <v>-1.5488078160946885</v>
      </c>
      <c r="BD515">
        <f t="shared" si="399"/>
        <v>-268.74015124050021</v>
      </c>
      <c r="BF515">
        <f t="shared" si="400"/>
        <v>-66.26550141461766</v>
      </c>
      <c r="BG515">
        <f t="shared" si="401"/>
        <v>-248.64882543497922</v>
      </c>
      <c r="BH515">
        <f t="shared" si="412"/>
        <v>-68.648825434979216</v>
      </c>
      <c r="BI515">
        <f t="shared" si="413"/>
        <v>-68.648825434979216</v>
      </c>
      <c r="BJ515">
        <f t="shared" si="402"/>
        <v>0</v>
      </c>
      <c r="BK515">
        <f t="shared" si="414"/>
        <v>0</v>
      </c>
      <c r="BM515">
        <f t="shared" si="415"/>
        <v>-64.163267240074688</v>
      </c>
      <c r="BN515">
        <f t="shared" si="403"/>
        <v>-159.90867419447898</v>
      </c>
      <c r="BQ515" s="56">
        <f t="shared" si="416"/>
        <v>14.799726625742167</v>
      </c>
    </row>
    <row r="516" spans="1:69" x14ac:dyDescent="0.2">
      <c r="A516">
        <f t="shared" si="420"/>
        <v>1510000</v>
      </c>
      <c r="B516">
        <f t="shared" si="404"/>
        <v>1510</v>
      </c>
      <c r="C516">
        <f t="shared" si="373"/>
        <v>1.0642988934886302</v>
      </c>
      <c r="D516">
        <f t="shared" si="374"/>
        <v>0.3493783889531642</v>
      </c>
      <c r="F516">
        <f t="shared" si="375"/>
        <v>3.8545090121166976E-5</v>
      </c>
      <c r="G516">
        <f t="shared" si="376"/>
        <v>2.3390489932411146E-3</v>
      </c>
      <c r="H516">
        <f t="shared" si="377"/>
        <v>-3.1392536010067591</v>
      </c>
      <c r="J516">
        <f t="shared" si="378"/>
        <v>15</v>
      </c>
      <c r="M516">
        <f t="shared" si="379"/>
        <v>1.4945355437100404E-4</v>
      </c>
      <c r="N516">
        <f t="shared" si="380"/>
        <v>-1.5707963250000001</v>
      </c>
      <c r="O516">
        <f t="shared" si="381"/>
        <v>1417.1646290913143</v>
      </c>
      <c r="P516">
        <f t="shared" si="382"/>
        <v>1.5700906924158986</v>
      </c>
      <c r="Q516">
        <f t="shared" si="383"/>
        <v>210.88916658412293</v>
      </c>
      <c r="R516">
        <f t="shared" si="384"/>
        <v>1.5660544817597859</v>
      </c>
      <c r="S516">
        <f t="shared" si="385"/>
        <v>0.16562293293204136</v>
      </c>
      <c r="T516">
        <f t="shared" si="386"/>
        <v>-1.4044066922977199</v>
      </c>
      <c r="U516">
        <f t="shared" si="387"/>
        <v>0.15181285033910122</v>
      </c>
      <c r="V516">
        <f t="shared" si="388"/>
        <v>-1.4183942022317748</v>
      </c>
      <c r="X516">
        <f t="shared" si="405"/>
        <v>-63.209324731336871</v>
      </c>
      <c r="Y516">
        <f t="shared" si="389"/>
        <v>-231.89477042268129</v>
      </c>
      <c r="Z516">
        <f t="shared" si="406"/>
        <v>-51.89477042268129</v>
      </c>
      <c r="AC516">
        <v>1</v>
      </c>
      <c r="AD516">
        <f t="shared" si="390"/>
        <v>1417.1642762741099</v>
      </c>
      <c r="AE516">
        <f t="shared" si="391"/>
        <v>-2.4201903024071365</v>
      </c>
      <c r="AF516">
        <f t="shared" si="392"/>
        <v>0.37172455208153998</v>
      </c>
      <c r="AG516">
        <f t="shared" si="421"/>
        <v>87.461353400619245</v>
      </c>
      <c r="AH516">
        <f t="shared" si="422"/>
        <v>-572.12556486968606</v>
      </c>
      <c r="AJ516">
        <f t="shared" si="393"/>
        <v>18000</v>
      </c>
      <c r="AK516">
        <f t="shared" si="394"/>
        <v>107179.63042253039</v>
      </c>
      <c r="AL516">
        <v>1</v>
      </c>
      <c r="AM516">
        <f t="shared" si="395"/>
        <v>210.88679565716282</v>
      </c>
      <c r="AN516">
        <f t="shared" si="423"/>
        <v>508.62630869528516</v>
      </c>
      <c r="AO516">
        <f t="shared" si="424"/>
        <v>-82.942005149247549</v>
      </c>
      <c r="AQ516">
        <f t="shared" si="396"/>
        <v>1.096443018240097E-3</v>
      </c>
      <c r="AR516">
        <f t="shared" si="397"/>
        <v>-3.3112579150850934</v>
      </c>
      <c r="AT516">
        <f t="shared" si="418"/>
        <v>-1894.359408706976</v>
      </c>
      <c r="AU516">
        <f t="shared" si="419"/>
        <v>-290.23440179301309</v>
      </c>
      <c r="AV516">
        <f t="shared" si="407"/>
        <v>-2.9895650375899567</v>
      </c>
      <c r="AW516">
        <f t="shared" si="408"/>
        <v>321.11666430920849</v>
      </c>
      <c r="AX516">
        <f t="shared" si="409"/>
        <v>-2428.4128625943245</v>
      </c>
      <c r="AY516">
        <f t="shared" si="417"/>
        <v>-1.4393259233448383</v>
      </c>
      <c r="BA516">
        <f t="shared" si="398"/>
        <v>0.78237319730374821</v>
      </c>
      <c r="BB516">
        <f t="shared" si="410"/>
        <v>-2.1317207222431285</v>
      </c>
      <c r="BC516">
        <f t="shared" si="411"/>
        <v>-1.5502391142451184</v>
      </c>
      <c r="BD516">
        <f t="shared" si="399"/>
        <v>-268.82215858383847</v>
      </c>
      <c r="BF516">
        <f t="shared" si="400"/>
        <v>-66.349242020100434</v>
      </c>
      <c r="BG516">
        <f t="shared" si="401"/>
        <v>-248.67023378532804</v>
      </c>
      <c r="BH516">
        <f t="shared" si="412"/>
        <v>-68.670233785328037</v>
      </c>
      <c r="BI516">
        <f t="shared" si="413"/>
        <v>-68.670233785328037</v>
      </c>
      <c r="BJ516">
        <f t="shared" si="402"/>
        <v>0</v>
      </c>
      <c r="BK516">
        <f t="shared" si="414"/>
        <v>0</v>
      </c>
      <c r="BM516">
        <f t="shared" si="415"/>
        <v>-64.217521297857303</v>
      </c>
      <c r="BN516">
        <f t="shared" si="403"/>
        <v>-159.84807520148962</v>
      </c>
      <c r="BQ516" s="56">
        <f t="shared" si="416"/>
        <v>14.770240078042008</v>
      </c>
    </row>
    <row r="517" spans="1:69" x14ac:dyDescent="0.2">
      <c r="A517">
        <f t="shared" si="420"/>
        <v>1515000</v>
      </c>
      <c r="B517">
        <f t="shared" si="404"/>
        <v>1515</v>
      </c>
      <c r="C517">
        <f t="shared" si="373"/>
        <v>1.0647124545026152</v>
      </c>
      <c r="D517">
        <f t="shared" si="374"/>
        <v>0.35044298594260032</v>
      </c>
      <c r="F517">
        <f t="shared" si="375"/>
        <v>3.8291077794073324E-5</v>
      </c>
      <c r="G517">
        <f t="shared" si="376"/>
        <v>2.3313287897166451E-3</v>
      </c>
      <c r="H517">
        <f t="shared" si="377"/>
        <v>-3.1392613212102836</v>
      </c>
      <c r="J517">
        <f t="shared" si="378"/>
        <v>15</v>
      </c>
      <c r="M517">
        <f t="shared" si="379"/>
        <v>1.4896030831697431E-4</v>
      </c>
      <c r="N517">
        <f t="shared" si="380"/>
        <v>-1.5707963250000001</v>
      </c>
      <c r="O517">
        <f t="shared" si="381"/>
        <v>1421.8572248682062</v>
      </c>
      <c r="P517">
        <f t="shared" si="382"/>
        <v>1.5700930212414628</v>
      </c>
      <c r="Q517">
        <f t="shared" si="383"/>
        <v>211.5874594072404</v>
      </c>
      <c r="R517">
        <f t="shared" si="384"/>
        <v>1.566070131179939</v>
      </c>
      <c r="S517">
        <f t="shared" si="385"/>
        <v>0.16509124451321541</v>
      </c>
      <c r="T517">
        <f t="shared" si="386"/>
        <v>-1.4049458022393189</v>
      </c>
      <c r="U517">
        <f t="shared" si="387"/>
        <v>0.15132330940357028</v>
      </c>
      <c r="V517">
        <f t="shared" si="388"/>
        <v>-1.418889465032648</v>
      </c>
      <c r="X517">
        <f t="shared" si="405"/>
        <v>-63.290649366450545</v>
      </c>
      <c r="Y517">
        <f t="shared" si="389"/>
        <v>-231.89245095836489</v>
      </c>
      <c r="Z517">
        <f t="shared" si="406"/>
        <v>-51.89245095836489</v>
      </c>
      <c r="AC517">
        <v>1</v>
      </c>
      <c r="AD517">
        <f t="shared" si="390"/>
        <v>1421.8568732154151</v>
      </c>
      <c r="AE517">
        <f t="shared" si="391"/>
        <v>-2.4362445887647124</v>
      </c>
      <c r="AF517">
        <f t="shared" si="392"/>
        <v>0.37295542808181004</v>
      </c>
      <c r="AG517">
        <f t="shared" si="421"/>
        <v>86.898201074066634</v>
      </c>
      <c r="AH517">
        <f t="shared" si="422"/>
        <v>-570.32357253538783</v>
      </c>
      <c r="AJ517">
        <f t="shared" si="393"/>
        <v>18000</v>
      </c>
      <c r="AK517">
        <f t="shared" si="394"/>
        <v>107534.5298610156</v>
      </c>
      <c r="AL517">
        <v>1</v>
      </c>
      <c r="AM517">
        <f t="shared" si="395"/>
        <v>211.5850963050342</v>
      </c>
      <c r="AN517">
        <f t="shared" si="423"/>
        <v>508.62371699032923</v>
      </c>
      <c r="AO517">
        <f t="shared" si="424"/>
        <v>-82.66828140765179</v>
      </c>
      <c r="AQ517">
        <f t="shared" si="396"/>
        <v>1.0892177140348208E-3</v>
      </c>
      <c r="AR517">
        <f t="shared" si="397"/>
        <v>-3.300329673525507</v>
      </c>
      <c r="AT517">
        <f t="shared" si="418"/>
        <v>-1882.1611588896897</v>
      </c>
      <c r="AU517">
        <f t="shared" si="419"/>
        <v>-287.41391811866532</v>
      </c>
      <c r="AV517">
        <f t="shared" si="407"/>
        <v>-2.9900590643896607</v>
      </c>
      <c r="AW517">
        <f t="shared" si="408"/>
        <v>322.36267885865203</v>
      </c>
      <c r="AX517">
        <f t="shared" si="409"/>
        <v>-2420.4741232115994</v>
      </c>
      <c r="AY517">
        <f t="shared" si="417"/>
        <v>-1.4383938551111479</v>
      </c>
      <c r="BA517">
        <f t="shared" si="398"/>
        <v>0.77972944646037656</v>
      </c>
      <c r="BB517">
        <f t="shared" si="410"/>
        <v>-2.1611212870172385</v>
      </c>
      <c r="BC517">
        <f t="shared" si="411"/>
        <v>-1.5516652092785128</v>
      </c>
      <c r="BD517">
        <f t="shared" si="399"/>
        <v>-268.9038678105299</v>
      </c>
      <c r="BF517">
        <f t="shared" si="400"/>
        <v>-66.432697604979211</v>
      </c>
      <c r="BG517">
        <f t="shared" si="401"/>
        <v>-248.69138843265222</v>
      </c>
      <c r="BH517">
        <f t="shared" si="412"/>
        <v>-68.691388432652218</v>
      </c>
      <c r="BI517">
        <f t="shared" si="413"/>
        <v>-68.691388432652218</v>
      </c>
      <c r="BJ517">
        <f t="shared" si="402"/>
        <v>0</v>
      </c>
      <c r="BK517">
        <f t="shared" si="414"/>
        <v>0</v>
      </c>
      <c r="BM517">
        <f t="shared" si="415"/>
        <v>-64.271576317961973</v>
      </c>
      <c r="BN517">
        <f t="shared" si="403"/>
        <v>-159.78752062212234</v>
      </c>
      <c r="BQ517" s="56">
        <f t="shared" si="416"/>
        <v>14.740839513267899</v>
      </c>
    </row>
    <row r="518" spans="1:69" x14ac:dyDescent="0.2">
      <c r="A518">
        <f>A517+5000</f>
        <v>1520000</v>
      </c>
      <c r="B518">
        <f t="shared" si="404"/>
        <v>1520</v>
      </c>
      <c r="C518">
        <f t="shared" si="373"/>
        <v>1.0651272212884293</v>
      </c>
      <c r="D518">
        <f t="shared" si="374"/>
        <v>0.35150675501627476</v>
      </c>
      <c r="F518">
        <f t="shared" si="375"/>
        <v>3.8039568161788538E-5</v>
      </c>
      <c r="G518">
        <f t="shared" si="376"/>
        <v>2.3236593826012216E-3</v>
      </c>
      <c r="H518">
        <f t="shared" si="377"/>
        <v>-3.1392689906173992</v>
      </c>
      <c r="J518">
        <f t="shared" si="378"/>
        <v>15</v>
      </c>
      <c r="M518">
        <f t="shared" si="379"/>
        <v>1.4847030730277374E-4</v>
      </c>
      <c r="N518">
        <f t="shared" si="380"/>
        <v>-1.5707963250000001</v>
      </c>
      <c r="O518">
        <f t="shared" si="381"/>
        <v>1426.5498206527589</v>
      </c>
      <c r="P518">
        <f t="shared" si="382"/>
        <v>1.5700953347458138</v>
      </c>
      <c r="Q518">
        <f t="shared" si="383"/>
        <v>212.2857522818357</v>
      </c>
      <c r="R518">
        <f t="shared" si="384"/>
        <v>1.5660856776456726</v>
      </c>
      <c r="S518">
        <f t="shared" si="385"/>
        <v>0.16456291148919502</v>
      </c>
      <c r="T518">
        <f t="shared" si="386"/>
        <v>-1.4054814617641016</v>
      </c>
      <c r="U518">
        <f t="shared" si="387"/>
        <v>0.1508368788590099</v>
      </c>
      <c r="V518">
        <f t="shared" si="388"/>
        <v>-1.4193815438974655</v>
      </c>
      <c r="X518">
        <f t="shared" si="405"/>
        <v>-63.371695621387346</v>
      </c>
      <c r="Y518">
        <f t="shared" si="389"/>
        <v>-231.88980267598248</v>
      </c>
      <c r="Z518">
        <f t="shared" si="406"/>
        <v>-51.88980267598248</v>
      </c>
      <c r="AC518">
        <v>1</v>
      </c>
      <c r="AD518">
        <f t="shared" si="390"/>
        <v>1426.54947015672</v>
      </c>
      <c r="AE518">
        <f t="shared" si="391"/>
        <v>-2.4523519471433044</v>
      </c>
      <c r="AF518">
        <f t="shared" si="392"/>
        <v>0.37418630408208003</v>
      </c>
      <c r="AG518">
        <f t="shared" si="421"/>
        <v>86.340428437061803</v>
      </c>
      <c r="AH518">
        <f t="shared" si="422"/>
        <v>-568.53261456664768</v>
      </c>
      <c r="AJ518">
        <f t="shared" si="393"/>
        <v>18000</v>
      </c>
      <c r="AK518">
        <f t="shared" si="394"/>
        <v>107889.4292995008</v>
      </c>
      <c r="AL518">
        <v>1</v>
      </c>
      <c r="AM518">
        <f t="shared" si="395"/>
        <v>212.28339695290563</v>
      </c>
      <c r="AN518">
        <f t="shared" si="423"/>
        <v>508.62115081856291</v>
      </c>
      <c r="AO518">
        <f t="shared" si="424"/>
        <v>-82.396358359866653</v>
      </c>
      <c r="AQ518">
        <f t="shared" si="396"/>
        <v>1.0820635948251822E-3</v>
      </c>
      <c r="AR518">
        <f t="shared" si="397"/>
        <v>-3.2894733282685542</v>
      </c>
      <c r="AT518">
        <f t="shared" si="418"/>
        <v>-1870.0794460334002</v>
      </c>
      <c r="AU518">
        <f t="shared" si="419"/>
        <v>-284.62972493968795</v>
      </c>
      <c r="AV518">
        <f t="shared" si="407"/>
        <v>-2.9905499153848885</v>
      </c>
      <c r="AW518">
        <f t="shared" si="408"/>
        <v>323.59625189068197</v>
      </c>
      <c r="AX518">
        <f t="shared" si="409"/>
        <v>-2412.5868931426648</v>
      </c>
      <c r="AY518">
        <f t="shared" si="417"/>
        <v>-1.4374637653575331</v>
      </c>
      <c r="BA518">
        <f t="shared" si="398"/>
        <v>0.77710227255093711</v>
      </c>
      <c r="BB518">
        <f t="shared" si="410"/>
        <v>-2.1904364198214537</v>
      </c>
      <c r="BC518">
        <f t="shared" si="411"/>
        <v>-1.5530861500273554</v>
      </c>
      <c r="BD518">
        <f t="shared" si="399"/>
        <v>-268.98528171846976</v>
      </c>
      <c r="BF518">
        <f t="shared" si="400"/>
        <v>-66.515869997588069</v>
      </c>
      <c r="BG518">
        <f t="shared" si="401"/>
        <v>-248.71229228688392</v>
      </c>
      <c r="BH518">
        <f t="shared" si="412"/>
        <v>-68.712292286883923</v>
      </c>
      <c r="BI518">
        <f t="shared" si="413"/>
        <v>-68.712292286883923</v>
      </c>
      <c r="BJ518">
        <f t="shared" si="402"/>
        <v>0</v>
      </c>
      <c r="BK518">
        <f t="shared" si="414"/>
        <v>0</v>
      </c>
      <c r="BM518">
        <f t="shared" si="415"/>
        <v>-64.325433577766617</v>
      </c>
      <c r="BN518">
        <f t="shared" si="403"/>
        <v>-159.72701056841419</v>
      </c>
      <c r="BQ518" s="56">
        <f t="shared" si="416"/>
        <v>14.711524380463683</v>
      </c>
    </row>
    <row r="519" spans="1:69" x14ac:dyDescent="0.2">
      <c r="A519">
        <f t="shared" si="420"/>
        <v>1525000</v>
      </c>
      <c r="B519">
        <f t="shared" si="404"/>
        <v>1525</v>
      </c>
      <c r="C519">
        <f t="shared" si="373"/>
        <v>1.0655431924380188</v>
      </c>
      <c r="D519">
        <f t="shared" si="374"/>
        <v>0.35256969473487165</v>
      </c>
      <c r="F519">
        <f t="shared" si="375"/>
        <v>3.7790528454007979E-5</v>
      </c>
      <c r="G519">
        <f t="shared" si="376"/>
        <v>2.3160402721849964E-3</v>
      </c>
      <c r="H519">
        <f t="shared" si="377"/>
        <v>-3.1392766097278151</v>
      </c>
      <c r="J519">
        <f t="shared" si="378"/>
        <v>15</v>
      </c>
      <c r="M519">
        <f t="shared" si="379"/>
        <v>1.4798351940997778E-4</v>
      </c>
      <c r="N519">
        <f t="shared" si="380"/>
        <v>-1.5707963250000001</v>
      </c>
      <c r="O519">
        <f t="shared" si="381"/>
        <v>1431.2424164448969</v>
      </c>
      <c r="P519">
        <f t="shared" si="382"/>
        <v>1.5700976330796517</v>
      </c>
      <c r="Q519">
        <f t="shared" si="383"/>
        <v>212.9840452074024</v>
      </c>
      <c r="R519">
        <f t="shared" si="384"/>
        <v>1.5661011221696235</v>
      </c>
      <c r="S519">
        <f t="shared" si="385"/>
        <v>0.16403790265370763</v>
      </c>
      <c r="T519">
        <f t="shared" si="386"/>
        <v>-1.4060137035870248</v>
      </c>
      <c r="U519">
        <f t="shared" si="387"/>
        <v>0.15035352950970907</v>
      </c>
      <c r="V519">
        <f t="shared" si="388"/>
        <v>-1.4198704691950674</v>
      </c>
      <c r="X519">
        <f t="shared" si="405"/>
        <v>-63.452465203222403</v>
      </c>
      <c r="Y519">
        <f t="shared" si="389"/>
        <v>-231.88682923441291</v>
      </c>
      <c r="Z519">
        <f t="shared" si="406"/>
        <v>-51.886829234412915</v>
      </c>
      <c r="AC519">
        <v>1</v>
      </c>
      <c r="AD519">
        <f t="shared" si="390"/>
        <v>1431.242067098025</v>
      </c>
      <c r="AE519">
        <f t="shared" si="391"/>
        <v>-2.4685123775429134</v>
      </c>
      <c r="AF519">
        <f t="shared" si="392"/>
        <v>0.37541718008235003</v>
      </c>
      <c r="AG519">
        <f t="shared" si="421"/>
        <v>85.787967723155319</v>
      </c>
      <c r="AH519">
        <f t="shared" si="422"/>
        <v>-566.75259273480435</v>
      </c>
      <c r="AJ519">
        <f t="shared" si="393"/>
        <v>18000</v>
      </c>
      <c r="AK519">
        <f t="shared" si="394"/>
        <v>108244.328737986</v>
      </c>
      <c r="AL519">
        <v>1</v>
      </c>
      <c r="AM519">
        <f t="shared" si="395"/>
        <v>212.98169760077701</v>
      </c>
      <c r="AN519">
        <f t="shared" si="423"/>
        <v>508.6186098456871</v>
      </c>
      <c r="AO519">
        <f t="shared" si="424"/>
        <v>-82.126218295719397</v>
      </c>
      <c r="AQ519">
        <f t="shared" si="396"/>
        <v>1.0749797285697685E-3</v>
      </c>
      <c r="AR519">
        <f t="shared" si="397"/>
        <v>-3.2786881721377941</v>
      </c>
      <c r="AT519">
        <f t="shared" si="418"/>
        <v>-1858.1128020017738</v>
      </c>
      <c r="AU519">
        <f t="shared" si="419"/>
        <v>-281.88124263395247</v>
      </c>
      <c r="AV519">
        <f t="shared" si="407"/>
        <v>-2.9910376208644984</v>
      </c>
      <c r="AW519">
        <f t="shared" si="408"/>
        <v>324.81754892772432</v>
      </c>
      <c r="AX519">
        <f t="shared" si="409"/>
        <v>-2404.7506747245316</v>
      </c>
      <c r="AY519">
        <f t="shared" si="417"/>
        <v>-1.4365356361844299</v>
      </c>
      <c r="BA519">
        <f t="shared" si="398"/>
        <v>0.77449151944530914</v>
      </c>
      <c r="BB519">
        <f t="shared" si="410"/>
        <v>-2.2196666666370168</v>
      </c>
      <c r="BC519">
        <f t="shared" si="411"/>
        <v>-1.5545019846800685</v>
      </c>
      <c r="BD519">
        <f t="shared" si="399"/>
        <v>-269.06640306865131</v>
      </c>
      <c r="BF519">
        <f t="shared" si="400"/>
        <v>-66.598761008929841</v>
      </c>
      <c r="BG519">
        <f t="shared" si="401"/>
        <v>-248.73294822011439</v>
      </c>
      <c r="BH519">
        <f t="shared" si="412"/>
        <v>-68.732948220114395</v>
      </c>
      <c r="BI519">
        <f t="shared" si="413"/>
        <v>-68.732948220114395</v>
      </c>
      <c r="BJ519">
        <f t="shared" si="402"/>
        <v>0</v>
      </c>
      <c r="BK519">
        <f t="shared" si="414"/>
        <v>0</v>
      </c>
      <c r="BM519">
        <f t="shared" si="415"/>
        <v>-64.379094342292817</v>
      </c>
      <c r="BN519">
        <f t="shared" si="403"/>
        <v>-159.66654515146314</v>
      </c>
      <c r="BQ519" s="56">
        <f t="shared" si="416"/>
        <v>14.682294133648119</v>
      </c>
    </row>
    <row r="520" spans="1:69" x14ac:dyDescent="0.2">
      <c r="A520">
        <f t="shared" si="420"/>
        <v>1530000</v>
      </c>
      <c r="B520">
        <f t="shared" si="404"/>
        <v>1530</v>
      </c>
      <c r="C520">
        <f t="shared" si="373"/>
        <v>1.0659603665414417</v>
      </c>
      <c r="D520">
        <f t="shared" si="374"/>
        <v>0.35363180366881491</v>
      </c>
      <c r="F520">
        <f t="shared" si="375"/>
        <v>3.7543926435050937E-5</v>
      </c>
      <c r="G520">
        <f t="shared" si="376"/>
        <v>2.3084709652914617E-3</v>
      </c>
      <c r="H520">
        <f t="shared" si="377"/>
        <v>-3.1392841790347088</v>
      </c>
      <c r="J520">
        <f t="shared" si="378"/>
        <v>15</v>
      </c>
      <c r="M520">
        <f t="shared" si="379"/>
        <v>1.4749991313739615E-4</v>
      </c>
      <c r="N520">
        <f t="shared" si="380"/>
        <v>-1.5707963250000001</v>
      </c>
      <c r="O520">
        <f t="shared" si="381"/>
        <v>1435.9350122445458</v>
      </c>
      <c r="P520">
        <f t="shared" si="382"/>
        <v>1.5700999163917071</v>
      </c>
      <c r="Q520">
        <f t="shared" si="383"/>
        <v>213.68233818344086</v>
      </c>
      <c r="R520">
        <f t="shared" si="384"/>
        <v>1.5661164657511912</v>
      </c>
      <c r="S520">
        <f t="shared" si="385"/>
        <v>0.16351618718035782</v>
      </c>
      <c r="T520">
        <f t="shared" si="386"/>
        <v>-1.4065425600146526</v>
      </c>
      <c r="U520">
        <f t="shared" si="387"/>
        <v>0.14987323251963539</v>
      </c>
      <c r="V520">
        <f t="shared" si="388"/>
        <v>-1.4203562709123223</v>
      </c>
      <c r="X520">
        <f t="shared" si="405"/>
        <v>-63.532959803587246</v>
      </c>
      <c r="Y520">
        <f t="shared" si="389"/>
        <v>-231.88353424718971</v>
      </c>
      <c r="Z520">
        <f t="shared" si="406"/>
        <v>-51.883534247189715</v>
      </c>
      <c r="AC520">
        <v>1</v>
      </c>
      <c r="AD520">
        <f t="shared" si="390"/>
        <v>1435.9346640393298</v>
      </c>
      <c r="AE520">
        <f t="shared" si="391"/>
        <v>-2.4847258799635394</v>
      </c>
      <c r="AF520">
        <f t="shared" si="392"/>
        <v>0.37664805608261998</v>
      </c>
      <c r="AG520">
        <f t="shared" si="421"/>
        <v>85.240752220991936</v>
      </c>
      <c r="AH520">
        <f t="shared" si="422"/>
        <v>-564.98340993529337</v>
      </c>
      <c r="AJ520">
        <f t="shared" si="393"/>
        <v>18000</v>
      </c>
      <c r="AK520">
        <f t="shared" si="394"/>
        <v>108599.22817647121</v>
      </c>
      <c r="AL520">
        <v>1</v>
      </c>
      <c r="AM520">
        <f t="shared" si="395"/>
        <v>213.67999824864842</v>
      </c>
      <c r="AN520">
        <f t="shared" si="423"/>
        <v>508.61609374285536</v>
      </c>
      <c r="AO520">
        <f t="shared" si="424"/>
        <v>-81.857843736517253</v>
      </c>
      <c r="AQ520">
        <f t="shared" si="396"/>
        <v>1.0679651984316718E-3</v>
      </c>
      <c r="AR520">
        <f t="shared" si="397"/>
        <v>-3.2679735072009155</v>
      </c>
      <c r="AT520">
        <f t="shared" si="418"/>
        <v>-1846.259781519713</v>
      </c>
      <c r="AU520">
        <f t="shared" si="419"/>
        <v>-279.16790261158138</v>
      </c>
      <c r="AV520">
        <f t="shared" si="407"/>
        <v>-2.991522210736421</v>
      </c>
      <c r="AW520">
        <f t="shared" si="408"/>
        <v>326.02673274254494</v>
      </c>
      <c r="AX520">
        <f t="shared" si="409"/>
        <v>-2396.9649766610178</v>
      </c>
      <c r="AY520">
        <f t="shared" si="417"/>
        <v>-1.4356094499449192</v>
      </c>
      <c r="BA520">
        <f t="shared" si="398"/>
        <v>0.77189703294940637</v>
      </c>
      <c r="BB520">
        <f t="shared" si="410"/>
        <v>-2.2488125685270868</v>
      </c>
      <c r="BC520">
        <f t="shared" si="411"/>
        <v>-1.5559127607915018</v>
      </c>
      <c r="BD520">
        <f t="shared" si="399"/>
        <v>-269.14723458576668</v>
      </c>
      <c r="BF520">
        <f t="shared" si="400"/>
        <v>-66.681372432894577</v>
      </c>
      <c r="BG520">
        <f t="shared" si="401"/>
        <v>-248.7533590672015</v>
      </c>
      <c r="BH520">
        <f t="shared" si="412"/>
        <v>-68.753359067201501</v>
      </c>
      <c r="BI520">
        <f t="shared" si="413"/>
        <v>-68.753359067201501</v>
      </c>
      <c r="BJ520">
        <f t="shared" si="402"/>
        <v>0</v>
      </c>
      <c r="BK520">
        <f t="shared" si="414"/>
        <v>0</v>
      </c>
      <c r="BM520">
        <f t="shared" si="415"/>
        <v>-64.432559864367491</v>
      </c>
      <c r="BN520">
        <f t="shared" si="403"/>
        <v>-159.60612448143488</v>
      </c>
      <c r="BQ520" s="56">
        <f t="shared" si="416"/>
        <v>14.653148231758051</v>
      </c>
    </row>
    <row r="521" spans="1:69" x14ac:dyDescent="0.2">
      <c r="A521">
        <f t="shared" si="420"/>
        <v>1535000</v>
      </c>
      <c r="B521">
        <f t="shared" si="404"/>
        <v>1535</v>
      </c>
      <c r="C521">
        <f t="shared" ref="C521:C584" si="425">SQRT((A521/Fesr)^2+1)</f>
        <v>1.0663787421868891</v>
      </c>
      <c r="D521">
        <f t="shared" ref="D521:D584" si="426">ATAN(A521/Fesr)</f>
        <v>0.3546930803982597</v>
      </c>
      <c r="F521">
        <f t="shared" ref="F521:F584" si="427">(Ro/(Ro+Rdcr))/SQRT((A521/(Q*Fo))^2+(1-(A521^2/Fo^2))^2)</f>
        <v>3.7299730393428264E-5</v>
      </c>
      <c r="G521">
        <f t="shared" ref="G521:G584" si="428">-ATAN(A521*Fo/(Q*(Fo^2-A521^2)))</f>
        <v>2.3009509751710251E-3</v>
      </c>
      <c r="H521">
        <f t="shared" ref="H521:H584" si="429">IF(G521&gt;0,G521-Pi,G521)</f>
        <v>-3.1392916990248292</v>
      </c>
      <c r="J521">
        <f t="shared" ref="J521:J584" si="430">Vin/Vramp</f>
        <v>15</v>
      </c>
      <c r="M521">
        <f t="shared" ref="M521:M584" si="431">1/(2*Pi*_Rfb1*(Cc1ea_u+Cc2ea_u)*A521)</f>
        <v>1.4701945739427759E-4</v>
      </c>
      <c r="N521">
        <f t="shared" ref="N521:N584" si="432">-Pi/2</f>
        <v>-1.5707963250000001</v>
      </c>
      <c r="O521">
        <f t="shared" ref="O521:O584" si="433">SQRT(1+(A521/Fz1_u)^2)</f>
        <v>1440.627608051632</v>
      </c>
      <c r="P521">
        <f t="shared" ref="P521:P584" si="434">ATAN2(Fz1_u,A521)</f>
        <v>1.5701021848287726</v>
      </c>
      <c r="Q521">
        <f t="shared" ref="Q521:Q584" si="435">SQRT(1+(A521/Fz2_u)^2)</f>
        <v>214.38063120945787</v>
      </c>
      <c r="R521">
        <f t="shared" ref="R521:R584" si="436">ATAN2(Fz2_u,A521)</f>
        <v>1.5661317093767551</v>
      </c>
      <c r="S521">
        <f t="shared" ref="S521:S584" si="437">1/SQRT(1+(A521/Fp1_u)^2)</f>
        <v>0.16299773461696013</v>
      </c>
      <c r="T521">
        <f t="shared" ref="T521:T584" si="438">-ATAN2(Fp1_u,A521)</f>
        <v>-1.4070680629514474</v>
      </c>
      <c r="U521">
        <f t="shared" ref="U521:U584" si="439">1/SQRT(1+(A521/Fp2_u)^2)</f>
        <v>0.14939595940698719</v>
      </c>
      <c r="V521">
        <f t="shared" ref="V521:V584" si="440">-ATAN2(Fp2_u,A521)</f>
        <v>-1.4208389786600637</v>
      </c>
      <c r="X521">
        <f t="shared" si="405"/>
        <v>-63.61318109885444</v>
      </c>
      <c r="Y521">
        <f t="shared" ref="Y521:Y584" si="441">(180/Pi)*(D521+H521+N521+P521+R521+T521+V521)</f>
        <v>-231.87992128319354</v>
      </c>
      <c r="Z521">
        <f t="shared" si="406"/>
        <v>-51.879921283193539</v>
      </c>
      <c r="AC521">
        <v>1</v>
      </c>
      <c r="AD521">
        <f t="shared" ref="AD521:AD584" si="442">Rcea1_u*Cc1ea_u*A521*2*Pi</f>
        <v>1440.6272609806349</v>
      </c>
      <c r="AE521">
        <f t="shared" ref="AE521:AE584" si="443">-Rcea1_u*Cc1ea_u*Cc2ea_u*(A521*2*Pi)^2</f>
        <v>-2.5009924544051825</v>
      </c>
      <c r="AF521">
        <f t="shared" ref="AF521:AF584" si="444">(Cc2ea_u+Cc1ea_u)*A521*2*Pi</f>
        <v>0.37787893208288997</v>
      </c>
      <c r="AG521">
        <f t="shared" si="421"/>
        <v>84.698716254824163</v>
      </c>
      <c r="AH521">
        <f t="shared" si="422"/>
        <v>-563.22497017228557</v>
      </c>
      <c r="AJ521">
        <f t="shared" ref="AJ521:AJ584" si="445">_Rfb1</f>
        <v>18000</v>
      </c>
      <c r="AK521">
        <f t="shared" ref="AK521:AK584" si="446">_Rfb1*Rcea2_u*Cc3ea_u*A521*2*Pi</f>
        <v>108954.12761495641</v>
      </c>
      <c r="AL521">
        <v>1</v>
      </c>
      <c r="AM521">
        <f t="shared" ref="AM521:AM584" si="447">(_Rfb1+Rcea2_u)*Cc3ea_u*A521*2*Pi</f>
        <v>214.37829889651982</v>
      </c>
      <c r="AN521">
        <f t="shared" si="423"/>
        <v>508.6136021865679</v>
      </c>
      <c r="AO521">
        <f t="shared" si="424"/>
        <v>-81.591217431277897</v>
      </c>
      <c r="AQ521">
        <f t="shared" ref="AQ521:AQ584" si="448">Eadcg/(1+(Eadcg*A521/GBP)^2)</f>
        <v>1.0610191024818191E-3</v>
      </c>
      <c r="AR521">
        <f t="shared" ref="AR521:AR584" si="449">-(A521*Eadcg*Eadcg/GBP)/(1+(Eadcg*A521/GBP)^2)</f>
        <v>-3.2573286446191849</v>
      </c>
      <c r="AT521">
        <f t="shared" si="418"/>
        <v>-1834.5189617510696</v>
      </c>
      <c r="AU521">
        <f t="shared" si="419"/>
        <v>-276.48914707165886</v>
      </c>
      <c r="AV521">
        <f t="shared" si="407"/>
        <v>-2.9920037145335816</v>
      </c>
      <c r="AW521">
        <f t="shared" si="408"/>
        <v>327.2239634129819</v>
      </c>
      <c r="AX521">
        <f t="shared" si="409"/>
        <v>-2389.2293139215963</v>
      </c>
      <c r="AY521">
        <f t="shared" si="417"/>
        <v>-1.4346851892403611</v>
      </c>
      <c r="BA521">
        <f t="shared" ref="BA521:BA584" si="450">SQRT(AT521^2+AU521^2)/SQRT(AW521^2+AX521^2)</f>
        <v>0.76931866077570443</v>
      </c>
      <c r="BB521">
        <f t="shared" si="410"/>
        <v>-2.2778746616928331</v>
      </c>
      <c r="BC521">
        <f t="shared" si="411"/>
        <v>-1.5573185252932205</v>
      </c>
      <c r="BD521">
        <f t="shared" ref="BD521:BD584" si="451">BC521*180/Pi-180</f>
        <v>-269.22777895879648</v>
      </c>
      <c r="BF521">
        <f t="shared" ref="BF521:BF584" si="452">20*LOG(BA521*J521*F521*C521)</f>
        <v>-66.76370604647461</v>
      </c>
      <c r="BG521">
        <f t="shared" ref="BG521:BG584" si="453">(180/Pi)*(D521+H521+BC521)</f>
        <v>-248.77352762636562</v>
      </c>
      <c r="BH521">
        <f t="shared" si="412"/>
        <v>-68.77352762636562</v>
      </c>
      <c r="BI521">
        <f t="shared" si="413"/>
        <v>-68.77352762636562</v>
      </c>
      <c r="BJ521">
        <f t="shared" ref="BJ521:BJ584" si="454">SUM((BF522&lt;0)*(BF521&gt;0))*A521</f>
        <v>0</v>
      </c>
      <c r="BK521">
        <f t="shared" si="414"/>
        <v>0</v>
      </c>
      <c r="BM521">
        <f t="shared" si="415"/>
        <v>-64.485831384781761</v>
      </c>
      <c r="BN521">
        <f t="shared" ref="BN521:BN584" si="455">(H521+D521)*180/Pi</f>
        <v>-159.54574866756911</v>
      </c>
      <c r="BQ521" s="56">
        <f t="shared" si="416"/>
        <v>14.624086138592302</v>
      </c>
    </row>
    <row r="522" spans="1:69" x14ac:dyDescent="0.2">
      <c r="A522">
        <f t="shared" si="420"/>
        <v>1540000</v>
      </c>
      <c r="B522">
        <f t="shared" ref="B522:B585" si="456">A522/1000</f>
        <v>1540</v>
      </c>
      <c r="C522">
        <f t="shared" si="425"/>
        <v>1.0667983179607028</v>
      </c>
      <c r="D522">
        <f t="shared" si="426"/>
        <v>0.35575352351308381</v>
      </c>
      <c r="F522">
        <f t="shared" si="427"/>
        <v>3.7057909131646512E-5</v>
      </c>
      <c r="G522">
        <f t="shared" si="428"/>
        <v>2.2934798213966505E-3</v>
      </c>
      <c r="H522">
        <f t="shared" si="429"/>
        <v>-3.1392991701786035</v>
      </c>
      <c r="J522">
        <f t="shared" si="430"/>
        <v>15</v>
      </c>
      <c r="M522">
        <f t="shared" si="431"/>
        <v>1.4654212149364682E-4</v>
      </c>
      <c r="N522">
        <f t="shared" si="432"/>
        <v>-1.5707963250000001</v>
      </c>
      <c r="O522">
        <f t="shared" si="433"/>
        <v>1445.3202038660834</v>
      </c>
      <c r="P522">
        <f t="shared" si="434"/>
        <v>1.5701044385357343</v>
      </c>
      <c r="Q522">
        <f t="shared" si="435"/>
        <v>215.07892428496669</v>
      </c>
      <c r="R522">
        <f t="shared" si="436"/>
        <v>1.5661468540198842</v>
      </c>
      <c r="S522">
        <f t="shared" si="437"/>
        <v>0.1624825148799712</v>
      </c>
      <c r="T522">
        <f t="shared" si="438"/>
        <v>-1.4075902439059451</v>
      </c>
      <c r="U522">
        <f t="shared" si="439"/>
        <v>0.14892168203884343</v>
      </c>
      <c r="V522">
        <f t="shared" si="440"/>
        <v>-1.4213186216789202</v>
      </c>
      <c r="X522">
        <f t="shared" ref="X522:X585" si="457">20*LOG(C522*J522*O522*Q522*F522*M522*S522*U522)</f>
        <v>-63.693130750319334</v>
      </c>
      <c r="Y522">
        <f t="shared" si="441"/>
        <v>-231.8759938673328</v>
      </c>
      <c r="Z522">
        <f t="shared" ref="Z522:Z585" si="458">Y522+180</f>
        <v>-51.875993867332795</v>
      </c>
      <c r="AC522">
        <v>1</v>
      </c>
      <c r="AD522">
        <f t="shared" si="442"/>
        <v>1445.31985792194</v>
      </c>
      <c r="AE522">
        <f t="shared" si="443"/>
        <v>-2.5173121008678403</v>
      </c>
      <c r="AF522">
        <f t="shared" si="444"/>
        <v>0.37910980808315997</v>
      </c>
      <c r="AG522">
        <f t="shared" si="421"/>
        <v>84.161795165440196</v>
      </c>
      <c r="AH522">
        <f t="shared" si="422"/>
        <v>-561.47717854355972</v>
      </c>
      <c r="AJ522">
        <f t="shared" si="445"/>
        <v>18000</v>
      </c>
      <c r="AK522">
        <f t="shared" si="446"/>
        <v>109309.0270534416</v>
      </c>
      <c r="AL522">
        <v>1</v>
      </c>
      <c r="AM522">
        <f t="shared" si="447"/>
        <v>215.07659954439123</v>
      </c>
      <c r="AN522">
        <f t="shared" si="423"/>
        <v>508.61113485856816</v>
      </c>
      <c r="AO522">
        <f t="shared" si="424"/>
        <v>-81.326322353033362</v>
      </c>
      <c r="AQ522">
        <f t="shared" si="448"/>
        <v>1.0541405534090326E-3</v>
      </c>
      <c r="AR522">
        <f t="shared" si="449"/>
        <v>-3.2467529044998202</v>
      </c>
      <c r="AT522">
        <f t="shared" si="418"/>
        <v>-1822.888941885335</v>
      </c>
      <c r="AU522">
        <f t="shared" si="419"/>
        <v>-273.84442876502834</v>
      </c>
      <c r="AV522">
        <f t="shared" ref="AV522:AV585" si="459">ATAN2(AT522,AU522)</f>
        <v>-2.9924821614197121</v>
      </c>
      <c r="AW522">
        <f t="shared" ref="AW522:AW585" si="460">AG522-AH522*AO522/_Rfb2+AG522*AN522/_Rfb2+AN522-AO522*AR522+AQ522*AN522</f>
        <v>328.4093983754085</v>
      </c>
      <c r="AX522">
        <f t="shared" ref="AX522:AX585" si="461">AH522+AH522*AN522/_Rfb2+AG522*AO522/_Rfb2+AO522+AO522*AQ522+AN522*AR522</f>
        <v>-2381.5432076421444</v>
      </c>
      <c r="AY522">
        <f t="shared" si="417"/>
        <v>-1.4337628369161204</v>
      </c>
      <c r="BA522">
        <f t="shared" si="450"/>
        <v>0.76675625251429724</v>
      </c>
      <c r="BB522">
        <f t="shared" ref="BB522:BB585" si="462">20*LOG(BA522)</f>
        <v>-2.3068534775287546</v>
      </c>
      <c r="BC522">
        <f t="shared" ref="BC522:BC585" si="463">AV522-AY522</f>
        <v>-1.5587193245035917</v>
      </c>
      <c r="BD522">
        <f t="shared" si="451"/>
        <v>-269.30803884158775</v>
      </c>
      <c r="BF522">
        <f t="shared" si="452"/>
        <v>-66.84576360997626</v>
      </c>
      <c r="BG522">
        <f t="shared" si="453"/>
        <v>-248.79345665977414</v>
      </c>
      <c r="BH522">
        <f t="shared" ref="BH522:BH585" si="464">IF(BG522&gt;180,BG522-180,BG522+180)</f>
        <v>-68.793456659774137</v>
      </c>
      <c r="BI522">
        <f t="shared" ref="BI522:BI585" si="465">IF(BH522&gt;180,BH522-360,BH522)</f>
        <v>-68.793456659774137</v>
      </c>
      <c r="BJ522">
        <f t="shared" si="454"/>
        <v>0</v>
      </c>
      <c r="BK522">
        <f t="shared" ref="BK522:BK585" si="466">IF(BJ522&gt;0,BI522,0)</f>
        <v>0</v>
      </c>
      <c r="BM522">
        <f t="shared" ref="BM522:BM585" si="467">20*LOG(J522*F522*C522)</f>
        <v>-64.538910132447512</v>
      </c>
      <c r="BN522">
        <f t="shared" si="455"/>
        <v>-159.48541781818642</v>
      </c>
      <c r="BQ522" s="56">
        <f t="shared" ref="BQ522:BQ585" si="468">20*LOG(BA522*7)</f>
        <v>14.595107322756382</v>
      </c>
    </row>
    <row r="523" spans="1:69" x14ac:dyDescent="0.2">
      <c r="A523">
        <f t="shared" si="420"/>
        <v>1545000</v>
      </c>
      <c r="B523">
        <f t="shared" si="456"/>
        <v>1545</v>
      </c>
      <c r="C523">
        <f t="shared" si="425"/>
        <v>1.0672190924473965</v>
      </c>
      <c r="D523">
        <f t="shared" si="426"/>
        <v>0.35681313161287898</v>
      </c>
      <c r="F523">
        <f t="shared" si="427"/>
        <v>3.6818431956242902E-5</v>
      </c>
      <c r="G523">
        <f t="shared" si="428"/>
        <v>2.2860570297615315E-3</v>
      </c>
      <c r="H523">
        <f t="shared" si="429"/>
        <v>-3.1393065929702386</v>
      </c>
      <c r="J523">
        <f t="shared" si="430"/>
        <v>15</v>
      </c>
      <c r="M523">
        <f t="shared" si="431"/>
        <v>1.4606787514577095E-4</v>
      </c>
      <c r="N523">
        <f t="shared" si="432"/>
        <v>-1.5707963250000001</v>
      </c>
      <c r="O523">
        <f t="shared" si="433"/>
        <v>1450.0127996878284</v>
      </c>
      <c r="P523">
        <f t="shared" si="434"/>
        <v>1.5701066776556032</v>
      </c>
      <c r="Q523">
        <f t="shared" si="435"/>
        <v>215.77721740948672</v>
      </c>
      <c r="R523">
        <f t="shared" si="436"/>
        <v>1.5661619006415453</v>
      </c>
      <c r="S523">
        <f t="shared" si="437"/>
        <v>0.16197049824901921</v>
      </c>
      <c r="T523">
        <f t="shared" si="438"/>
        <v>-1.4081091339968204</v>
      </c>
      <c r="U523">
        <f t="shared" si="439"/>
        <v>0.14845037262590829</v>
      </c>
      <c r="V523">
        <f t="shared" si="440"/>
        <v>-1.4217952288450366</v>
      </c>
      <c r="X523">
        <f t="shared" si="457"/>
        <v>-63.7728104043793</v>
      </c>
      <c r="Y523">
        <f t="shared" si="441"/>
        <v>-231.87175548121181</v>
      </c>
      <c r="Z523">
        <f t="shared" si="458"/>
        <v>-51.871755481211807</v>
      </c>
      <c r="AC523">
        <v>1</v>
      </c>
      <c r="AD523">
        <f t="shared" si="442"/>
        <v>1450.012454863245</v>
      </c>
      <c r="AE523">
        <f t="shared" si="443"/>
        <v>-2.5336848193515169</v>
      </c>
      <c r="AF523">
        <f t="shared" si="444"/>
        <v>0.38034068408343003</v>
      </c>
      <c r="AG523">
        <f t="shared" si="421"/>
        <v>83.629925291496562</v>
      </c>
      <c r="AH523">
        <f t="shared" si="422"/>
        <v>-559.73994122560714</v>
      </c>
      <c r="AJ523">
        <f t="shared" si="445"/>
        <v>18000</v>
      </c>
      <c r="AK523">
        <f t="shared" si="446"/>
        <v>109663.92649192682</v>
      </c>
      <c r="AL523">
        <v>1</v>
      </c>
      <c r="AM523">
        <f t="shared" si="447"/>
        <v>215.77490019226261</v>
      </c>
      <c r="AN523">
        <f t="shared" si="423"/>
        <v>508.60869144574082</v>
      </c>
      <c r="AO523">
        <f t="shared" si="424"/>
        <v>-81.063141695205729</v>
      </c>
      <c r="AQ523">
        <f t="shared" si="448"/>
        <v>1.0473286782366462E-3</v>
      </c>
      <c r="AR523">
        <f t="shared" si="449"/>
        <v>-3.2362456157512369</v>
      </c>
      <c r="AT523">
        <f t="shared" si="418"/>
        <v>-1811.3683427331096</v>
      </c>
      <c r="AU523">
        <f t="shared" si="419"/>
        <v>-271.23321076300931</v>
      </c>
      <c r="AV523">
        <f t="shared" si="459"/>
        <v>-2.9929575801950552</v>
      </c>
      <c r="AW523">
        <f t="shared" si="460"/>
        <v>329.58319247696056</v>
      </c>
      <c r="AX523">
        <f t="shared" si="461"/>
        <v>-2373.9061850275762</v>
      </c>
      <c r="AY523">
        <f t="shared" ref="AY523:AY586" si="469">ATAN2(AW523,AX523)</f>
        <v>-1.432842376057379</v>
      </c>
      <c r="BA523">
        <f t="shared" si="450"/>
        <v>0.76420965960446519</v>
      </c>
      <c r="BB523">
        <f t="shared" si="462"/>
        <v>-2.3357495426773136</v>
      </c>
      <c r="BC523">
        <f t="shared" si="463"/>
        <v>-1.5601152041376762</v>
      </c>
      <c r="BD523">
        <f t="shared" si="451"/>
        <v>-269.38801685342042</v>
      </c>
      <c r="BF523">
        <f t="shared" si="452"/>
        <v>-66.927546867228344</v>
      </c>
      <c r="BG523">
        <f t="shared" si="453"/>
        <v>-248.81314889411468</v>
      </c>
      <c r="BH523">
        <f t="shared" si="464"/>
        <v>-68.813148894114676</v>
      </c>
      <c r="BI523">
        <f t="shared" si="465"/>
        <v>-68.813148894114676</v>
      </c>
      <c r="BJ523">
        <f t="shared" si="454"/>
        <v>0</v>
      </c>
      <c r="BK523">
        <f t="shared" si="466"/>
        <v>0</v>
      </c>
      <c r="BM523">
        <f t="shared" si="467"/>
        <v>-64.591797324551024</v>
      </c>
      <c r="BN523">
        <f t="shared" si="455"/>
        <v>-159.42513204069428</v>
      </c>
      <c r="BQ523" s="56">
        <f t="shared" si="468"/>
        <v>14.566211257607822</v>
      </c>
    </row>
    <row r="524" spans="1:69" x14ac:dyDescent="0.2">
      <c r="A524">
        <f t="shared" si="420"/>
        <v>1550000</v>
      </c>
      <c r="B524">
        <f t="shared" si="456"/>
        <v>1550</v>
      </c>
      <c r="C524">
        <f t="shared" si="425"/>
        <v>1.0676410642296741</v>
      </c>
      <c r="D524">
        <f t="shared" si="426"/>
        <v>0.35787190330694146</v>
      </c>
      <c r="F524">
        <f t="shared" si="427"/>
        <v>3.6581268668044844E-5</v>
      </c>
      <c r="G524">
        <f t="shared" si="428"/>
        <v>2.2786821321787438E-3</v>
      </c>
      <c r="H524">
        <f t="shared" si="429"/>
        <v>-3.1393139678678215</v>
      </c>
      <c r="J524">
        <f t="shared" si="430"/>
        <v>15</v>
      </c>
      <c r="M524">
        <f t="shared" si="431"/>
        <v>1.4559668845175232E-4</v>
      </c>
      <c r="N524">
        <f t="shared" si="432"/>
        <v>-1.5707963250000001</v>
      </c>
      <c r="O524">
        <f t="shared" si="433"/>
        <v>1454.7053955167962</v>
      </c>
      <c r="P524">
        <f t="shared" si="434"/>
        <v>1.570108902329544</v>
      </c>
      <c r="Q524">
        <f t="shared" si="435"/>
        <v>216.47551058254376</v>
      </c>
      <c r="R524">
        <f t="shared" si="436"/>
        <v>1.5661768501903059</v>
      </c>
      <c r="S524">
        <f t="shared" si="437"/>
        <v>0.16146165536152868</v>
      </c>
      <c r="T524">
        <f t="shared" si="438"/>
        <v>-1.4086247639588396</v>
      </c>
      <c r="U524">
        <f t="shared" si="439"/>
        <v>0.1479820037173494</v>
      </c>
      <c r="V524">
        <f t="shared" si="440"/>
        <v>-1.4222688286756908</v>
      </c>
      <c r="X524">
        <f t="shared" si="457"/>
        <v>-63.852221692710323</v>
      </c>
      <c r="Y524">
        <f t="shared" si="441"/>
        <v>-231.86720956378633</v>
      </c>
      <c r="Z524">
        <f t="shared" si="458"/>
        <v>-51.867209563786332</v>
      </c>
      <c r="AC524">
        <v>1</v>
      </c>
      <c r="AD524">
        <f t="shared" si="442"/>
        <v>1454.7050518045501</v>
      </c>
      <c r="AE524">
        <f t="shared" si="443"/>
        <v>-2.5501106098562096</v>
      </c>
      <c r="AF524">
        <f t="shared" si="444"/>
        <v>0.38157156008370002</v>
      </c>
      <c r="AG524">
        <f t="shared" si="421"/>
        <v>83.103043951247471</v>
      </c>
      <c r="AH524">
        <f t="shared" si="422"/>
        <v>-558.01316545897009</v>
      </c>
      <c r="AJ524">
        <f t="shared" si="445"/>
        <v>18000</v>
      </c>
      <c r="AK524">
        <f t="shared" si="446"/>
        <v>110018.82593041199</v>
      </c>
      <c r="AL524">
        <v>1</v>
      </c>
      <c r="AM524">
        <f t="shared" si="447"/>
        <v>216.47320084013404</v>
      </c>
      <c r="AN524">
        <f t="shared" si="423"/>
        <v>508.60627164001176</v>
      </c>
      <c r="AO524">
        <f t="shared" si="424"/>
        <v>-80.801658868052783</v>
      </c>
      <c r="AQ524">
        <f t="shared" si="448"/>
        <v>1.0405826180455132E-3</v>
      </c>
      <c r="AR524">
        <f t="shared" si="449"/>
        <v>-3.2258061159410909</v>
      </c>
      <c r="AT524">
        <f t="shared" si="418"/>
        <v>-1799.9558063301513</v>
      </c>
      <c r="AU524">
        <f t="shared" si="419"/>
        <v>-268.65496623187255</v>
      </c>
      <c r="AV524">
        <f t="shared" si="459"/>
        <v>-2.9934299993019677</v>
      </c>
      <c r="AW524">
        <f t="shared" si="460"/>
        <v>330.74549802656287</v>
      </c>
      <c r="AX524">
        <f t="shared" si="461"/>
        <v>-2366.3177792563042</v>
      </c>
      <c r="AY524">
        <f t="shared" si="469"/>
        <v>-1.4319237899850326</v>
      </c>
      <c r="BA524">
        <f t="shared" si="450"/>
        <v>0.761678735306759</v>
      </c>
      <c r="BB524">
        <f t="shared" si="462"/>
        <v>-2.3645633790827314</v>
      </c>
      <c r="BC524">
        <f t="shared" si="463"/>
        <v>-1.5615062093169352</v>
      </c>
      <c r="BD524">
        <f t="shared" si="451"/>
        <v>-269.46771557956384</v>
      </c>
      <c r="BF524">
        <f t="shared" si="452"/>
        <v>-67.009057545787272</v>
      </c>
      <c r="BG524">
        <f t="shared" si="453"/>
        <v>-248.83260702115746</v>
      </c>
      <c r="BH524">
        <f t="shared" si="464"/>
        <v>-68.832607021157457</v>
      </c>
      <c r="BI524">
        <f t="shared" si="465"/>
        <v>-68.832607021157457</v>
      </c>
      <c r="BJ524">
        <f t="shared" si="454"/>
        <v>0</v>
      </c>
      <c r="BK524">
        <f t="shared" si="466"/>
        <v>0</v>
      </c>
      <c r="BM524">
        <f t="shared" si="467"/>
        <v>-64.644494166704533</v>
      </c>
      <c r="BN524">
        <f t="shared" si="455"/>
        <v>-159.36489144159358</v>
      </c>
      <c r="BQ524" s="56">
        <f t="shared" si="468"/>
        <v>14.537397421202405</v>
      </c>
    </row>
    <row r="525" spans="1:69" x14ac:dyDescent="0.2">
      <c r="A525">
        <f t="shared" si="420"/>
        <v>1555000</v>
      </c>
      <c r="B525">
        <f t="shared" si="456"/>
        <v>1555</v>
      </c>
      <c r="C525">
        <f t="shared" si="425"/>
        <v>1.0680642318884495</v>
      </c>
      <c r="D525">
        <f t="shared" si="426"/>
        <v>0.3589298372142633</v>
      </c>
      <c r="F525">
        <f t="shared" si="427"/>
        <v>3.6346389552648379E-5</v>
      </c>
      <c r="G525">
        <f t="shared" si="428"/>
        <v>2.2713546665828321E-3</v>
      </c>
      <c r="H525">
        <f t="shared" si="429"/>
        <v>-3.1393212953334175</v>
      </c>
      <c r="J525">
        <f t="shared" si="430"/>
        <v>15</v>
      </c>
      <c r="M525">
        <f t="shared" si="431"/>
        <v>1.4512853189724506E-4</v>
      </c>
      <c r="N525">
        <f t="shared" si="432"/>
        <v>-1.5707963250000001</v>
      </c>
      <c r="O525">
        <f t="shared" si="433"/>
        <v>1459.3979913529174</v>
      </c>
      <c r="P525">
        <f t="shared" si="434"/>
        <v>1.5701111126969067</v>
      </c>
      <c r="Q525">
        <f t="shared" si="435"/>
        <v>217.17380380366953</v>
      </c>
      <c r="R525">
        <f t="shared" si="436"/>
        <v>1.5661917036025346</v>
      </c>
      <c r="S525">
        <f t="shared" si="437"/>
        <v>0.16095595720743863</v>
      </c>
      <c r="T525">
        <f t="shared" si="438"/>
        <v>-1.4091371641487067</v>
      </c>
      <c r="U525">
        <f t="shared" si="439"/>
        <v>0.14751654819572779</v>
      </c>
      <c r="V525">
        <f t="shared" si="440"/>
        <v>-1.4227394493348084</v>
      </c>
      <c r="X525">
        <f t="shared" si="457"/>
        <v>-63.931366232440972</v>
      </c>
      <c r="Y525">
        <f t="shared" si="441"/>
        <v>-231.86235951200769</v>
      </c>
      <c r="Z525">
        <f t="shared" si="458"/>
        <v>-51.862359512007686</v>
      </c>
      <c r="AC525">
        <v>1</v>
      </c>
      <c r="AD525">
        <f t="shared" si="442"/>
        <v>1459.3976487458549</v>
      </c>
      <c r="AE525">
        <f t="shared" si="443"/>
        <v>-2.5665894723819198</v>
      </c>
      <c r="AF525">
        <f t="shared" si="444"/>
        <v>0.38280243608397002</v>
      </c>
      <c r="AG525">
        <f t="shared" si="421"/>
        <v>82.581089424658003</v>
      </c>
      <c r="AH525">
        <f t="shared" si="422"/>
        <v>-556.29675953380013</v>
      </c>
      <c r="AJ525">
        <f t="shared" si="445"/>
        <v>18000</v>
      </c>
      <c r="AK525">
        <f t="shared" si="446"/>
        <v>110373.7253688972</v>
      </c>
      <c r="AL525">
        <v>1</v>
      </c>
      <c r="AM525">
        <f t="shared" si="447"/>
        <v>217.17150148800542</v>
      </c>
      <c r="AN525">
        <f t="shared" si="423"/>
        <v>508.6038751382527</v>
      </c>
      <c r="AO525">
        <f t="shared" si="424"/>
        <v>-80.541857495182484</v>
      </c>
      <c r="AQ525">
        <f t="shared" si="448"/>
        <v>1.0339015277032364E-3</v>
      </c>
      <c r="AR525">
        <f t="shared" si="449"/>
        <v>-3.215433751157065</v>
      </c>
      <c r="AT525">
        <f t="shared" si="418"/>
        <v>-1788.6499955497711</v>
      </c>
      <c r="AU525">
        <f t="shared" si="419"/>
        <v>-266.10917821290349</v>
      </c>
      <c r="AV525">
        <f t="shared" si="459"/>
        <v>-2.9938994468304161</v>
      </c>
      <c r="AW525">
        <f t="shared" si="460"/>
        <v>331.89646484478351</v>
      </c>
      <c r="AX525">
        <f t="shared" si="461"/>
        <v>-2358.7775293865052</v>
      </c>
      <c r="AY525">
        <f t="shared" si="469"/>
        <v>-1.4310070622516742</v>
      </c>
      <c r="BA525">
        <f t="shared" si="450"/>
        <v>0.75916333467556696</v>
      </c>
      <c r="BB525">
        <f t="shared" si="462"/>
        <v>-2.3932955040442057</v>
      </c>
      <c r="BC525">
        <f t="shared" si="463"/>
        <v>-1.5628923845787419</v>
      </c>
      <c r="BD525">
        <f t="shared" si="451"/>
        <v>-269.54713757182157</v>
      </c>
      <c r="BF525">
        <f t="shared" si="452"/>
        <v>-67.090297357139249</v>
      </c>
      <c r="BG525">
        <f t="shared" si="453"/>
        <v>-248.85183369830622</v>
      </c>
      <c r="BH525">
        <f t="shared" si="464"/>
        <v>-68.851833698306223</v>
      </c>
      <c r="BI525">
        <f t="shared" si="465"/>
        <v>-68.851833698306223</v>
      </c>
      <c r="BJ525">
        <f t="shared" si="454"/>
        <v>0</v>
      </c>
      <c r="BK525">
        <f t="shared" si="466"/>
        <v>0</v>
      </c>
      <c r="BM525">
        <f t="shared" si="467"/>
        <v>-64.697001853095031</v>
      </c>
      <c r="BN525">
        <f t="shared" si="455"/>
        <v>-159.30469612648466</v>
      </c>
      <c r="BQ525" s="56">
        <f t="shared" si="468"/>
        <v>14.508665296240931</v>
      </c>
    </row>
    <row r="526" spans="1:69" x14ac:dyDescent="0.2">
      <c r="A526">
        <f t="shared" si="420"/>
        <v>1560000</v>
      </c>
      <c r="B526">
        <f t="shared" si="456"/>
        <v>1560</v>
      </c>
      <c r="C526">
        <f t="shared" si="425"/>
        <v>1.0684885940028668</v>
      </c>
      <c r="D526">
        <f t="shared" si="426"/>
        <v>0.35998693196352233</v>
      </c>
      <c r="F526">
        <f t="shared" si="427"/>
        <v>3.6113765371109933E-5</v>
      </c>
      <c r="G526">
        <f t="shared" si="428"/>
        <v>2.2640741768332933E-3</v>
      </c>
      <c r="H526">
        <f t="shared" si="429"/>
        <v>-3.1393285758231668</v>
      </c>
      <c r="J526">
        <f t="shared" si="430"/>
        <v>15</v>
      </c>
      <c r="M526">
        <f t="shared" si="431"/>
        <v>1.4466337634629235E-4</v>
      </c>
      <c r="N526">
        <f t="shared" si="432"/>
        <v>-1.5707963250000001</v>
      </c>
      <c r="O526">
        <f t="shared" si="433"/>
        <v>1464.0905871961231</v>
      </c>
      <c r="P526">
        <f t="shared" si="434"/>
        <v>1.5701133088952546</v>
      </c>
      <c r="Q526">
        <f t="shared" si="435"/>
        <v>217.87209707240191</v>
      </c>
      <c r="R526">
        <f t="shared" si="436"/>
        <v>1.5662064618025944</v>
      </c>
      <c r="S526">
        <f t="shared" si="437"/>
        <v>0.16045337512401261</v>
      </c>
      <c r="T526">
        <f t="shared" si="438"/>
        <v>-1.4096463645508055</v>
      </c>
      <c r="U526">
        <f t="shared" si="439"/>
        <v>0.14705397927201674</v>
      </c>
      <c r="V526">
        <f t="shared" si="440"/>
        <v>-1.4232071186383755</v>
      </c>
      <c r="X526">
        <f t="shared" si="457"/>
        <v>-64.010245626323965</v>
      </c>
      <c r="Y526">
        <f t="shared" si="441"/>
        <v>-231.85720868145515</v>
      </c>
      <c r="Z526">
        <f t="shared" si="458"/>
        <v>-51.857208681455148</v>
      </c>
      <c r="AC526">
        <v>1</v>
      </c>
      <c r="AD526">
        <f t="shared" si="442"/>
        <v>1464.0902456871599</v>
      </c>
      <c r="AE526">
        <f t="shared" si="443"/>
        <v>-2.5831214069286466</v>
      </c>
      <c r="AF526">
        <f t="shared" si="444"/>
        <v>0.38403331208424002</v>
      </c>
      <c r="AG526">
        <f t="shared" si="421"/>
        <v>82.064000935895507</v>
      </c>
      <c r="AH526">
        <f t="shared" si="422"/>
        <v>-554.59063277564155</v>
      </c>
      <c r="AJ526">
        <f t="shared" si="445"/>
        <v>18000</v>
      </c>
      <c r="AK526">
        <f t="shared" si="446"/>
        <v>110728.6248073824</v>
      </c>
      <c r="AL526">
        <v>1</v>
      </c>
      <c r="AM526">
        <f t="shared" si="447"/>
        <v>217.8698021358768</v>
      </c>
      <c r="AN526">
        <f t="shared" si="423"/>
        <v>508.60150164218442</v>
      </c>
      <c r="AO526">
        <f t="shared" si="424"/>
        <v>-80.283721410134305</v>
      </c>
      <c r="AQ526">
        <f t="shared" si="448"/>
        <v>1.0272845755994642E-3</v>
      </c>
      <c r="AR526">
        <f t="shared" si="449"/>
        <v>-3.2051278758703283</v>
      </c>
      <c r="AT526">
        <f t="shared" si="418"/>
        <v>-1777.4495937233999</v>
      </c>
      <c r="AU526">
        <f t="shared" si="419"/>
        <v>-263.59533940790976</v>
      </c>
      <c r="AV526">
        <f t="shared" si="459"/>
        <v>-2.9943659505233762</v>
      </c>
      <c r="AW526">
        <f t="shared" si="460"/>
        <v>333.03624031254725</v>
      </c>
      <c r="AX526">
        <f t="shared" si="461"/>
        <v>-2351.2849802641226</v>
      </c>
      <c r="AY526">
        <f t="shared" si="469"/>
        <v>-1.4300921766376558</v>
      </c>
      <c r="BA526">
        <f t="shared" si="450"/>
        <v>0.75666331453218116</v>
      </c>
      <c r="BB526">
        <f t="shared" si="462"/>
        <v>-2.4219464302682669</v>
      </c>
      <c r="BC526">
        <f t="shared" si="463"/>
        <v>-1.5642737738857204</v>
      </c>
      <c r="BD526">
        <f t="shared" si="451"/>
        <v>-269.62628534906639</v>
      </c>
      <c r="BF526">
        <f t="shared" si="452"/>
        <v>-67.17126799689909</v>
      </c>
      <c r="BG526">
        <f t="shared" si="453"/>
        <v>-248.87083154913978</v>
      </c>
      <c r="BH526">
        <f t="shared" si="464"/>
        <v>-68.87083154913978</v>
      </c>
      <c r="BI526">
        <f t="shared" si="465"/>
        <v>-68.87083154913978</v>
      </c>
      <c r="BJ526">
        <f t="shared" si="454"/>
        <v>0</v>
      </c>
      <c r="BK526">
        <f t="shared" si="466"/>
        <v>0</v>
      </c>
      <c r="BM526">
        <f t="shared" si="467"/>
        <v>-64.749321566630812</v>
      </c>
      <c r="BN526">
        <f t="shared" si="455"/>
        <v>-159.24454620007339</v>
      </c>
      <c r="BQ526" s="56">
        <f t="shared" si="468"/>
        <v>14.480014370016869</v>
      </c>
    </row>
    <row r="527" spans="1:69" x14ac:dyDescent="0.2">
      <c r="A527">
        <f t="shared" si="420"/>
        <v>1565000</v>
      </c>
      <c r="B527">
        <f t="shared" si="456"/>
        <v>1565</v>
      </c>
      <c r="C527">
        <f t="shared" si="425"/>
        <v>1.068914149150318</v>
      </c>
      <c r="D527">
        <f t="shared" si="426"/>
        <v>0.3610431861930728</v>
      </c>
      <c r="F527">
        <f t="shared" si="427"/>
        <v>3.5883367350845979E-5</v>
      </c>
      <c r="G527">
        <f t="shared" si="428"/>
        <v>2.2568402126199091E-3</v>
      </c>
      <c r="H527">
        <f t="shared" si="429"/>
        <v>-3.1393358097873802</v>
      </c>
      <c r="J527">
        <f t="shared" si="430"/>
        <v>15</v>
      </c>
      <c r="M527">
        <f t="shared" si="431"/>
        <v>1.4420119303528185E-4</v>
      </c>
      <c r="N527">
        <f t="shared" si="432"/>
        <v>-1.5707963250000001</v>
      </c>
      <c r="O527">
        <f t="shared" si="433"/>
        <v>1468.7831830463454</v>
      </c>
      <c r="P527">
        <f t="shared" si="434"/>
        <v>1.5701154910603927</v>
      </c>
      <c r="Q527">
        <f t="shared" si="435"/>
        <v>218.57039038828461</v>
      </c>
      <c r="R527">
        <f t="shared" si="436"/>
        <v>1.566221125703037</v>
      </c>
      <c r="S527">
        <f t="shared" si="437"/>
        <v>0.15995388079073841</v>
      </c>
      <c r="T527">
        <f t="shared" si="438"/>
        <v>-1.4101523947828347</v>
      </c>
      <c r="U527">
        <f t="shared" si="439"/>
        <v>0.14659427048070903</v>
      </c>
      <c r="V527">
        <f t="shared" si="440"/>
        <v>-1.4236718640597534</v>
      </c>
      <c r="X527">
        <f t="shared" si="457"/>
        <v>-64.088861462905101</v>
      </c>
      <c r="Y527">
        <f t="shared" si="441"/>
        <v>-231.8517603869565</v>
      </c>
      <c r="Z527">
        <f t="shared" si="458"/>
        <v>-51.851760386956499</v>
      </c>
      <c r="AC527">
        <v>1</v>
      </c>
      <c r="AD527">
        <f t="shared" si="442"/>
        <v>1468.782842628465</v>
      </c>
      <c r="AE527">
        <f t="shared" si="443"/>
        <v>-2.5997064134963894</v>
      </c>
      <c r="AF527">
        <f t="shared" si="444"/>
        <v>0.38526418808451002</v>
      </c>
      <c r="AG527">
        <f t="shared" si="421"/>
        <v>81.551718636187488</v>
      </c>
      <c r="AH527">
        <f t="shared" si="422"/>
        <v>-552.89469553143215</v>
      </c>
      <c r="AJ527">
        <f t="shared" si="445"/>
        <v>18000</v>
      </c>
      <c r="AK527">
        <f t="shared" si="446"/>
        <v>111083.52424586759</v>
      </c>
      <c r="AL527">
        <v>1</v>
      </c>
      <c r="AM527">
        <f t="shared" si="447"/>
        <v>218.56810278374823</v>
      </c>
      <c r="AN527">
        <f t="shared" si="423"/>
        <v>508.59915085828459</v>
      </c>
      <c r="AO527">
        <f t="shared" si="424"/>
        <v>-80.027234653025957</v>
      </c>
      <c r="AQ527">
        <f t="shared" si="448"/>
        <v>1.0207309433870977E-3</v>
      </c>
      <c r="AR527">
        <f t="shared" si="449"/>
        <v>-3.1948878528016156</v>
      </c>
      <c r="AT527">
        <f t="shared" si="418"/>
        <v>-1766.3533042691217</v>
      </c>
      <c r="AU527">
        <f t="shared" si="419"/>
        <v>-261.11295197001408</v>
      </c>
      <c r="AV527">
        <f t="shared" si="459"/>
        <v>-2.9948295377821328</v>
      </c>
      <c r="AW527">
        <f t="shared" si="460"/>
        <v>334.16496941873987</v>
      </c>
      <c r="AX527">
        <f t="shared" si="461"/>
        <v>-2343.839682432606</v>
      </c>
      <c r="AY527">
        <f t="shared" si="469"/>
        <v>-1.4291791171472319</v>
      </c>
      <c r="BA527">
        <f t="shared" si="450"/>
        <v>0.75417853343832875</v>
      </c>
      <c r="BB527">
        <f t="shared" si="462"/>
        <v>-2.4505166659205662</v>
      </c>
      <c r="BC527">
        <f t="shared" si="463"/>
        <v>-1.5656504206349009</v>
      </c>
      <c r="BD527">
        <f t="shared" si="451"/>
        <v>-269.70516139776498</v>
      </c>
      <c r="BF527">
        <f t="shared" si="452"/>
        <v>-67.251971145006209</v>
      </c>
      <c r="BG527">
        <f t="shared" si="453"/>
        <v>-248.88960316394216</v>
      </c>
      <c r="BH527">
        <f t="shared" si="464"/>
        <v>-68.889603163942155</v>
      </c>
      <c r="BI527">
        <f t="shared" si="465"/>
        <v>-68.889603163942155</v>
      </c>
      <c r="BJ527">
        <f t="shared" si="454"/>
        <v>0</v>
      </c>
      <c r="BK527">
        <f t="shared" si="466"/>
        <v>0</v>
      </c>
      <c r="BM527">
        <f t="shared" si="467"/>
        <v>-64.801454479085635</v>
      </c>
      <c r="BN527">
        <f t="shared" si="455"/>
        <v>-159.1844417661772</v>
      </c>
      <c r="BQ527" s="56">
        <f t="shared" si="468"/>
        <v>14.451444134364571</v>
      </c>
    </row>
    <row r="528" spans="1:69" x14ac:dyDescent="0.2">
      <c r="A528">
        <f t="shared" si="420"/>
        <v>1570000</v>
      </c>
      <c r="B528">
        <f t="shared" si="456"/>
        <v>1570</v>
      </c>
      <c r="C528">
        <f t="shared" si="425"/>
        <v>1.0693408959064648</v>
      </c>
      <c r="D528">
        <f t="shared" si="426"/>
        <v>0.36209859855093551</v>
      </c>
      <c r="F528">
        <f t="shared" si="427"/>
        <v>3.5655167176735153E-5</v>
      </c>
      <c r="G528">
        <f t="shared" si="428"/>
        <v>2.2496523293698881E-3</v>
      </c>
      <c r="H528">
        <f t="shared" si="429"/>
        <v>-3.1393429976706302</v>
      </c>
      <c r="J528">
        <f t="shared" si="430"/>
        <v>15</v>
      </c>
      <c r="M528">
        <f t="shared" si="431"/>
        <v>1.437419535670166E-4</v>
      </c>
      <c r="N528">
        <f t="shared" si="432"/>
        <v>-1.5707963250000001</v>
      </c>
      <c r="O528">
        <f t="shared" si="433"/>
        <v>1473.4757789035173</v>
      </c>
      <c r="P528">
        <f t="shared" si="434"/>
        <v>1.5701176593263964</v>
      </c>
      <c r="Q528">
        <f t="shared" si="435"/>
        <v>219.26868375086713</v>
      </c>
      <c r="R528">
        <f t="shared" si="436"/>
        <v>1.5662356962047883</v>
      </c>
      <c r="S528">
        <f t="shared" si="437"/>
        <v>0.15945744622431557</v>
      </c>
      <c r="T528">
        <f t="shared" si="438"/>
        <v>-1.4106552841013469</v>
      </c>
      <c r="U528">
        <f t="shared" si="439"/>
        <v>0.1461373956750098</v>
      </c>
      <c r="V528">
        <f t="shared" si="440"/>
        <v>-1.4241337127348992</v>
      </c>
      <c r="X528">
        <f t="shared" si="457"/>
        <v>-64.167215316689948</v>
      </c>
      <c r="Y528">
        <f t="shared" si="441"/>
        <v>-231.84601790319826</v>
      </c>
      <c r="Z528">
        <f t="shared" si="458"/>
        <v>-51.846017903198259</v>
      </c>
      <c r="AC528">
        <v>1</v>
      </c>
      <c r="AD528">
        <f t="shared" si="442"/>
        <v>1473.4754395697701</v>
      </c>
      <c r="AE528">
        <f t="shared" si="443"/>
        <v>-2.6163444920851497</v>
      </c>
      <c r="AF528">
        <f t="shared" si="444"/>
        <v>0.38649506408477996</v>
      </c>
      <c r="AG528">
        <f t="shared" si="421"/>
        <v>81.044183587039001</v>
      </c>
      <c r="AH528">
        <f t="shared" si="422"/>
        <v>-551.20885915571682</v>
      </c>
      <c r="AJ528">
        <f t="shared" si="445"/>
        <v>18000</v>
      </c>
      <c r="AK528">
        <f t="shared" si="446"/>
        <v>111438.42368435281</v>
      </c>
      <c r="AL528">
        <v>1</v>
      </c>
      <c r="AM528">
        <f t="shared" si="447"/>
        <v>219.26640343161961</v>
      </c>
      <c r="AN528">
        <f t="shared" si="423"/>
        <v>508.59682249769799</v>
      </c>
      <c r="AO528">
        <f t="shared" si="424"/>
        <v>-79.772381467264623</v>
      </c>
      <c r="AQ528">
        <f t="shared" si="448"/>
        <v>1.0142398257292561E-3</v>
      </c>
      <c r="AR528">
        <f t="shared" si="449"/>
        <v>-3.1847130527898644</v>
      </c>
      <c r="AT528">
        <f t="shared" si="418"/>
        <v>-1755.3598503279836</v>
      </c>
      <c r="AU528">
        <f t="shared" si="419"/>
        <v>-258.66152729959174</v>
      </c>
      <c r="AV528">
        <f t="shared" si="459"/>
        <v>-2.995290235671483</v>
      </c>
      <c r="AW528">
        <f t="shared" si="460"/>
        <v>335.2827948067295</v>
      </c>
      <c r="AX528">
        <f t="shared" si="461"/>
        <v>-2336.4411920443181</v>
      </c>
      <c r="AY528">
        <f t="shared" si="469"/>
        <v>-1.4282678680047802</v>
      </c>
      <c r="BA528">
        <f t="shared" si="450"/>
        <v>0.75170885167017365</v>
      </c>
      <c r="BB528">
        <f t="shared" si="462"/>
        <v>-2.4790067146769199</v>
      </c>
      <c r="BC528">
        <f t="shared" si="463"/>
        <v>-1.5670223676667028</v>
      </c>
      <c r="BD528">
        <f t="shared" si="451"/>
        <v>-269.78376817249256</v>
      </c>
      <c r="BF528">
        <f t="shared" si="452"/>
        <v>-67.332408465917524</v>
      </c>
      <c r="BG528">
        <f t="shared" si="453"/>
        <v>-248.90815110022345</v>
      </c>
      <c r="BH528">
        <f t="shared" si="464"/>
        <v>-68.908151100223449</v>
      </c>
      <c r="BI528">
        <f t="shared" si="465"/>
        <v>-68.908151100223449</v>
      </c>
      <c r="BJ528">
        <f t="shared" si="454"/>
        <v>0</v>
      </c>
      <c r="BK528">
        <f t="shared" si="466"/>
        <v>0</v>
      </c>
      <c r="BM528">
        <f t="shared" si="467"/>
        <v>-64.853401751240611</v>
      </c>
      <c r="BN528">
        <f t="shared" si="455"/>
        <v>-159.12438292773095</v>
      </c>
      <c r="BQ528" s="56">
        <f t="shared" si="468"/>
        <v>14.422954085608218</v>
      </c>
    </row>
    <row r="529" spans="1:69" x14ac:dyDescent="0.2">
      <c r="A529">
        <f t="shared" si="420"/>
        <v>1575000</v>
      </c>
      <c r="B529">
        <f t="shared" si="456"/>
        <v>1575</v>
      </c>
      <c r="C529">
        <f t="shared" si="425"/>
        <v>1.0697688328452553</v>
      </c>
      <c r="D529">
        <f t="shared" si="426"/>
        <v>0.36315316769478734</v>
      </c>
      <c r="F529">
        <f t="shared" si="427"/>
        <v>3.5429136982417931E-5</v>
      </c>
      <c r="G529">
        <f t="shared" si="428"/>
        <v>2.2425100881567745E-3</v>
      </c>
      <c r="H529">
        <f t="shared" si="429"/>
        <v>-3.1393501399118433</v>
      </c>
      <c r="J529">
        <f t="shared" si="430"/>
        <v>15</v>
      </c>
      <c r="M529">
        <f t="shared" si="431"/>
        <v>1.432856299048991E-4</v>
      </c>
      <c r="N529">
        <f t="shared" si="432"/>
        <v>-1.5707963250000001</v>
      </c>
      <c r="O529">
        <f t="shared" si="433"/>
        <v>1478.1683747675725</v>
      </c>
      <c r="P529">
        <f t="shared" si="434"/>
        <v>1.570119813825638</v>
      </c>
      <c r="Q529">
        <f t="shared" si="435"/>
        <v>219.9669771597047</v>
      </c>
      <c r="R529">
        <f t="shared" si="436"/>
        <v>1.5662501741973358</v>
      </c>
      <c r="S529">
        <f t="shared" si="437"/>
        <v>0.15896404377372961</v>
      </c>
      <c r="T529">
        <f t="shared" si="438"/>
        <v>-1.4111550614071835</v>
      </c>
      <c r="U529">
        <f t="shared" si="439"/>
        <v>0.14568332902211395</v>
      </c>
      <c r="V529">
        <f t="shared" si="440"/>
        <v>-1.4245926914674882</v>
      </c>
      <c r="X529">
        <f t="shared" si="457"/>
        <v>-64.245308748307949</v>
      </c>
      <c r="Y529">
        <f t="shared" si="441"/>
        <v>-231.83998446532382</v>
      </c>
      <c r="Z529">
        <f t="shared" si="458"/>
        <v>-51.839984465323823</v>
      </c>
      <c r="AC529">
        <v>1</v>
      </c>
      <c r="AD529">
        <f t="shared" si="442"/>
        <v>1478.1680365110751</v>
      </c>
      <c r="AE529">
        <f t="shared" si="443"/>
        <v>-2.6330356426949266</v>
      </c>
      <c r="AF529">
        <f t="shared" si="444"/>
        <v>0.38772594008505001</v>
      </c>
      <c r="AG529">
        <f t="shared" si="421"/>
        <v>80.541337743800739</v>
      </c>
      <c r="AH529">
        <f t="shared" si="422"/>
        <v>-549.53303599707499</v>
      </c>
      <c r="AJ529">
        <f t="shared" si="445"/>
        <v>18000</v>
      </c>
      <c r="AK529">
        <f t="shared" si="446"/>
        <v>111793.323122838</v>
      </c>
      <c r="AL529">
        <v>1</v>
      </c>
      <c r="AM529">
        <f t="shared" si="447"/>
        <v>219.96470407949104</v>
      </c>
      <c r="AN529">
        <f t="shared" si="423"/>
        <v>508.59451627614584</v>
      </c>
      <c r="AO529">
        <f t="shared" si="424"/>
        <v>-79.519146296320301</v>
      </c>
      <c r="AQ529">
        <f t="shared" si="448"/>
        <v>1.007810430051859E-3</v>
      </c>
      <c r="AR529">
        <f t="shared" si="449"/>
        <v>-3.1746028546633553</v>
      </c>
      <c r="AT529">
        <f t="shared" si="418"/>
        <v>-1744.4679744079062</v>
      </c>
      <c r="AU529">
        <f t="shared" si="419"/>
        <v>-256.24058584521117</v>
      </c>
      <c r="AV529">
        <f t="shared" si="459"/>
        <v>-2.9957480709248476</v>
      </c>
      <c r="AW529">
        <f t="shared" si="460"/>
        <v>336.3898568198349</v>
      </c>
      <c r="AX529">
        <f t="shared" si="461"/>
        <v>-2329.0890707735853</v>
      </c>
      <c r="AY529">
        <f t="shared" si="469"/>
        <v>-1.4273584136510977</v>
      </c>
      <c r="BA529">
        <f t="shared" si="450"/>
        <v>0.74925413119277973</v>
      </c>
      <c r="BB529">
        <f t="shared" si="462"/>
        <v>-2.5074170757736356</v>
      </c>
      <c r="BC529">
        <f t="shared" si="463"/>
        <v>-1.5683896572737499</v>
      </c>
      <c r="BD529">
        <f t="shared" si="451"/>
        <v>-269.86210809643796</v>
      </c>
      <c r="BF529">
        <f t="shared" si="452"/>
        <v>-67.41258160879741</v>
      </c>
      <c r="BG529">
        <f t="shared" si="453"/>
        <v>-248.92647788323063</v>
      </c>
      <c r="BH529">
        <f t="shared" si="464"/>
        <v>-68.926477883230632</v>
      </c>
      <c r="BI529">
        <f t="shared" si="465"/>
        <v>-68.926477883230632</v>
      </c>
      <c r="BJ529">
        <f t="shared" si="454"/>
        <v>0</v>
      </c>
      <c r="BK529">
        <f t="shared" si="466"/>
        <v>0</v>
      </c>
      <c r="BM529">
        <f t="shared" si="467"/>
        <v>-64.905164533023765</v>
      </c>
      <c r="BN529">
        <f t="shared" si="455"/>
        <v>-159.0643697867927</v>
      </c>
      <c r="BQ529" s="56">
        <f t="shared" si="468"/>
        <v>14.3945437245115</v>
      </c>
    </row>
    <row r="530" spans="1:69" x14ac:dyDescent="0.2">
      <c r="A530">
        <f t="shared" si="420"/>
        <v>1580000</v>
      </c>
      <c r="B530">
        <f t="shared" si="456"/>
        <v>1580</v>
      </c>
      <c r="C530">
        <f t="shared" si="425"/>
        <v>1.0701979585389447</v>
      </c>
      <c r="D530">
        <f t="shared" si="426"/>
        <v>0.3642068922919513</v>
      </c>
      <c r="F530">
        <f t="shared" si="427"/>
        <v>3.5205249341788643E-5</v>
      </c>
      <c r="G530">
        <f t="shared" si="428"/>
        <v>2.2354130556110925E-3</v>
      </c>
      <c r="H530">
        <f t="shared" si="429"/>
        <v>-3.139357236944389</v>
      </c>
      <c r="J530">
        <f t="shared" si="430"/>
        <v>15</v>
      </c>
      <c r="M530">
        <f t="shared" si="431"/>
        <v>1.4283219436722538E-4</v>
      </c>
      <c r="N530">
        <f t="shared" si="432"/>
        <v>-1.5707963250000001</v>
      </c>
      <c r="O530">
        <f t="shared" si="433"/>
        <v>1482.8609706384457</v>
      </c>
      <c r="P530">
        <f t="shared" si="434"/>
        <v>1.5701219546888145</v>
      </c>
      <c r="Q530">
        <f t="shared" si="435"/>
        <v>220.66527061435829</v>
      </c>
      <c r="R530">
        <f t="shared" si="436"/>
        <v>1.5662645605589067</v>
      </c>
      <c r="S530">
        <f t="shared" si="437"/>
        <v>0.15847364611541057</v>
      </c>
      <c r="T530">
        <f t="shared" si="438"/>
        <v>-1.411651755250817</v>
      </c>
      <c r="U530">
        <f t="shared" si="439"/>
        <v>0.14523204499856585</v>
      </c>
      <c r="V530">
        <f t="shared" si="440"/>
        <v>-1.4250488267339472</v>
      </c>
      <c r="X530">
        <f t="shared" si="457"/>
        <v>-64.323143304674318</v>
      </c>
      <c r="Y530">
        <f t="shared" si="441"/>
        <v>-231.83366326952239</v>
      </c>
      <c r="Z530">
        <f t="shared" si="458"/>
        <v>-51.83366326952239</v>
      </c>
      <c r="AC530">
        <v>1</v>
      </c>
      <c r="AD530">
        <f t="shared" si="442"/>
        <v>1482.8606334523799</v>
      </c>
      <c r="AE530">
        <f t="shared" si="443"/>
        <v>-2.6497798653257205</v>
      </c>
      <c r="AF530">
        <f t="shared" si="444"/>
        <v>0.38895681608532001</v>
      </c>
      <c r="AG530">
        <f t="shared" si="421"/>
        <v>80.043123939578322</v>
      </c>
      <c r="AH530">
        <f t="shared" si="422"/>
        <v>-547.86713938475316</v>
      </c>
      <c r="AJ530">
        <f t="shared" si="445"/>
        <v>18000</v>
      </c>
      <c r="AK530">
        <f t="shared" si="446"/>
        <v>112148.2225613232</v>
      </c>
      <c r="AL530">
        <v>1</v>
      </c>
      <c r="AM530">
        <f t="shared" si="447"/>
        <v>220.66300472736242</v>
      </c>
      <c r="AN530">
        <f t="shared" si="423"/>
        <v>508.59223191384126</v>
      </c>
      <c r="AO530">
        <f t="shared" si="424"/>
        <v>-79.267513780560819</v>
      </c>
      <c r="AQ530">
        <f t="shared" si="448"/>
        <v>1.0014419763016767E-3</v>
      </c>
      <c r="AR530">
        <f t="shared" si="449"/>
        <v>-3.1645566451132985</v>
      </c>
      <c r="AT530">
        <f t="shared" si="418"/>
        <v>-1733.6764380350069</v>
      </c>
      <c r="AU530">
        <f t="shared" si="419"/>
        <v>-253.84965690943613</v>
      </c>
      <c r="AV530">
        <f t="shared" si="459"/>
        <v>-2.9962030699492868</v>
      </c>
      <c r="AW530">
        <f t="shared" si="460"/>
        <v>337.48629354576781</v>
      </c>
      <c r="AX530">
        <f t="shared" si="461"/>
        <v>-2321.7828857313662</v>
      </c>
      <c r="AY530">
        <f t="shared" si="469"/>
        <v>-1.4264507387397718</v>
      </c>
      <c r="BA530">
        <f t="shared" si="450"/>
        <v>0.7468142356350127</v>
      </c>
      <c r="BB530">
        <f t="shared" si="462"/>
        <v>-2.5357482440572685</v>
      </c>
      <c r="BC530">
        <f t="shared" si="463"/>
        <v>-1.569752331209515</v>
      </c>
      <c r="BD530">
        <f t="shared" si="451"/>
        <v>-269.940183561899</v>
      </c>
      <c r="BF530">
        <f t="shared" si="452"/>
        <v>-67.492492207704757</v>
      </c>
      <c r="BG530">
        <f t="shared" si="453"/>
        <v>-248.94458600644847</v>
      </c>
      <c r="BH530">
        <f t="shared" si="464"/>
        <v>-68.944586006448475</v>
      </c>
      <c r="BI530">
        <f t="shared" si="465"/>
        <v>-68.944586006448475</v>
      </c>
      <c r="BJ530">
        <f t="shared" si="454"/>
        <v>0</v>
      </c>
      <c r="BK530">
        <f t="shared" si="466"/>
        <v>0</v>
      </c>
      <c r="BM530">
        <f t="shared" si="467"/>
        <v>-64.956743963647483</v>
      </c>
      <c r="BN530">
        <f t="shared" si="455"/>
        <v>-159.0044024445495</v>
      </c>
      <c r="BQ530" s="56">
        <f t="shared" si="468"/>
        <v>14.366212556227868</v>
      </c>
    </row>
    <row r="531" spans="1:69" x14ac:dyDescent="0.2">
      <c r="A531">
        <f t="shared" si="420"/>
        <v>1585000</v>
      </c>
      <c r="B531">
        <f t="shared" si="456"/>
        <v>1585</v>
      </c>
      <c r="C531">
        <f t="shared" si="425"/>
        <v>1.0706282715581148</v>
      </c>
      <c r="D531">
        <f t="shared" si="426"/>
        <v>0.36525977101938595</v>
      </c>
      <c r="F531">
        <f t="shared" si="427"/>
        <v>3.4983477260675147E-5</v>
      </c>
      <c r="G531">
        <f t="shared" si="428"/>
        <v>2.2283608038326753E-3</v>
      </c>
      <c r="H531">
        <f t="shared" si="429"/>
        <v>-3.1393642891961675</v>
      </c>
      <c r="J531">
        <f t="shared" si="430"/>
        <v>15</v>
      </c>
      <c r="M531">
        <f t="shared" si="431"/>
        <v>1.4238161962158743E-4</v>
      </c>
      <c r="N531">
        <f t="shared" si="432"/>
        <v>-1.5707963250000001</v>
      </c>
      <c r="O531">
        <f t="shared" si="433"/>
        <v>1487.5535665160726</v>
      </c>
      <c r="P531">
        <f t="shared" si="434"/>
        <v>1.5701240820449742</v>
      </c>
      <c r="Q531">
        <f t="shared" si="435"/>
        <v>221.36356411439422</v>
      </c>
      <c r="R531">
        <f t="shared" si="436"/>
        <v>1.5662788561566476</v>
      </c>
      <c r="S531">
        <f t="shared" si="437"/>
        <v>0.15798622624847466</v>
      </c>
      <c r="T531">
        <f t="shared" si="438"/>
        <v>-1.4121453938375947</v>
      </c>
      <c r="U531">
        <f t="shared" si="439"/>
        <v>0.14478351838570033</v>
      </c>
      <c r="V531">
        <f t="shared" si="440"/>
        <v>-1.4255021446883955</v>
      </c>
      <c r="X531">
        <f t="shared" si="457"/>
        <v>-64.400720519149502</v>
      </c>
      <c r="Y531">
        <f t="shared" si="441"/>
        <v>-231.82705747360558</v>
      </c>
      <c r="Z531">
        <f t="shared" si="458"/>
        <v>-51.827057473605578</v>
      </c>
      <c r="AC531">
        <v>1</v>
      </c>
      <c r="AD531">
        <f t="shared" si="442"/>
        <v>1487.553230393685</v>
      </c>
      <c r="AE531">
        <f t="shared" si="443"/>
        <v>-2.6665771599775305</v>
      </c>
      <c r="AF531">
        <f t="shared" si="444"/>
        <v>0.39018769208559001</v>
      </c>
      <c r="AG531">
        <f t="shared" si="421"/>
        <v>79.549485869476939</v>
      </c>
      <c r="AH531">
        <f t="shared" si="422"/>
        <v>-546.21108361550341</v>
      </c>
      <c r="AJ531">
        <f t="shared" si="445"/>
        <v>18000</v>
      </c>
      <c r="AK531">
        <f t="shared" si="446"/>
        <v>112503.12199980841</v>
      </c>
      <c r="AL531">
        <v>1</v>
      </c>
      <c r="AM531">
        <f t="shared" si="447"/>
        <v>221.36130537523383</v>
      </c>
      <c r="AN531">
        <f t="shared" si="423"/>
        <v>508.58996913540238</v>
      </c>
      <c r="AO531">
        <f t="shared" si="424"/>
        <v>-79.017468754146392</v>
      </c>
      <c r="AQ531">
        <f t="shared" si="448"/>
        <v>9.9513369670971991E-4</v>
      </c>
      <c r="AR531">
        <f t="shared" si="449"/>
        <v>-3.1545738185698116</v>
      </c>
      <c r="AT531">
        <f t="shared" si="418"/>
        <v>-1722.9840214121687</v>
      </c>
      <c r="AU531">
        <f t="shared" si="419"/>
        <v>-251.48827845936327</v>
      </c>
      <c r="AV531">
        <f t="shared" si="459"/>
        <v>-2.9966552588304292</v>
      </c>
      <c r="AW531">
        <f t="shared" si="460"/>
        <v>338.57224086007312</v>
      </c>
      <c r="AX531">
        <f t="shared" si="461"/>
        <v>-2314.5222093814791</v>
      </c>
      <c r="AY531">
        <f t="shared" si="469"/>
        <v>-1.425544828133624</v>
      </c>
      <c r="BA531">
        <f t="shared" si="450"/>
        <v>0.74438903026489067</v>
      </c>
      <c r="BB531">
        <f t="shared" si="462"/>
        <v>-2.5640007100336049</v>
      </c>
      <c r="BC531">
        <f t="shared" si="463"/>
        <v>-1.5711104306968051</v>
      </c>
      <c r="BD531">
        <f t="shared" si="451"/>
        <v>-270.0179969307685</v>
      </c>
      <c r="BF531">
        <f t="shared" si="452"/>
        <v>-67.57214188177727</v>
      </c>
      <c r="BG531">
        <f t="shared" si="453"/>
        <v>-248.96247793209136</v>
      </c>
      <c r="BH531">
        <f t="shared" si="464"/>
        <v>-68.96247793209136</v>
      </c>
      <c r="BI531">
        <f t="shared" si="465"/>
        <v>-68.96247793209136</v>
      </c>
      <c r="BJ531">
        <f t="shared" si="454"/>
        <v>0</v>
      </c>
      <c r="BK531">
        <f t="shared" si="466"/>
        <v>0</v>
      </c>
      <c r="BM531">
        <f t="shared" si="467"/>
        <v>-65.008141171743674</v>
      </c>
      <c r="BN531">
        <f t="shared" si="455"/>
        <v>-158.94448100132288</v>
      </c>
      <c r="BQ531" s="56">
        <f t="shared" si="468"/>
        <v>14.337960090251531</v>
      </c>
    </row>
    <row r="532" spans="1:69" x14ac:dyDescent="0.2">
      <c r="A532">
        <f t="shared" si="420"/>
        <v>1590000</v>
      </c>
      <c r="B532">
        <f t="shared" si="456"/>
        <v>1590</v>
      </c>
      <c r="C532">
        <f t="shared" si="425"/>
        <v>1.0710597704716922</v>
      </c>
      <c r="D532">
        <f t="shared" si="426"/>
        <v>0.36631180256367463</v>
      </c>
      <c r="F532">
        <f t="shared" si="427"/>
        <v>3.4763794168701341E-5</v>
      </c>
      <c r="G532">
        <f t="shared" si="428"/>
        <v>2.2213529103046557E-3</v>
      </c>
      <c r="H532">
        <f t="shared" si="429"/>
        <v>-3.1393712970896956</v>
      </c>
      <c r="J532">
        <f t="shared" si="430"/>
        <v>15</v>
      </c>
      <c r="M532">
        <f t="shared" si="431"/>
        <v>1.4193387867938119E-4</v>
      </c>
      <c r="N532">
        <f t="shared" si="432"/>
        <v>-1.5707963250000001</v>
      </c>
      <c r="O532">
        <f t="shared" si="433"/>
        <v>1492.2461624003893</v>
      </c>
      <c r="P532">
        <f t="shared" si="434"/>
        <v>1.5701261960215414</v>
      </c>
      <c r="Q532">
        <f t="shared" si="435"/>
        <v>222.06185765938443</v>
      </c>
      <c r="R532">
        <f t="shared" si="436"/>
        <v>1.5662930618467978</v>
      </c>
      <c r="S532">
        <f t="shared" si="437"/>
        <v>0.15750175749004711</v>
      </c>
      <c r="T532">
        <f t="shared" si="438"/>
        <v>-1.4126360050328917</v>
      </c>
      <c r="U532">
        <f t="shared" si="439"/>
        <v>0.14433772426516253</v>
      </c>
      <c r="V532">
        <f t="shared" si="440"/>
        <v>-1.4259526711674984</v>
      </c>
      <c r="X532">
        <f t="shared" si="457"/>
        <v>-64.478041911696536</v>
      </c>
      <c r="Y532">
        <f t="shared" si="441"/>
        <v>-231.82017019757566</v>
      </c>
      <c r="Z532">
        <f t="shared" si="458"/>
        <v>-51.820170197575663</v>
      </c>
      <c r="AC532">
        <v>1</v>
      </c>
      <c r="AD532">
        <f t="shared" si="442"/>
        <v>1492.2458273349898</v>
      </c>
      <c r="AE532">
        <f t="shared" si="443"/>
        <v>-2.683427526650358</v>
      </c>
      <c r="AF532">
        <f t="shared" si="444"/>
        <v>0.39141856808586001</v>
      </c>
      <c r="AG532">
        <f t="shared" si="421"/>
        <v>79.060368075171112</v>
      </c>
      <c r="AH532">
        <f t="shared" si="422"/>
        <v>-544.56478394062026</v>
      </c>
      <c r="AJ532">
        <f t="shared" si="445"/>
        <v>18000</v>
      </c>
      <c r="AK532">
        <f t="shared" si="446"/>
        <v>112858.02143829361</v>
      </c>
      <c r="AL532">
        <v>1</v>
      </c>
      <c r="AM532">
        <f t="shared" si="447"/>
        <v>222.0596060231052</v>
      </c>
      <c r="AN532">
        <f t="shared" si="423"/>
        <v>508.58772766977057</v>
      </c>
      <c r="AO532">
        <f t="shared" si="424"/>
        <v>-78.768996241983132</v>
      </c>
      <c r="AQ532">
        <f t="shared" si="448"/>
        <v>9.8888483555982401E-4</v>
      </c>
      <c r="AR532">
        <f t="shared" si="449"/>
        <v>-3.1446537770802405</v>
      </c>
      <c r="AT532">
        <f t="shared" si="418"/>
        <v>-1712.3895230846733</v>
      </c>
      <c r="AU532">
        <f t="shared" si="419"/>
        <v>-249.1559969417597</v>
      </c>
      <c r="AV532">
        <f t="shared" si="459"/>
        <v>-2.9971046633373106</v>
      </c>
      <c r="AW532">
        <f t="shared" si="460"/>
        <v>339.64783246859741</v>
      </c>
      <c r="AX532">
        <f t="shared" si="461"/>
        <v>-2307.3066194583803</v>
      </c>
      <c r="AY532">
        <f t="shared" si="469"/>
        <v>-1.4246406669012233</v>
      </c>
      <c r="BA532">
        <f t="shared" si="450"/>
        <v>0.74197838196535693</v>
      </c>
      <c r="BB532">
        <f t="shared" si="462"/>
        <v>-2.592174959916095</v>
      </c>
      <c r="BC532">
        <f t="shared" si="463"/>
        <v>-1.5724639964360874</v>
      </c>
      <c r="BD532">
        <f t="shared" si="451"/>
        <v>-270.09555053501151</v>
      </c>
      <c r="BF532">
        <f t="shared" si="452"/>
        <v>-67.65153223541293</v>
      </c>
      <c r="BG532">
        <f t="shared" si="453"/>
        <v>-248.98015609158603</v>
      </c>
      <c r="BH532">
        <f t="shared" si="464"/>
        <v>-68.980156091586025</v>
      </c>
      <c r="BI532">
        <f t="shared" si="465"/>
        <v>-68.980156091586025</v>
      </c>
      <c r="BJ532">
        <f t="shared" si="454"/>
        <v>0</v>
      </c>
      <c r="BK532">
        <f t="shared" si="466"/>
        <v>0</v>
      </c>
      <c r="BM532">
        <f t="shared" si="467"/>
        <v>-65.059357275496836</v>
      </c>
      <c r="BN532">
        <f t="shared" si="455"/>
        <v>-158.88460555657454</v>
      </c>
      <c r="BQ532" s="56">
        <f t="shared" si="468"/>
        <v>14.309785840369042</v>
      </c>
    </row>
    <row r="533" spans="1:69" x14ac:dyDescent="0.2">
      <c r="A533">
        <f t="shared" si="420"/>
        <v>1595000</v>
      </c>
      <c r="B533">
        <f t="shared" si="456"/>
        <v>1595</v>
      </c>
      <c r="C533">
        <f t="shared" si="425"/>
        <v>1.071492453846969</v>
      </c>
      <c r="D533">
        <f t="shared" si="426"/>
        <v>0.36736298562101438</v>
      </c>
      <c r="F533">
        <f t="shared" si="427"/>
        <v>3.4546173911328004E-5</v>
      </c>
      <c r="G533">
        <f t="shared" si="428"/>
        <v>2.2143889578090693E-3</v>
      </c>
      <c r="H533">
        <f t="shared" si="429"/>
        <v>-3.1393782610421912</v>
      </c>
      <c r="J533">
        <f t="shared" si="430"/>
        <v>15</v>
      </c>
      <c r="M533">
        <f t="shared" si="431"/>
        <v>1.4148894489041762E-4</v>
      </c>
      <c r="N533">
        <f t="shared" si="432"/>
        <v>-1.5707963250000001</v>
      </c>
      <c r="O533">
        <f t="shared" si="433"/>
        <v>1496.9387582913325</v>
      </c>
      <c r="P533">
        <f t="shared" si="434"/>
        <v>1.5701282967443428</v>
      </c>
      <c r="Q533">
        <f t="shared" si="435"/>
        <v>222.76015124890614</v>
      </c>
      <c r="R533">
        <f t="shared" si="436"/>
        <v>1.5663071784748606</v>
      </c>
      <c r="S533">
        <f t="shared" si="437"/>
        <v>0.1570202134706648</v>
      </c>
      <c r="T533">
        <f t="shared" si="438"/>
        <v>-1.4131236163671723</v>
      </c>
      <c r="U533">
        <f t="shared" si="439"/>
        <v>0.14389463801450586</v>
      </c>
      <c r="V533">
        <f t="shared" si="440"/>
        <v>-1.4264004316952326</v>
      </c>
      <c r="X533">
        <f t="shared" si="457"/>
        <v>-64.555108989035915</v>
      </c>
      <c r="Y533">
        <f t="shared" si="441"/>
        <v>-231.81300452418236</v>
      </c>
      <c r="Z533">
        <f t="shared" si="458"/>
        <v>-51.813004524182361</v>
      </c>
      <c r="AC533">
        <v>1</v>
      </c>
      <c r="AD533">
        <f t="shared" si="442"/>
        <v>1496.9384242762949</v>
      </c>
      <c r="AE533">
        <f t="shared" si="443"/>
        <v>-2.700330965344202</v>
      </c>
      <c r="AF533">
        <f t="shared" si="444"/>
        <v>0.39264944408613001</v>
      </c>
      <c r="AG533">
        <f t="shared" si="421"/>
        <v>78.575715929794114</v>
      </c>
      <c r="AH533">
        <f t="shared" si="422"/>
        <v>-542.92815655317804</v>
      </c>
      <c r="AJ533">
        <f t="shared" si="445"/>
        <v>18000</v>
      </c>
      <c r="AK533">
        <f t="shared" si="446"/>
        <v>113212.92087677879</v>
      </c>
      <c r="AL533">
        <v>1</v>
      </c>
      <c r="AM533">
        <f t="shared" si="447"/>
        <v>222.75790667097661</v>
      </c>
      <c r="AN533">
        <f t="shared" si="423"/>
        <v>508.58550725012896</v>
      </c>
      <c r="AO533">
        <f t="shared" si="424"/>
        <v>-78.522081456733531</v>
      </c>
      <c r="AQ533">
        <f t="shared" si="448"/>
        <v>9.8269464896230891E-4</v>
      </c>
      <c r="AR533">
        <f t="shared" si="449"/>
        <v>-3.1347959301897652</v>
      </c>
      <c r="AT533">
        <f t="shared" si="418"/>
        <v>-1701.8917596127515</v>
      </c>
      <c r="AU533">
        <f t="shared" si="419"/>
        <v>-246.85236710268148</v>
      </c>
      <c r="AV533">
        <f t="shared" si="459"/>
        <v>-2.9975513089271266</v>
      </c>
      <c r="AW533">
        <f t="shared" si="460"/>
        <v>340.71319994900642</v>
      </c>
      <c r="AX533">
        <f t="shared" si="461"/>
        <v>-2300.1356988864463</v>
      </c>
      <c r="AY533">
        <f t="shared" si="469"/>
        <v>-1.4237382403134695</v>
      </c>
      <c r="BA533">
        <f t="shared" si="450"/>
        <v>0.73958215921047965</v>
      </c>
      <c r="BB533">
        <f t="shared" si="462"/>
        <v>-2.620271475673579</v>
      </c>
      <c r="BC533">
        <f t="shared" si="463"/>
        <v>-1.5738130686136571</v>
      </c>
      <c r="BD533">
        <f t="shared" si="451"/>
        <v>-270.17284667713307</v>
      </c>
      <c r="BF533">
        <f t="shared" si="452"/>
        <v>-67.730664858448677</v>
      </c>
      <c r="BG533">
        <f t="shared" si="453"/>
        <v>-248.99762288604475</v>
      </c>
      <c r="BH533">
        <f t="shared" si="464"/>
        <v>-68.997622886044752</v>
      </c>
      <c r="BI533">
        <f t="shared" si="465"/>
        <v>-68.997622886044752</v>
      </c>
      <c r="BJ533">
        <f t="shared" si="454"/>
        <v>0</v>
      </c>
      <c r="BK533">
        <f t="shared" si="466"/>
        <v>0</v>
      </c>
      <c r="BM533">
        <f t="shared" si="467"/>
        <v>-65.110393382775101</v>
      </c>
      <c r="BN533">
        <f t="shared" si="455"/>
        <v>-158.82477620891169</v>
      </c>
      <c r="BQ533" s="56">
        <f t="shared" si="468"/>
        <v>14.281689324611557</v>
      </c>
    </row>
    <row r="534" spans="1:69" x14ac:dyDescent="0.2">
      <c r="A534">
        <f t="shared" si="420"/>
        <v>1600000</v>
      </c>
      <c r="B534">
        <f t="shared" si="456"/>
        <v>1600</v>
      </c>
      <c r="C534">
        <f t="shared" si="425"/>
        <v>1.0719263202496196</v>
      </c>
      <c r="D534">
        <f t="shared" si="426"/>
        <v>0.36841331889720524</v>
      </c>
      <c r="F534">
        <f t="shared" si="427"/>
        <v>3.4330590742067458E-5</v>
      </c>
      <c r="G534">
        <f t="shared" si="428"/>
        <v>2.2074685343440423E-3</v>
      </c>
      <c r="H534">
        <f t="shared" si="429"/>
        <v>-3.1393851814656561</v>
      </c>
      <c r="J534">
        <f t="shared" si="430"/>
        <v>15</v>
      </c>
      <c r="M534">
        <f t="shared" si="431"/>
        <v>1.4104679193763505E-4</v>
      </c>
      <c r="N534">
        <f t="shared" si="432"/>
        <v>-1.5707963250000001</v>
      </c>
      <c r="O534">
        <f t="shared" si="433"/>
        <v>1501.6313541888408</v>
      </c>
      <c r="P534">
        <f t="shared" si="434"/>
        <v>1.5701303843376326</v>
      </c>
      <c r="Q534">
        <f t="shared" si="435"/>
        <v>223.45844488254184</v>
      </c>
      <c r="R534">
        <f t="shared" si="436"/>
        <v>1.5663212068757704</v>
      </c>
      <c r="S534">
        <f t="shared" si="437"/>
        <v>0.15654156812975725</v>
      </c>
      <c r="T534">
        <f t="shared" si="438"/>
        <v>-1.413608255040961</v>
      </c>
      <c r="U534">
        <f t="shared" si="439"/>
        <v>0.14345423530286597</v>
      </c>
      <c r="V534">
        <f t="shared" si="440"/>
        <v>-1.4268454514875684</v>
      </c>
      <c r="X534">
        <f t="shared" si="457"/>
        <v>-64.6319232447985</v>
      </c>
      <c r="Y534">
        <f t="shared" si="441"/>
        <v>-231.80556349947017</v>
      </c>
      <c r="Z534">
        <f t="shared" si="458"/>
        <v>-51.805563499470168</v>
      </c>
      <c r="AC534">
        <v>1</v>
      </c>
      <c r="AD534">
        <f t="shared" si="442"/>
        <v>1501.6310212175999</v>
      </c>
      <c r="AE534">
        <f t="shared" si="443"/>
        <v>-2.7172874760590626</v>
      </c>
      <c r="AF534">
        <f t="shared" si="444"/>
        <v>0.3938803200864</v>
      </c>
      <c r="AG534">
        <f t="shared" si="421"/>
        <v>78.095475623137915</v>
      </c>
      <c r="AH534">
        <f t="shared" si="422"/>
        <v>-541.3011185754599</v>
      </c>
      <c r="AJ534">
        <f t="shared" si="445"/>
        <v>18000</v>
      </c>
      <c r="AK534">
        <f t="shared" si="446"/>
        <v>113567.82031526399</v>
      </c>
      <c r="AL534">
        <v>1</v>
      </c>
      <c r="AM534">
        <f t="shared" si="447"/>
        <v>223.45620731884802</v>
      </c>
      <c r="AN534">
        <f t="shared" si="423"/>
        <v>508.58330761382297</v>
      </c>
      <c r="AO534">
        <f t="shared" si="424"/>
        <v>-78.276709795883207</v>
      </c>
      <c r="AQ534">
        <f t="shared" si="448"/>
        <v>9.7656240463257771E-4</v>
      </c>
      <c r="AR534">
        <f t="shared" si="449"/>
        <v>-3.1249996948242487</v>
      </c>
      <c r="AT534">
        <f t="shared" ref="AT534:AT597" si="470">-AR534*AH534+AG534*AQ534</f>
        <v>-1691.4895652508712</v>
      </c>
      <c r="AU534">
        <f t="shared" ref="AU534:AU597" si="471">AQ534*AH534+AG534*AR534</f>
        <v>-244.57695181144689</v>
      </c>
      <c r="AV534">
        <f t="shared" si="459"/>
        <v>-2.9979952207499014</v>
      </c>
      <c r="AW534">
        <f t="shared" si="460"/>
        <v>341.76847279137718</v>
      </c>
      <c r="AX534">
        <f t="shared" si="461"/>
        <v>-2293.0090357007293</v>
      </c>
      <c r="AY534">
        <f t="shared" si="469"/>
        <v>-1.4228375338402448</v>
      </c>
      <c r="BA534">
        <f t="shared" si="450"/>
        <v>0.73720023204206198</v>
      </c>
      <c r="BB534">
        <f t="shared" si="462"/>
        <v>-2.6482907350774192</v>
      </c>
      <c r="BC534">
        <f t="shared" si="463"/>
        <v>-1.5751576869096566</v>
      </c>
      <c r="BD534">
        <f t="shared" si="451"/>
        <v>-270.249887630638</v>
      </c>
      <c r="BF534">
        <f t="shared" si="452"/>
        <v>-67.809541326336543</v>
      </c>
      <c r="BG534">
        <f t="shared" si="453"/>
        <v>-249.01488068673038</v>
      </c>
      <c r="BH534">
        <f t="shared" si="464"/>
        <v>-69.014880686730379</v>
      </c>
      <c r="BI534">
        <f t="shared" si="465"/>
        <v>-69.014880686730379</v>
      </c>
      <c r="BJ534">
        <f t="shared" si="454"/>
        <v>0</v>
      </c>
      <c r="BK534">
        <f t="shared" si="466"/>
        <v>0</v>
      </c>
      <c r="BM534">
        <f t="shared" si="467"/>
        <v>-65.161250591259119</v>
      </c>
      <c r="BN534">
        <f t="shared" si="455"/>
        <v>-158.76499305609246</v>
      </c>
      <c r="BQ534" s="56">
        <f t="shared" si="468"/>
        <v>14.253670065207718</v>
      </c>
    </row>
    <row r="535" spans="1:69" x14ac:dyDescent="0.2">
      <c r="A535">
        <f t="shared" si="420"/>
        <v>1605000</v>
      </c>
      <c r="B535">
        <f t="shared" si="456"/>
        <v>1605</v>
      </c>
      <c r="C535">
        <f t="shared" si="425"/>
        <v>1.0723613682437219</v>
      </c>
      <c r="D535">
        <f t="shared" si="426"/>
        <v>0.36946280110763841</v>
      </c>
      <c r="F535">
        <f t="shared" si="427"/>
        <v>3.4117019314867792E-5</v>
      </c>
      <c r="G535">
        <f t="shared" si="428"/>
        <v>2.2005912330425293E-3</v>
      </c>
      <c r="H535">
        <f t="shared" si="429"/>
        <v>-3.1393920587669575</v>
      </c>
      <c r="J535">
        <f t="shared" si="430"/>
        <v>15</v>
      </c>
      <c r="M535">
        <f t="shared" si="431"/>
        <v>1.4060739383191034E-4</v>
      </c>
      <c r="N535">
        <f t="shared" si="432"/>
        <v>-1.5707963250000001</v>
      </c>
      <c r="O535">
        <f t="shared" si="433"/>
        <v>1506.3239500928526</v>
      </c>
      <c r="P535">
        <f t="shared" si="434"/>
        <v>1.5701324589241163</v>
      </c>
      <c r="Q535">
        <f t="shared" si="435"/>
        <v>224.1567385598793</v>
      </c>
      <c r="R535">
        <f t="shared" si="436"/>
        <v>1.5663351478740579</v>
      </c>
      <c r="S535">
        <f t="shared" si="437"/>
        <v>0.15606579571120408</v>
      </c>
      <c r="T535">
        <f t="shared" si="438"/>
        <v>-1.4140899479297271</v>
      </c>
      <c r="U535">
        <f t="shared" si="439"/>
        <v>0.14301649208670938</v>
      </c>
      <c r="V535">
        <f t="shared" si="440"/>
        <v>-1.4272877554570678</v>
      </c>
      <c r="X535">
        <f t="shared" si="457"/>
        <v>-64.708486159676141</v>
      </c>
      <c r="Y535">
        <f t="shared" si="441"/>
        <v>-231.79785013331659</v>
      </c>
      <c r="Z535">
        <f t="shared" si="458"/>
        <v>-51.797850133316587</v>
      </c>
      <c r="AC535">
        <v>1</v>
      </c>
      <c r="AD535">
        <f t="shared" si="442"/>
        <v>1506.323618158905</v>
      </c>
      <c r="AE535">
        <f t="shared" si="443"/>
        <v>-2.7342970587949402</v>
      </c>
      <c r="AF535">
        <f t="shared" si="444"/>
        <v>0.39511119608667</v>
      </c>
      <c r="AG535">
        <f t="shared" si="421"/>
        <v>77.619594147157358</v>
      </c>
      <c r="AH535">
        <f t="shared" si="422"/>
        <v>-539.68358804657851</v>
      </c>
      <c r="AJ535">
        <f t="shared" si="445"/>
        <v>18000</v>
      </c>
      <c r="AK535">
        <f t="shared" si="446"/>
        <v>113922.71975374919</v>
      </c>
      <c r="AL535">
        <v>1</v>
      </c>
      <c r="AM535">
        <f t="shared" si="447"/>
        <v>224.15450796671939</v>
      </c>
      <c r="AN535">
        <f t="shared" si="423"/>
        <v>508.58112850228258</v>
      </c>
      <c r="AO535">
        <f t="shared" si="424"/>
        <v>-78.032866838862319</v>
      </c>
      <c r="AQ535">
        <f t="shared" si="448"/>
        <v>9.7048738167453911E-4</v>
      </c>
      <c r="AR535">
        <f t="shared" si="449"/>
        <v>-3.1152644951752704</v>
      </c>
      <c r="AT535">
        <f t="shared" si="470"/>
        <v>-1681.1817916336124</v>
      </c>
      <c r="AU535">
        <f t="shared" si="471"/>
        <v>-242.32932188884959</v>
      </c>
      <c r="AV535">
        <f t="shared" si="459"/>
        <v>-2.9984364236530712</v>
      </c>
      <c r="AW535">
        <f t="shared" si="460"/>
        <v>342.81377843788931</v>
      </c>
      <c r="AX535">
        <f t="shared" si="461"/>
        <v>-2285.9262229691581</v>
      </c>
      <c r="AY535">
        <f t="shared" si="469"/>
        <v>-1.4219385331471297</v>
      </c>
      <c r="BA535">
        <f t="shared" si="450"/>
        <v>0.73483247204665691</v>
      </c>
      <c r="BB535">
        <f t="shared" si="462"/>
        <v>-2.6762332117480119</v>
      </c>
      <c r="BC535">
        <f t="shared" si="463"/>
        <v>-1.5764978905059415</v>
      </c>
      <c r="BD535">
        <f t="shared" si="451"/>
        <v>-270.32667564048108</v>
      </c>
      <c r="BF535">
        <f t="shared" si="452"/>
        <v>-67.888163200316981</v>
      </c>
      <c r="BG535">
        <f t="shared" si="453"/>
        <v>-249.03193183551244</v>
      </c>
      <c r="BH535">
        <f t="shared" si="464"/>
        <v>-69.031931835512438</v>
      </c>
      <c r="BI535">
        <f t="shared" si="465"/>
        <v>-69.031931835512438</v>
      </c>
      <c r="BJ535">
        <f t="shared" si="454"/>
        <v>0</v>
      </c>
      <c r="BK535">
        <f t="shared" si="466"/>
        <v>0</v>
      </c>
      <c r="BM535">
        <f t="shared" si="467"/>
        <v>-65.211929988568968</v>
      </c>
      <c r="BN535">
        <f t="shared" si="455"/>
        <v>-158.70525619503132</v>
      </c>
      <c r="BQ535" s="56">
        <f t="shared" si="468"/>
        <v>14.225727588537126</v>
      </c>
    </row>
    <row r="536" spans="1:69" x14ac:dyDescent="0.2">
      <c r="A536">
        <f t="shared" si="420"/>
        <v>1610000</v>
      </c>
      <c r="B536">
        <f t="shared" si="456"/>
        <v>1610</v>
      </c>
      <c r="C536">
        <f t="shared" si="425"/>
        <v>1.0727975963917757</v>
      </c>
      <c r="D536">
        <f t="shared" si="426"/>
        <v>0.37051143097728534</v>
      </c>
      <c r="F536">
        <f t="shared" si="427"/>
        <v>3.3905434676662369E-5</v>
      </c>
      <c r="G536">
        <f t="shared" si="428"/>
        <v>2.1937566520925642E-3</v>
      </c>
      <c r="H536">
        <f t="shared" si="429"/>
        <v>-3.1393988933479076</v>
      </c>
      <c r="J536">
        <f t="shared" si="430"/>
        <v>15</v>
      </c>
      <c r="M536">
        <f t="shared" si="431"/>
        <v>1.4017072490696652E-4</v>
      </c>
      <c r="N536">
        <f t="shared" si="432"/>
        <v>-1.5707963250000001</v>
      </c>
      <c r="O536">
        <f t="shared" si="433"/>
        <v>1511.016546003307</v>
      </c>
      <c r="P536">
        <f t="shared" si="434"/>
        <v>1.5701345206249755</v>
      </c>
      <c r="Q536">
        <f t="shared" si="435"/>
        <v>224.85503228051138</v>
      </c>
      <c r="R536">
        <f t="shared" si="436"/>
        <v>1.5663490022840123</v>
      </c>
      <c r="S536">
        <f t="shared" si="437"/>
        <v>0.15559287075896769</v>
      </c>
      <c r="T536">
        <f t="shared" si="438"/>
        <v>-1.4145687215886835</v>
      </c>
      <c r="U536">
        <f t="shared" si="439"/>
        <v>0.14258138460565539</v>
      </c>
      <c r="V536">
        <f t="shared" si="440"/>
        <v>-1.4277273682173999</v>
      </c>
      <c r="X536">
        <f t="shared" si="457"/>
        <v>-64.784799201570195</v>
      </c>
      <c r="Y536">
        <f t="shared" si="441"/>
        <v>-231.78986739996003</v>
      </c>
      <c r="Z536">
        <f t="shared" si="458"/>
        <v>-51.789867399960031</v>
      </c>
      <c r="AC536">
        <v>1</v>
      </c>
      <c r="AD536">
        <f t="shared" si="442"/>
        <v>1511.01621510021</v>
      </c>
      <c r="AE536">
        <f t="shared" si="443"/>
        <v>-2.7513597135518344</v>
      </c>
      <c r="AF536">
        <f t="shared" si="444"/>
        <v>0.39634207208693994</v>
      </c>
      <c r="AG536">
        <f t="shared" si="421"/>
        <v>77.148019281771326</v>
      </c>
      <c r="AH536">
        <f t="shared" si="422"/>
        <v>-538.07548391028615</v>
      </c>
      <c r="AJ536">
        <f t="shared" si="445"/>
        <v>18000</v>
      </c>
      <c r="AK536">
        <f t="shared" si="446"/>
        <v>114277.6191922344</v>
      </c>
      <c r="AL536">
        <v>1</v>
      </c>
      <c r="AM536">
        <f t="shared" si="447"/>
        <v>224.85280861459083</v>
      </c>
      <c r="AN536">
        <f t="shared" si="423"/>
        <v>508.57896966094665</v>
      </c>
      <c r="AO536">
        <f t="shared" si="424"/>
        <v>-77.790538344220735</v>
      </c>
      <c r="AQ536">
        <f t="shared" si="448"/>
        <v>9.6446887036872903E-4</v>
      </c>
      <c r="AR536">
        <f t="shared" si="449"/>
        <v>-3.1055897625873072</v>
      </c>
      <c r="AT536">
        <f t="shared" si="470"/>
        <v>-1670.9673074679881</v>
      </c>
      <c r="AU536">
        <f t="shared" si="471"/>
        <v>-240.10905593949727</v>
      </c>
      <c r="AV536">
        <f t="shared" si="459"/>
        <v>-2.9988749421859904</v>
      </c>
      <c r="AW536">
        <f t="shared" si="460"/>
        <v>343.84924232163661</v>
      </c>
      <c r="AX536">
        <f t="shared" si="461"/>
        <v>-2278.886858716151</v>
      </c>
      <c r="AY536">
        <f t="shared" si="469"/>
        <v>-1.4210412240921844</v>
      </c>
      <c r="BA536">
        <f t="shared" si="450"/>
        <v>0.7324787523329831</v>
      </c>
      <c r="BB536">
        <f t="shared" si="462"/>
        <v>-2.7040993752006406</v>
      </c>
      <c r="BC536">
        <f t="shared" si="463"/>
        <v>-1.577833718093806</v>
      </c>
      <c r="BD536">
        <f t="shared" si="451"/>
        <v>-270.4032129235103</v>
      </c>
      <c r="BF536">
        <f t="shared" si="452"/>
        <v>-67.966532027589736</v>
      </c>
      <c r="BG536">
        <f t="shared" si="453"/>
        <v>-249.04877864531448</v>
      </c>
      <c r="BH536">
        <f t="shared" si="464"/>
        <v>-69.048778645314485</v>
      </c>
      <c r="BI536">
        <f t="shared" si="465"/>
        <v>-69.048778645314485</v>
      </c>
      <c r="BJ536">
        <f t="shared" si="454"/>
        <v>0</v>
      </c>
      <c r="BK536">
        <f t="shared" si="466"/>
        <v>0</v>
      </c>
      <c r="BM536">
        <f t="shared" si="467"/>
        <v>-65.262432652389094</v>
      </c>
      <c r="BN536">
        <f t="shared" si="455"/>
        <v>-158.64556572180416</v>
      </c>
      <c r="BQ536" s="56">
        <f t="shared" si="468"/>
        <v>14.197861425084497</v>
      </c>
    </row>
    <row r="537" spans="1:69" x14ac:dyDescent="0.2">
      <c r="A537">
        <f t="shared" si="420"/>
        <v>1615000</v>
      </c>
      <c r="B537">
        <f t="shared" si="456"/>
        <v>1615</v>
      </c>
      <c r="C537">
        <f t="shared" si="425"/>
        <v>1.0732350032547215</v>
      </c>
      <c r="D537">
        <f t="shared" si="426"/>
        <v>0.37155920724068547</v>
      </c>
      <c r="F537">
        <f t="shared" si="427"/>
        <v>3.3695812260080548E-5</v>
      </c>
      <c r="G537">
        <f t="shared" si="428"/>
        <v>2.1869643946589904E-3</v>
      </c>
      <c r="H537">
        <f t="shared" si="429"/>
        <v>-3.1394056856053414</v>
      </c>
      <c r="J537">
        <f t="shared" si="430"/>
        <v>15</v>
      </c>
      <c r="M537">
        <f t="shared" si="431"/>
        <v>1.397367598143753E-4</v>
      </c>
      <c r="N537">
        <f t="shared" si="432"/>
        <v>-1.5707963250000001</v>
      </c>
      <c r="O537">
        <f t="shared" si="433"/>
        <v>1515.7091419201442</v>
      </c>
      <c r="P537">
        <f t="shared" si="434"/>
        <v>1.5701365695598906</v>
      </c>
      <c r="Q537">
        <f t="shared" si="435"/>
        <v>225.55332604403594</v>
      </c>
      <c r="R537">
        <f t="shared" si="436"/>
        <v>1.5663627709098378</v>
      </c>
      <c r="S537">
        <f t="shared" si="437"/>
        <v>0.15512276811279976</v>
      </c>
      <c r="T537">
        <f t="shared" si="438"/>
        <v>-1.4150446022575014</v>
      </c>
      <c r="U537">
        <f t="shared" si="439"/>
        <v>0.14214888937836964</v>
      </c>
      <c r="V537">
        <f t="shared" si="440"/>
        <v>-1.4281643140877793</v>
      </c>
      <c r="X537">
        <f t="shared" si="457"/>
        <v>-64.860863825737923</v>
      </c>
      <c r="Y537">
        <f t="shared" si="441"/>
        <v>-231.78161823851906</v>
      </c>
      <c r="Z537">
        <f t="shared" si="458"/>
        <v>-51.781618238519059</v>
      </c>
      <c r="AC537">
        <v>1</v>
      </c>
      <c r="AD537">
        <f t="shared" si="442"/>
        <v>1515.7088120415149</v>
      </c>
      <c r="AE537">
        <f t="shared" si="443"/>
        <v>-2.7684754403297456</v>
      </c>
      <c r="AF537">
        <f t="shared" si="444"/>
        <v>0.39757294808720994</v>
      </c>
      <c r="AG537">
        <f t="shared" si="421"/>
        <v>76.680699580953828</v>
      </c>
      <c r="AH537">
        <f t="shared" si="422"/>
        <v>-536.47672600296744</v>
      </c>
      <c r="AJ537">
        <f t="shared" si="445"/>
        <v>18000</v>
      </c>
      <c r="AK537">
        <f t="shared" si="446"/>
        <v>114632.5186307196</v>
      </c>
      <c r="AL537">
        <v>1</v>
      </c>
      <c r="AM537">
        <f t="shared" si="447"/>
        <v>225.55110926246221</v>
      </c>
      <c r="AN537">
        <f t="shared" si="423"/>
        <v>508.57683083918801</v>
      </c>
      <c r="AO537">
        <f t="shared" si="424"/>
        <v>-77.549710246855611</v>
      </c>
      <c r="AQ537">
        <f t="shared" si="448"/>
        <v>9.5850617196501723E-4</v>
      </c>
      <c r="AR537">
        <f t="shared" si="449"/>
        <v>-3.0959749354470056</v>
      </c>
      <c r="AT537">
        <f t="shared" si="470"/>
        <v>-1660.844998232039</v>
      </c>
      <c r="AU537">
        <f t="shared" si="471"/>
        <v>-237.91574018816419</v>
      </c>
      <c r="AV537">
        <f t="shared" si="459"/>
        <v>-2.9993108006043538</v>
      </c>
      <c r="AW537">
        <f t="shared" si="460"/>
        <v>344.8749879045821</v>
      </c>
      <c r="AX537">
        <f t="shared" si="461"/>
        <v>-2271.8905458476129</v>
      </c>
      <c r="AY537">
        <f t="shared" si="469"/>
        <v>-1.4201455927227935</v>
      </c>
      <c r="BA537">
        <f t="shared" si="450"/>
        <v>0.73013894750972475</v>
      </c>
      <c r="BB537">
        <f t="shared" si="462"/>
        <v>-2.7318896908907906</v>
      </c>
      <c r="BC537">
        <f t="shared" si="463"/>
        <v>-1.5791652078815603</v>
      </c>
      <c r="BD537">
        <f t="shared" si="451"/>
        <v>-270.47950166890058</v>
      </c>
      <c r="BF537">
        <f t="shared" si="452"/>
        <v>-68.044649341482085</v>
      </c>
      <c r="BG537">
        <f t="shared" si="453"/>
        <v>-249.06542340055412</v>
      </c>
      <c r="BH537">
        <f t="shared" si="464"/>
        <v>-69.065423400554124</v>
      </c>
      <c r="BI537">
        <f t="shared" si="465"/>
        <v>-69.065423400554124</v>
      </c>
      <c r="BJ537">
        <f t="shared" si="454"/>
        <v>0</v>
      </c>
      <c r="BK537">
        <f t="shared" si="466"/>
        <v>0</v>
      </c>
      <c r="BM537">
        <f t="shared" si="467"/>
        <v>-65.312759650591303</v>
      </c>
      <c r="BN537">
        <f t="shared" si="455"/>
        <v>-158.58592173165354</v>
      </c>
      <c r="BQ537" s="56">
        <f t="shared" si="468"/>
        <v>14.170071109394344</v>
      </c>
    </row>
    <row r="538" spans="1:69" x14ac:dyDescent="0.2">
      <c r="A538">
        <f t="shared" ref="A538:A591" si="472">A537+5000</f>
        <v>1620000</v>
      </c>
      <c r="B538">
        <f t="shared" si="456"/>
        <v>1620</v>
      </c>
      <c r="C538">
        <f t="shared" si="425"/>
        <v>1.0736735873919592</v>
      </c>
      <c r="D538">
        <f t="shared" si="426"/>
        <v>0.37260612864193454</v>
      </c>
      <c r="F538">
        <f t="shared" si="427"/>
        <v>3.348812787631574E-5</v>
      </c>
      <c r="G538">
        <f t="shared" si="428"/>
        <v>2.1802140688066468E-3</v>
      </c>
      <c r="H538">
        <f t="shared" si="429"/>
        <v>-3.1394124359311935</v>
      </c>
      <c r="J538">
        <f t="shared" si="430"/>
        <v>15</v>
      </c>
      <c r="M538">
        <f t="shared" si="431"/>
        <v>1.3930547351865191E-4</v>
      </c>
      <c r="N538">
        <f t="shared" si="432"/>
        <v>-1.5707963250000001</v>
      </c>
      <c r="O538">
        <f t="shared" si="433"/>
        <v>1520.4017378433057</v>
      </c>
      <c r="P538">
        <f t="shared" si="434"/>
        <v>1.5701386058470648</v>
      </c>
      <c r="Q538">
        <f t="shared" si="435"/>
        <v>226.25161985005585</v>
      </c>
      <c r="R538">
        <f t="shared" si="436"/>
        <v>1.5663764545458112</v>
      </c>
      <c r="S538">
        <f t="shared" si="437"/>
        <v>0.15465546290401999</v>
      </c>
      <c r="T538">
        <f t="shared" si="438"/>
        <v>-1.4155176158649421</v>
      </c>
      <c r="U538">
        <f t="shared" si="439"/>
        <v>0.1417189831985281</v>
      </c>
      <c r="V538">
        <f t="shared" si="440"/>
        <v>-1.4285986170973233</v>
      </c>
      <c r="X538">
        <f t="shared" si="457"/>
        <v>-64.936681474936876</v>
      </c>
      <c r="Y538">
        <f t="shared" si="441"/>
        <v>-231.77310555350215</v>
      </c>
      <c r="Z538">
        <f t="shared" si="458"/>
        <v>-51.773105553502148</v>
      </c>
      <c r="AC538">
        <v>1</v>
      </c>
      <c r="AD538">
        <f t="shared" si="442"/>
        <v>1520.4014089828199</v>
      </c>
      <c r="AE538">
        <f t="shared" si="443"/>
        <v>-2.7856442391286733</v>
      </c>
      <c r="AF538">
        <f t="shared" si="444"/>
        <v>0.39880382408747994</v>
      </c>
      <c r="AG538">
        <f t="shared" si="421"/>
        <v>76.217584359108628</v>
      </c>
      <c r="AH538">
        <f t="shared" si="422"/>
        <v>-534.88723504181519</v>
      </c>
      <c r="AJ538">
        <f t="shared" si="445"/>
        <v>18000</v>
      </c>
      <c r="AK538">
        <f t="shared" si="446"/>
        <v>114987.4180692048</v>
      </c>
      <c r="AL538">
        <v>1</v>
      </c>
      <c r="AM538">
        <f t="shared" si="447"/>
        <v>226.24940991033364</v>
      </c>
      <c r="AN538">
        <f t="shared" si="423"/>
        <v>508.57471179024128</v>
      </c>
      <c r="AO538">
        <f t="shared" si="424"/>
        <v>-77.310368655290176</v>
      </c>
      <c r="AQ538">
        <f t="shared" si="448"/>
        <v>9.5259859847978605E-4</v>
      </c>
      <c r="AR538">
        <f t="shared" si="449"/>
        <v>-3.0864194590745067</v>
      </c>
      <c r="AT538">
        <f t="shared" si="470"/>
        <v>-1650.8137658795777</v>
      </c>
      <c r="AU538">
        <f t="shared" si="471"/>
        <v>-235.74896832005118</v>
      </c>
      <c r="AV538">
        <f t="shared" si="459"/>
        <v>-2.9997440228745433</v>
      </c>
      <c r="AW538">
        <f t="shared" si="460"/>
        <v>345.89113671467948</v>
      </c>
      <c r="AX538">
        <f t="shared" si="461"/>
        <v>-2264.9368920772868</v>
      </c>
      <c r="AY538">
        <f t="shared" si="469"/>
        <v>-1.4192516252725718</v>
      </c>
      <c r="BA538">
        <f t="shared" si="450"/>
        <v>0.72781293366371602</v>
      </c>
      <c r="BB538">
        <f t="shared" si="462"/>
        <v>-2.7596046202588309</v>
      </c>
      <c r="BC538">
        <f t="shared" si="463"/>
        <v>-1.5804923976019716</v>
      </c>
      <c r="BD538">
        <f t="shared" si="451"/>
        <v>-270.55554403858019</v>
      </c>
      <c r="BF538">
        <f t="shared" si="452"/>
        <v>-68.122516661614696</v>
      </c>
      <c r="BG538">
        <f t="shared" si="453"/>
        <v>-249.08186835757377</v>
      </c>
      <c r="BH538">
        <f t="shared" si="464"/>
        <v>-69.081868357573768</v>
      </c>
      <c r="BI538">
        <f t="shared" si="465"/>
        <v>-69.081868357573768</v>
      </c>
      <c r="BJ538">
        <f t="shared" si="454"/>
        <v>0</v>
      </c>
      <c r="BK538">
        <f t="shared" si="466"/>
        <v>0</v>
      </c>
      <c r="BM538">
        <f t="shared" si="467"/>
        <v>-65.362912041355855</v>
      </c>
      <c r="BN538">
        <f t="shared" si="455"/>
        <v>-158.5263243189936</v>
      </c>
      <c r="BQ538" s="56">
        <f t="shared" si="468"/>
        <v>14.142356180026304</v>
      </c>
    </row>
    <row r="539" spans="1:69" x14ac:dyDescent="0.2">
      <c r="A539">
        <f t="shared" si="472"/>
        <v>1625000</v>
      </c>
      <c r="B539">
        <f t="shared" si="456"/>
        <v>1625</v>
      </c>
      <c r="C539">
        <f t="shared" si="425"/>
        <v>1.0741133473613678</v>
      </c>
      <c r="D539">
        <f t="shared" si="426"/>
        <v>0.37365219393467264</v>
      </c>
      <c r="F539">
        <f t="shared" si="427"/>
        <v>3.3282357708146731E-5</v>
      </c>
      <c r="G539">
        <f t="shared" si="428"/>
        <v>2.1735052874249663E-3</v>
      </c>
      <c r="H539">
        <f t="shared" si="429"/>
        <v>-3.1394191447125754</v>
      </c>
      <c r="J539">
        <f t="shared" si="430"/>
        <v>15</v>
      </c>
      <c r="M539">
        <f t="shared" si="431"/>
        <v>1.3887684129244068E-4</v>
      </c>
      <c r="N539">
        <f t="shared" si="432"/>
        <v>-1.5707963250000001</v>
      </c>
      <c r="O539">
        <f t="shared" si="433"/>
        <v>1525.0943337727326</v>
      </c>
      <c r="P539">
        <f t="shared" si="434"/>
        <v>1.5701406296032463</v>
      </c>
      <c r="Q539">
        <f t="shared" si="435"/>
        <v>226.94991369817879</v>
      </c>
      <c r="R539">
        <f t="shared" si="436"/>
        <v>1.5663900539764342</v>
      </c>
      <c r="S539">
        <f t="shared" si="437"/>
        <v>0.15419093055136587</v>
      </c>
      <c r="T539">
        <f t="shared" si="438"/>
        <v>-1.4159877880334086</v>
      </c>
      <c r="U539">
        <f t="shared" si="439"/>
        <v>0.14129164313084991</v>
      </c>
      <c r="V539">
        <f t="shared" si="440"/>
        <v>-1.4290303009893348</v>
      </c>
      <c r="X539">
        <f t="shared" si="457"/>
        <v>-65.012253579567272</v>
      </c>
      <c r="Y539">
        <f t="shared" si="441"/>
        <v>-231.76433221530925</v>
      </c>
      <c r="Z539">
        <f t="shared" si="458"/>
        <v>-51.764332215309253</v>
      </c>
      <c r="AC539">
        <v>1</v>
      </c>
      <c r="AD539">
        <f t="shared" si="442"/>
        <v>1525.094005924125</v>
      </c>
      <c r="AE539">
        <f t="shared" si="443"/>
        <v>-2.8028661099486181</v>
      </c>
      <c r="AF539">
        <f t="shared" si="444"/>
        <v>0.40003470008775005</v>
      </c>
      <c r="AG539">
        <f t="shared" si="421"/>
        <v>75.758623677720379</v>
      </c>
      <c r="AH539">
        <f t="shared" si="422"/>
        <v>-533.30693261318504</v>
      </c>
      <c r="AJ539">
        <f t="shared" si="445"/>
        <v>18000</v>
      </c>
      <c r="AK539">
        <f t="shared" si="446"/>
        <v>115342.31750769001</v>
      </c>
      <c r="AL539">
        <v>1</v>
      </c>
      <c r="AM539">
        <f t="shared" si="447"/>
        <v>226.94771055820502</v>
      </c>
      <c r="AN539">
        <f t="shared" si="423"/>
        <v>508.57261227113167</v>
      </c>
      <c r="AO539">
        <f t="shared" si="424"/>
        <v>-77.072499849003151</v>
      </c>
      <c r="AQ539">
        <f t="shared" si="448"/>
        <v>9.4674547249747011E-4</v>
      </c>
      <c r="AR539">
        <f t="shared" si="449"/>
        <v>-3.0769227856167776</v>
      </c>
      <c r="AT539">
        <f t="shared" si="470"/>
        <v>-1640.8725285509308</v>
      </c>
      <c r="AU539">
        <f t="shared" si="471"/>
        <v>-233.6083413248476</v>
      </c>
      <c r="AV539">
        <f t="shared" si="459"/>
        <v>-3.0001746326778993</v>
      </c>
      <c r="AW539">
        <f t="shared" si="460"/>
        <v>346.89780838217712</v>
      </c>
      <c r="AX539">
        <f t="shared" si="461"/>
        <v>-2258.0255098544312</v>
      </c>
      <c r="AY539">
        <f t="shared" si="469"/>
        <v>-1.4183593081583301</v>
      </c>
      <c r="BA539">
        <f t="shared" si="450"/>
        <v>0.72550058833849906</v>
      </c>
      <c r="BB539">
        <f t="shared" si="462"/>
        <v>-2.7872446207741133</v>
      </c>
      <c r="BC539">
        <f t="shared" si="463"/>
        <v>-1.5818153245195692</v>
      </c>
      <c r="BD539">
        <f t="shared" si="451"/>
        <v>-270.63134216764939</v>
      </c>
      <c r="BF539">
        <f t="shared" si="452"/>
        <v>-68.200135494064796</v>
      </c>
      <c r="BG539">
        <f t="shared" si="453"/>
        <v>-249.0981157450648</v>
      </c>
      <c r="BH539">
        <f t="shared" si="464"/>
        <v>-69.098115745064803</v>
      </c>
      <c r="BI539">
        <f t="shared" si="465"/>
        <v>-69.098115745064803</v>
      </c>
      <c r="BJ539">
        <f t="shared" si="454"/>
        <v>0</v>
      </c>
      <c r="BK539">
        <f t="shared" si="466"/>
        <v>0</v>
      </c>
      <c r="BM539">
        <f t="shared" si="467"/>
        <v>-65.412890873290678</v>
      </c>
      <c r="BN539">
        <f t="shared" si="455"/>
        <v>-158.46677357741541</v>
      </c>
      <c r="BQ539" s="56">
        <f t="shared" si="468"/>
        <v>14.114716179511024</v>
      </c>
    </row>
    <row r="540" spans="1:69" x14ac:dyDescent="0.2">
      <c r="A540">
        <f t="shared" si="472"/>
        <v>1630000</v>
      </c>
      <c r="B540">
        <f t="shared" si="456"/>
        <v>1630</v>
      </c>
      <c r="C540">
        <f t="shared" si="425"/>
        <v>1.0745542817193241</v>
      </c>
      <c r="D540">
        <f t="shared" si="426"/>
        <v>0.37469740188207162</v>
      </c>
      <c r="F540">
        <f t="shared" si="427"/>
        <v>3.3078478303108753E-5</v>
      </c>
      <c r="G540">
        <f t="shared" si="428"/>
        <v>2.1668376681539645E-3</v>
      </c>
      <c r="H540">
        <f t="shared" si="429"/>
        <v>-3.1394258123318464</v>
      </c>
      <c r="J540">
        <f t="shared" si="430"/>
        <v>15</v>
      </c>
      <c r="M540">
        <f t="shared" si="431"/>
        <v>1.3845083871178902E-4</v>
      </c>
      <c r="N540">
        <f t="shared" si="432"/>
        <v>-1.5707963250000001</v>
      </c>
      <c r="O540">
        <f t="shared" si="433"/>
        <v>1529.7869297083673</v>
      </c>
      <c r="P540">
        <f t="shared" si="434"/>
        <v>1.5701426409437511</v>
      </c>
      <c r="Q540">
        <f t="shared" si="435"/>
        <v>227.64820758801741</v>
      </c>
      <c r="R540">
        <f t="shared" si="436"/>
        <v>1.5664035699765821</v>
      </c>
      <c r="S540">
        <f t="shared" si="437"/>
        <v>0.15372914675691193</v>
      </c>
      <c r="T540">
        <f t="shared" si="438"/>
        <v>-1.4164551440834197</v>
      </c>
      <c r="U540">
        <f t="shared" si="439"/>
        <v>0.14086684650719791</v>
      </c>
      <c r="V540">
        <f t="shared" si="440"/>
        <v>-1.4294593892255083</v>
      </c>
      <c r="X540">
        <f t="shared" si="457"/>
        <v>-65.087581557812257</v>
      </c>
      <c r="Y540">
        <f t="shared" si="441"/>
        <v>-231.75530106072361</v>
      </c>
      <c r="Z540">
        <f t="shared" si="458"/>
        <v>-51.75530106072361</v>
      </c>
      <c r="AC540">
        <v>1</v>
      </c>
      <c r="AD540">
        <f t="shared" si="442"/>
        <v>1529.78660286543</v>
      </c>
      <c r="AE540">
        <f t="shared" si="443"/>
        <v>-2.8201410527895794</v>
      </c>
      <c r="AF540">
        <f t="shared" si="444"/>
        <v>0.40126557608802005</v>
      </c>
      <c r="AG540">
        <f t="shared" si="421"/>
        <v>75.303768332276505</v>
      </c>
      <c r="AH540">
        <f t="shared" si="422"/>
        <v>-531.73574116112422</v>
      </c>
      <c r="AJ540">
        <f t="shared" si="445"/>
        <v>18000</v>
      </c>
      <c r="AK540">
        <f t="shared" si="446"/>
        <v>115697.21694617521</v>
      </c>
      <c r="AL540">
        <v>1</v>
      </c>
      <c r="AM540">
        <f t="shared" si="447"/>
        <v>227.64601120607642</v>
      </c>
      <c r="AN540">
        <f t="shared" si="423"/>
        <v>508.57053204260455</v>
      </c>
      <c r="AO540">
        <f t="shared" si="424"/>
        <v>-76.836090275806725</v>
      </c>
      <c r="AQ540">
        <f t="shared" si="448"/>
        <v>9.4094612697635143E-4</v>
      </c>
      <c r="AR540">
        <f t="shared" si="449"/>
        <v>-3.0674843739429059</v>
      </c>
      <c r="AT540">
        <f t="shared" si="470"/>
        <v>-1631.0202202895391</v>
      </c>
      <c r="AU540">
        <f t="shared" si="471"/>
        <v>-231.49346734449529</v>
      </c>
      <c r="AV540">
        <f t="shared" si="459"/>
        <v>-3.0006026534149135</v>
      </c>
      <c r="AW540">
        <f t="shared" si="460"/>
        <v>347.89512067513112</v>
      </c>
      <c r="AX540">
        <f t="shared" si="461"/>
        <v>-2251.1560162927917</v>
      </c>
      <c r="AY540">
        <f t="shared" si="469"/>
        <v>-1.4174686279771009</v>
      </c>
      <c r="BA540">
        <f t="shared" si="450"/>
        <v>0.72320179051324829</v>
      </c>
      <c r="BB540">
        <f t="shared" si="462"/>
        <v>-2.8148101459785053</v>
      </c>
      <c r="BC540">
        <f t="shared" si="463"/>
        <v>-1.5831340254378126</v>
      </c>
      <c r="BD540">
        <f t="shared" si="451"/>
        <v>-270.70689816479114</v>
      </c>
      <c r="BF540">
        <f t="shared" si="452"/>
        <v>-68.277507331527246</v>
      </c>
      <c r="BG540">
        <f t="shared" si="453"/>
        <v>-249.11416776448266</v>
      </c>
      <c r="BH540">
        <f t="shared" si="464"/>
        <v>-69.114167764482659</v>
      </c>
      <c r="BI540">
        <f t="shared" si="465"/>
        <v>-69.114167764482659</v>
      </c>
      <c r="BJ540">
        <f t="shared" si="454"/>
        <v>0</v>
      </c>
      <c r="BK540">
        <f t="shared" si="466"/>
        <v>0</v>
      </c>
      <c r="BM540">
        <f t="shared" si="467"/>
        <v>-65.462697185548734</v>
      </c>
      <c r="BN540">
        <f t="shared" si="455"/>
        <v>-158.40726959969157</v>
      </c>
      <c r="BQ540" s="56">
        <f t="shared" si="468"/>
        <v>14.08715065430663</v>
      </c>
    </row>
    <row r="541" spans="1:69" x14ac:dyDescent="0.2">
      <c r="A541">
        <f t="shared" si="472"/>
        <v>1635000</v>
      </c>
      <c r="B541">
        <f t="shared" si="456"/>
        <v>1635</v>
      </c>
      <c r="C541">
        <f t="shared" si="425"/>
        <v>1.0749963890207208</v>
      </c>
      <c r="D541">
        <f t="shared" si="426"/>
        <v>0.37574175125682302</v>
      </c>
      <c r="F541">
        <f t="shared" si="427"/>
        <v>3.2876466566810457E-5</v>
      </c>
      <c r="G541">
        <f t="shared" si="428"/>
        <v>2.16021083331159E-3</v>
      </c>
      <c r="H541">
        <f t="shared" si="429"/>
        <v>-3.1394324391666886</v>
      </c>
      <c r="J541">
        <f t="shared" si="430"/>
        <v>15</v>
      </c>
      <c r="M541">
        <f t="shared" si="431"/>
        <v>1.3802744165150832E-4</v>
      </c>
      <c r="N541">
        <f t="shared" si="432"/>
        <v>-1.5707963250000001</v>
      </c>
      <c r="O541">
        <f t="shared" si="433"/>
        <v>1534.4795256501525</v>
      </c>
      <c r="P541">
        <f t="shared" si="434"/>
        <v>1.5701446399824845</v>
      </c>
      <c r="Q541">
        <f t="shared" si="435"/>
        <v>228.34650151918899</v>
      </c>
      <c r="R541">
        <f t="shared" si="436"/>
        <v>1.5664170033116529</v>
      </c>
      <c r="S541">
        <f t="shared" si="437"/>
        <v>0.15327008750205712</v>
      </c>
      <c r="T541">
        <f t="shared" si="438"/>
        <v>-1.4169197090380028</v>
      </c>
      <c r="U541">
        <f t="shared" si="439"/>
        <v>0.14044457092274548</v>
      </c>
      <c r="V541">
        <f t="shared" si="440"/>
        <v>-1.4298859049900641</v>
      </c>
      <c r="X541">
        <f t="shared" si="457"/>
        <v>-65.162666815776376</v>
      </c>
      <c r="Y541">
        <f t="shared" si="441"/>
        <v>-231.74601489339582</v>
      </c>
      <c r="Z541">
        <f t="shared" si="458"/>
        <v>-51.746014893395824</v>
      </c>
      <c r="AC541">
        <v>1</v>
      </c>
      <c r="AD541">
        <f t="shared" si="442"/>
        <v>1534.4791998067351</v>
      </c>
      <c r="AE541">
        <f t="shared" si="443"/>
        <v>-2.8374690676515582</v>
      </c>
      <c r="AF541">
        <f t="shared" si="444"/>
        <v>0.40249645208829005</v>
      </c>
      <c r="AG541">
        <f t="shared" si="421"/>
        <v>74.852969839453365</v>
      </c>
      <c r="AH541">
        <f t="shared" si="422"/>
        <v>-530.17358397607666</v>
      </c>
      <c r="AJ541">
        <f t="shared" si="445"/>
        <v>18000</v>
      </c>
      <c r="AK541">
        <f t="shared" si="446"/>
        <v>116052.1163846604</v>
      </c>
      <c r="AL541">
        <v>1</v>
      </c>
      <c r="AM541">
        <f t="shared" si="447"/>
        <v>228.34431185394783</v>
      </c>
      <c r="AN541">
        <f t="shared" si="423"/>
        <v>508.5684708690585</v>
      </c>
      <c r="AO541">
        <f t="shared" si="424"/>
        <v>-76.601126549273104</v>
      </c>
      <c r="AQ541">
        <f t="shared" si="448"/>
        <v>9.3519990505850563E-4</v>
      </c>
      <c r="AR541">
        <f t="shared" si="449"/>
        <v>-3.0581036895413134</v>
      </c>
      <c r="AT541">
        <f t="shared" si="470"/>
        <v>-1621.2557907642943</v>
      </c>
      <c r="AU541">
        <f t="shared" si="471"/>
        <v>-229.40396152455597</v>
      </c>
      <c r="AV541">
        <f t="shared" si="459"/>
        <v>-3.0010281082093524</v>
      </c>
      <c r="AW541">
        <f t="shared" si="460"/>
        <v>348.88318953414438</v>
      </c>
      <c r="AX541">
        <f t="shared" si="461"/>
        <v>-2244.3280331008523</v>
      </c>
      <c r="AY541">
        <f t="shared" si="469"/>
        <v>-1.4165795715032194</v>
      </c>
      <c r="BA541">
        <f t="shared" si="450"/>
        <v>0.72091642058205507</v>
      </c>
      <c r="BB541">
        <f t="shared" si="462"/>
        <v>-2.8423016455293419</v>
      </c>
      <c r="BC541">
        <f t="shared" si="463"/>
        <v>-1.5844485367061329</v>
      </c>
      <c r="BD541">
        <f t="shared" si="451"/>
        <v>-270.7822141126743</v>
      </c>
      <c r="BF541">
        <f t="shared" si="452"/>
        <v>-68.354633653472945</v>
      </c>
      <c r="BG541">
        <f t="shared" si="453"/>
        <v>-249.13002659045551</v>
      </c>
      <c r="BH541">
        <f t="shared" si="464"/>
        <v>-69.130026590455515</v>
      </c>
      <c r="BI541">
        <f t="shared" si="465"/>
        <v>-69.130026590455515</v>
      </c>
      <c r="BJ541">
        <f t="shared" si="454"/>
        <v>0</v>
      </c>
      <c r="BK541">
        <f t="shared" si="466"/>
        <v>0</v>
      </c>
      <c r="BM541">
        <f t="shared" si="467"/>
        <v>-65.512332007943598</v>
      </c>
      <c r="BN541">
        <f t="shared" si="455"/>
        <v>-158.34781247778122</v>
      </c>
      <c r="BQ541" s="56">
        <f t="shared" si="468"/>
        <v>14.059659154755796</v>
      </c>
    </row>
    <row r="542" spans="1:69" x14ac:dyDescent="0.2">
      <c r="A542">
        <f t="shared" si="472"/>
        <v>1640000</v>
      </c>
      <c r="B542">
        <f t="shared" si="456"/>
        <v>1640</v>
      </c>
      <c r="C542">
        <f t="shared" si="425"/>
        <v>1.0754396678189866</v>
      </c>
      <c r="D542">
        <f t="shared" si="426"/>
        <v>0.37678524084112497</v>
      </c>
      <c r="F542">
        <f t="shared" si="427"/>
        <v>3.2676299756393315E-5</v>
      </c>
      <c r="G542">
        <f t="shared" si="428"/>
        <v>2.1536244098223955E-3</v>
      </c>
      <c r="H542">
        <f t="shared" si="429"/>
        <v>-3.1394390255901778</v>
      </c>
      <c r="J542">
        <f t="shared" si="430"/>
        <v>15</v>
      </c>
      <c r="M542">
        <f t="shared" si="431"/>
        <v>1.3760662628061957E-4</v>
      </c>
      <c r="N542">
        <f t="shared" si="432"/>
        <v>-1.5707963250000001</v>
      </c>
      <c r="O542">
        <f t="shared" si="433"/>
        <v>1539.1721215980328</v>
      </c>
      <c r="P542">
        <f t="shared" si="434"/>
        <v>1.5701466268319624</v>
      </c>
      <c r="Q542">
        <f t="shared" si="435"/>
        <v>229.04479549131545</v>
      </c>
      <c r="R542">
        <f t="shared" si="436"/>
        <v>1.5664303547377101</v>
      </c>
      <c r="S542">
        <f t="shared" si="437"/>
        <v>0.15281372904357937</v>
      </c>
      <c r="T542">
        <f t="shared" si="438"/>
        <v>-1.4173815076270155</v>
      </c>
      <c r="U542">
        <f t="shared" si="439"/>
        <v>0.14002479423220818</v>
      </c>
      <c r="V542">
        <f t="shared" si="440"/>
        <v>-1.4303098711938087</v>
      </c>
      <c r="X542">
        <f t="shared" si="457"/>
        <v>-65.237510747622011</v>
      </c>
      <c r="Y542">
        <f t="shared" si="441"/>
        <v>-231.7364764843197</v>
      </c>
      <c r="Z542">
        <f t="shared" si="458"/>
        <v>-51.736476484319695</v>
      </c>
      <c r="AC542">
        <v>1</v>
      </c>
      <c r="AD542">
        <f t="shared" si="442"/>
        <v>1539.1717967480399</v>
      </c>
      <c r="AE542">
        <f t="shared" si="443"/>
        <v>-2.854850154534553</v>
      </c>
      <c r="AF542">
        <f t="shared" si="444"/>
        <v>0.40372732808856004</v>
      </c>
      <c r="AG542">
        <f t="shared" si="421"/>
        <v>74.406180424560603</v>
      </c>
      <c r="AH542">
        <f t="shared" si="422"/>
        <v>-528.62038518375459</v>
      </c>
      <c r="AJ542">
        <f t="shared" si="445"/>
        <v>18000</v>
      </c>
      <c r="AK542">
        <f t="shared" si="446"/>
        <v>116407.01582314562</v>
      </c>
      <c r="AL542">
        <v>1</v>
      </c>
      <c r="AM542">
        <f t="shared" si="447"/>
        <v>229.04261250181921</v>
      </c>
      <c r="AN542">
        <f t="shared" si="423"/>
        <v>508.56642851847778</v>
      </c>
      <c r="AO542">
        <f t="shared" si="424"/>
        <v>-76.367595446208057</v>
      </c>
      <c r="AQ542">
        <f t="shared" si="448"/>
        <v>9.2950615988379682E-4</v>
      </c>
      <c r="AR542">
        <f t="shared" si="449"/>
        <v>-3.0487802044188537</v>
      </c>
      <c r="AT542">
        <f t="shared" si="470"/>
        <v>-1611.5782049974625</v>
      </c>
      <c r="AU542">
        <f t="shared" si="471"/>
        <v>-227.3394458690864</v>
      </c>
      <c r="AV542">
        <f t="shared" si="459"/>
        <v>-3.001451019912305</v>
      </c>
      <c r="AW542">
        <f t="shared" si="460"/>
        <v>349.86212910634822</v>
      </c>
      <c r="AX542">
        <f t="shared" si="461"/>
        <v>-2237.5411865133233</v>
      </c>
      <c r="AY542">
        <f t="shared" si="469"/>
        <v>-1.4156921256854635</v>
      </c>
      <c r="BA542">
        <f t="shared" si="450"/>
        <v>0.71864436033356294</v>
      </c>
      <c r="BB542">
        <f t="shared" si="462"/>
        <v>-2.8697195652418395</v>
      </c>
      <c r="BC542">
        <f t="shared" si="463"/>
        <v>-1.5857588942268415</v>
      </c>
      <c r="BD542">
        <f t="shared" si="451"/>
        <v>-270.85729206834992</v>
      </c>
      <c r="BF542">
        <f t="shared" si="452"/>
        <v>-68.431515926305138</v>
      </c>
      <c r="BG542">
        <f t="shared" si="453"/>
        <v>-249.14569437118487</v>
      </c>
      <c r="BH542">
        <f t="shared" si="464"/>
        <v>-69.145694371184874</v>
      </c>
      <c r="BI542">
        <f t="shared" si="465"/>
        <v>-69.145694371184874</v>
      </c>
      <c r="BJ542">
        <f t="shared" si="454"/>
        <v>0</v>
      </c>
      <c r="BK542">
        <f t="shared" si="466"/>
        <v>0</v>
      </c>
      <c r="BM542">
        <f t="shared" si="467"/>
        <v>-65.561796361063287</v>
      </c>
      <c r="BN542">
        <f t="shared" si="455"/>
        <v>-158.28840230283498</v>
      </c>
      <c r="BQ542" s="56">
        <f t="shared" si="468"/>
        <v>14.032241235043298</v>
      </c>
    </row>
    <row r="543" spans="1:69" x14ac:dyDescent="0.2">
      <c r="A543">
        <f t="shared" si="472"/>
        <v>1645000</v>
      </c>
      <c r="B543">
        <f t="shared" si="456"/>
        <v>1645</v>
      </c>
      <c r="C543">
        <f t="shared" si="425"/>
        <v>1.0758841166661033</v>
      </c>
      <c r="D543">
        <f t="shared" si="426"/>
        <v>0.37782786942666957</v>
      </c>
      <c r="F543">
        <f t="shared" si="427"/>
        <v>3.2477955474129985E-5</v>
      </c>
      <c r="G543">
        <f t="shared" si="428"/>
        <v>2.1470780291475214E-3</v>
      </c>
      <c r="H543">
        <f t="shared" si="429"/>
        <v>-3.1394455719708527</v>
      </c>
      <c r="J543">
        <f t="shared" si="430"/>
        <v>15</v>
      </c>
      <c r="M543">
        <f t="shared" si="431"/>
        <v>1.3718836905788213E-4</v>
      </c>
      <c r="N543">
        <f t="shared" si="432"/>
        <v>-1.5707963250000001</v>
      </c>
      <c r="O543">
        <f t="shared" si="433"/>
        <v>1543.864717551952</v>
      </c>
      <c r="P543">
        <f t="shared" si="434"/>
        <v>1.570148601603333</v>
      </c>
      <c r="Q543">
        <f t="shared" si="435"/>
        <v>229.74308950402337</v>
      </c>
      <c r="R543">
        <f t="shared" si="436"/>
        <v>1.5664436250016256</v>
      </c>
      <c r="S543">
        <f t="shared" si="437"/>
        <v>0.1523600479097556</v>
      </c>
      <c r="T543">
        <f t="shared" si="438"/>
        <v>-1.4178405642913898</v>
      </c>
      <c r="U543">
        <f t="shared" si="439"/>
        <v>0.13960749454613941</v>
      </c>
      <c r="V543">
        <f t="shared" si="440"/>
        <v>-1.4307313104781259</v>
      </c>
      <c r="X543">
        <f t="shared" si="457"/>
        <v>-65.312114735703958</v>
      </c>
      <c r="Y543">
        <f t="shared" si="441"/>
        <v>-231.72668857229885</v>
      </c>
      <c r="Z543">
        <f t="shared" si="458"/>
        <v>-51.726688572298855</v>
      </c>
      <c r="AC543">
        <v>1</v>
      </c>
      <c r="AD543">
        <f t="shared" si="442"/>
        <v>1543.864393689345</v>
      </c>
      <c r="AE543">
        <f t="shared" si="443"/>
        <v>-2.8722843134385649</v>
      </c>
      <c r="AF543">
        <f t="shared" si="444"/>
        <v>0.40495820408882999</v>
      </c>
      <c r="AG543">
        <f t="shared" si="421"/>
        <v>73.963353009237679</v>
      </c>
      <c r="AH543">
        <f t="shared" si="422"/>
        <v>-527.07606973418001</v>
      </c>
      <c r="AJ543">
        <f t="shared" si="445"/>
        <v>18000</v>
      </c>
      <c r="AK543">
        <f t="shared" si="446"/>
        <v>116761.91526163078</v>
      </c>
      <c r="AL543">
        <v>1</v>
      </c>
      <c r="AM543">
        <f t="shared" si="447"/>
        <v>229.74091314969061</v>
      </c>
      <c r="AN543">
        <f t="shared" si="423"/>
        <v>508.56440476236656</v>
      </c>
      <c r="AO543">
        <f t="shared" si="424"/>
        <v>-76.135483904170201</v>
      </c>
      <c r="AQ543">
        <f t="shared" si="448"/>
        <v>9.2386425440782569E-4</v>
      </c>
      <c r="AR543">
        <f t="shared" si="449"/>
        <v>-3.0395133970017465</v>
      </c>
      <c r="AT543">
        <f t="shared" si="470"/>
        <v>-1601.9864430980856</v>
      </c>
      <c r="AU543">
        <f t="shared" si="471"/>
        <v>-225.29954909892854</v>
      </c>
      <c r="AV543">
        <f t="shared" si="459"/>
        <v>-3.0018714111061651</v>
      </c>
      <c r="AW543">
        <f t="shared" si="460"/>
        <v>350.83205177865074</v>
      </c>
      <c r="AX543">
        <f t="shared" si="461"/>
        <v>-2230.7951072238502</v>
      </c>
      <c r="AY543">
        <f t="shared" si="469"/>
        <v>-1.4148062776442472</v>
      </c>
      <c r="BA543">
        <f t="shared" si="450"/>
        <v>0.71638549293095188</v>
      </c>
      <c r="BB543">
        <f t="shared" si="462"/>
        <v>-2.8970643471309159</v>
      </c>
      <c r="BC543">
        <f t="shared" si="463"/>
        <v>-1.5870651334619179</v>
      </c>
      <c r="BD543">
        <f t="shared" si="451"/>
        <v>-270.93213406363975</v>
      </c>
      <c r="BF543">
        <f t="shared" si="452"/>
        <v>-68.508155603513231</v>
      </c>
      <c r="BG543">
        <f t="shared" si="453"/>
        <v>-249.16117322883923</v>
      </c>
      <c r="BH543">
        <f t="shared" si="464"/>
        <v>-69.161173228839232</v>
      </c>
      <c r="BI543">
        <f t="shared" si="465"/>
        <v>-69.161173228839232</v>
      </c>
      <c r="BJ543">
        <f t="shared" si="454"/>
        <v>0</v>
      </c>
      <c r="BK543">
        <f t="shared" si="466"/>
        <v>0</v>
      </c>
      <c r="BM543">
        <f t="shared" si="467"/>
        <v>-65.611091256382309</v>
      </c>
      <c r="BN543">
        <f t="shared" si="455"/>
        <v>-158.22903916519951</v>
      </c>
      <c r="BQ543" s="56">
        <f t="shared" si="468"/>
        <v>14.00489645315422</v>
      </c>
    </row>
    <row r="544" spans="1:69" x14ac:dyDescent="0.2">
      <c r="A544">
        <f t="shared" si="472"/>
        <v>1650000</v>
      </c>
      <c r="B544">
        <f t="shared" si="456"/>
        <v>1650</v>
      </c>
      <c r="C544">
        <f t="shared" si="425"/>
        <v>1.0763297341126266</v>
      </c>
      <c r="D544">
        <f t="shared" si="426"/>
        <v>0.37886963581462996</v>
      </c>
      <c r="F544">
        <f t="shared" si="427"/>
        <v>3.2281411661158325E-5</v>
      </c>
      <c r="G544">
        <f t="shared" si="428"/>
        <v>2.1405713272159414E-3</v>
      </c>
      <c r="H544">
        <f t="shared" si="429"/>
        <v>-3.1394520786727842</v>
      </c>
      <c r="J544">
        <f t="shared" si="430"/>
        <v>15</v>
      </c>
      <c r="M544">
        <f t="shared" si="431"/>
        <v>1.3677264672740368E-4</v>
      </c>
      <c r="N544">
        <f t="shared" si="432"/>
        <v>-1.5707963250000001</v>
      </c>
      <c r="O544">
        <f t="shared" si="433"/>
        <v>1548.5573135118555</v>
      </c>
      <c r="P544">
        <f t="shared" si="434"/>
        <v>1.5701505644063973</v>
      </c>
      <c r="Q544">
        <f t="shared" si="435"/>
        <v>230.44138355694383</v>
      </c>
      <c r="R544">
        <f t="shared" si="436"/>
        <v>1.5664568148412181</v>
      </c>
      <c r="S544">
        <f t="shared" si="437"/>
        <v>0.15190902089654626</v>
      </c>
      <c r="T544">
        <f t="shared" si="438"/>
        <v>-1.4182969031873036</v>
      </c>
      <c r="U544">
        <f t="shared" si="439"/>
        <v>0.13919265022728822</v>
      </c>
      <c r="V544">
        <f t="shared" si="440"/>
        <v>-1.4311502452188989</v>
      </c>
      <c r="X544">
        <f t="shared" si="457"/>
        <v>-65.386480150702099</v>
      </c>
      <c r="Y544">
        <f t="shared" si="441"/>
        <v>-231.71665386440642</v>
      </c>
      <c r="Z544">
        <f t="shared" si="458"/>
        <v>-51.716653864406425</v>
      </c>
      <c r="AC544">
        <v>1</v>
      </c>
      <c r="AD544">
        <f t="shared" si="442"/>
        <v>1548.5569906306498</v>
      </c>
      <c r="AE544">
        <f t="shared" si="443"/>
        <v>-2.8897715443635934</v>
      </c>
      <c r="AF544">
        <f t="shared" si="444"/>
        <v>0.40618908008909999</v>
      </c>
      <c r="AG544">
        <f t="shared" si="421"/>
        <v>73.524441199397273</v>
      </c>
      <c r="AH544">
        <f t="shared" si="422"/>
        <v>-525.54056339088891</v>
      </c>
      <c r="AJ544">
        <f t="shared" si="445"/>
        <v>18000</v>
      </c>
      <c r="AK544">
        <f t="shared" si="446"/>
        <v>117116.814700116</v>
      </c>
      <c r="AL544">
        <v>1</v>
      </c>
      <c r="AM544">
        <f t="shared" si="447"/>
        <v>230.43921379756199</v>
      </c>
      <c r="AN544">
        <f t="shared" si="423"/>
        <v>508.56239937568694</v>
      </c>
      <c r="AO544">
        <f t="shared" si="424"/>
        <v>-75.9047790190359</v>
      </c>
      <c r="AQ544">
        <f t="shared" si="448"/>
        <v>9.1827356122373171E-4</v>
      </c>
      <c r="AR544">
        <f t="shared" si="449"/>
        <v>-3.0303027520383146</v>
      </c>
      <c r="AT544">
        <f t="shared" si="470"/>
        <v>-1592.4795000007198</v>
      </c>
      <c r="AU544">
        <f t="shared" si="471"/>
        <v>-223.28390651332526</v>
      </c>
      <c r="AV544">
        <f t="shared" si="459"/>
        <v>-3.0022893041085399</v>
      </c>
      <c r="AW544">
        <f t="shared" si="460"/>
        <v>351.79306821026654</v>
      </c>
      <c r="AX544">
        <f t="shared" si="461"/>
        <v>-2224.0894303189207</v>
      </c>
      <c r="AY544">
        <f t="shared" si="469"/>
        <v>-1.4139220146688665</v>
      </c>
      <c r="BA544">
        <f t="shared" si="450"/>
        <v>0.71413970289225681</v>
      </c>
      <c r="BB544">
        <f t="shared" si="462"/>
        <v>-2.9243364294525307</v>
      </c>
      <c r="BC544">
        <f t="shared" si="463"/>
        <v>-1.5883672894396734</v>
      </c>
      <c r="BD544">
        <f t="shared" si="451"/>
        <v>-271.00674210551813</v>
      </c>
      <c r="BF544">
        <f t="shared" si="452"/>
        <v>-68.584554125824567</v>
      </c>
      <c r="BG544">
        <f t="shared" si="453"/>
        <v>-249.1764652599403</v>
      </c>
      <c r="BH544">
        <f t="shared" si="464"/>
        <v>-69.176465259940301</v>
      </c>
      <c r="BI544">
        <f t="shared" si="465"/>
        <v>-69.176465259940301</v>
      </c>
      <c r="BJ544">
        <f t="shared" si="454"/>
        <v>0</v>
      </c>
      <c r="BK544">
        <f t="shared" si="466"/>
        <v>0</v>
      </c>
      <c r="BM544">
        <f t="shared" si="467"/>
        <v>-65.66021769637203</v>
      </c>
      <c r="BN544">
        <f t="shared" si="455"/>
        <v>-158.16972315442223</v>
      </c>
      <c r="BQ544" s="56">
        <f t="shared" si="468"/>
        <v>13.977624370832606</v>
      </c>
    </row>
    <row r="545" spans="1:69" x14ac:dyDescent="0.2">
      <c r="A545">
        <f t="shared" si="472"/>
        <v>1655000</v>
      </c>
      <c r="B545">
        <f t="shared" si="456"/>
        <v>1655</v>
      </c>
      <c r="C545">
        <f t="shared" si="425"/>
        <v>1.0767765187077025</v>
      </c>
      <c r="D545">
        <f t="shared" si="426"/>
        <v>0.37991053881564674</v>
      </c>
      <c r="F545">
        <f t="shared" si="427"/>
        <v>3.2086646591347627E-5</v>
      </c>
      <c r="G545">
        <f t="shared" si="428"/>
        <v>2.1341039443569646E-3</v>
      </c>
      <c r="H545">
        <f t="shared" si="429"/>
        <v>-3.1394585460556432</v>
      </c>
      <c r="J545">
        <f t="shared" si="430"/>
        <v>15</v>
      </c>
      <c r="M545">
        <f t="shared" si="431"/>
        <v>1.3635943631432998E-4</v>
      </c>
      <c r="N545">
        <f t="shared" si="432"/>
        <v>-1.5707963250000001</v>
      </c>
      <c r="O545">
        <f t="shared" si="433"/>
        <v>1553.2499094776888</v>
      </c>
      <c r="P545">
        <f t="shared" si="434"/>
        <v>1.5701525153496292</v>
      </c>
      <c r="Q545">
        <f t="shared" si="435"/>
        <v>231.13967764971238</v>
      </c>
      <c r="R545">
        <f t="shared" si="436"/>
        <v>1.5664699249853911</v>
      </c>
      <c r="S545">
        <f t="shared" si="437"/>
        <v>0.15146062506384289</v>
      </c>
      <c r="T545">
        <f t="shared" si="438"/>
        <v>-1.4187505481902818</v>
      </c>
      <c r="U545">
        <f t="shared" si="439"/>
        <v>0.13878023988701876</v>
      </c>
      <c r="V545">
        <f t="shared" si="440"/>
        <v>-1.4315666975303623</v>
      </c>
      <c r="X545">
        <f t="shared" si="457"/>
        <v>-65.460608351752285</v>
      </c>
      <c r="Y545">
        <f t="shared" si="441"/>
        <v>-231.70637503643627</v>
      </c>
      <c r="Z545">
        <f t="shared" si="458"/>
        <v>-51.70637503643627</v>
      </c>
      <c r="AC545">
        <v>1</v>
      </c>
      <c r="AD545">
        <f t="shared" si="442"/>
        <v>1553.2495875719551</v>
      </c>
      <c r="AE545">
        <f t="shared" si="443"/>
        <v>-2.9073118473096384</v>
      </c>
      <c r="AF545">
        <f t="shared" si="444"/>
        <v>0.40741995608936998</v>
      </c>
      <c r="AG545">
        <f t="shared" si="421"/>
        <v>73.089399273409754</v>
      </c>
      <c r="AH545">
        <f t="shared" si="422"/>
        <v>-524.01379272029953</v>
      </c>
      <c r="AJ545">
        <f t="shared" si="445"/>
        <v>18000</v>
      </c>
      <c r="AK545">
        <f t="shared" si="446"/>
        <v>117471.71413860119</v>
      </c>
      <c r="AL545">
        <v>1</v>
      </c>
      <c r="AM545">
        <f t="shared" si="447"/>
        <v>231.13751444543342</v>
      </c>
      <c r="AN545">
        <f t="shared" si="423"/>
        <v>508.56041213679396</v>
      </c>
      <c r="AO545">
        <f t="shared" si="424"/>
        <v>-75.675468042607847</v>
      </c>
      <c r="AQ545">
        <f t="shared" si="448"/>
        <v>9.1273346238776002E-4</v>
      </c>
      <c r="AR545">
        <f t="shared" si="449"/>
        <v>-3.0211477605034855</v>
      </c>
      <c r="AT545">
        <f t="shared" si="470"/>
        <v>-1583.0563852094078</v>
      </c>
      <c r="AU545">
        <f t="shared" si="471"/>
        <v>-221.29215985477549</v>
      </c>
      <c r="AV545">
        <f t="shared" si="459"/>
        <v>-3.0027047209760926</v>
      </c>
      <c r="AW545">
        <f t="shared" si="460"/>
        <v>352.74528736454471</v>
      </c>
      <c r="AX545">
        <f t="shared" si="461"/>
        <v>-2217.4237952129351</v>
      </c>
      <c r="AY545">
        <f t="shared" si="469"/>
        <v>-1.4130393242148016</v>
      </c>
      <c r="BA545">
        <f t="shared" si="450"/>
        <v>0.71190687607102465</v>
      </c>
      <c r="BB545">
        <f t="shared" si="462"/>
        <v>-2.9515362467444053</v>
      </c>
      <c r="BC545">
        <f t="shared" si="463"/>
        <v>-1.589665396761291</v>
      </c>
      <c r="BD545">
        <f t="shared" si="451"/>
        <v>-271.08111817648683</v>
      </c>
      <c r="BF545">
        <f t="shared" si="452"/>
        <v>-68.660712921353806</v>
      </c>
      <c r="BG545">
        <f t="shared" si="453"/>
        <v>-249.19157253574292</v>
      </c>
      <c r="BH545">
        <f t="shared" si="464"/>
        <v>-69.191572535742921</v>
      </c>
      <c r="BI545">
        <f t="shared" si="465"/>
        <v>-69.191572535742921</v>
      </c>
      <c r="BJ545">
        <f t="shared" si="454"/>
        <v>0</v>
      </c>
      <c r="BK545">
        <f t="shared" si="466"/>
        <v>0</v>
      </c>
      <c r="BM545">
        <f t="shared" si="467"/>
        <v>-65.709176674609395</v>
      </c>
      <c r="BN545">
        <f t="shared" si="455"/>
        <v>-158.1104543592561</v>
      </c>
      <c r="BQ545" s="56">
        <f t="shared" si="468"/>
        <v>13.950424553540731</v>
      </c>
    </row>
    <row r="546" spans="1:69" x14ac:dyDescent="0.2">
      <c r="A546">
        <f t="shared" si="472"/>
        <v>1660000</v>
      </c>
      <c r="B546">
        <f t="shared" si="456"/>
        <v>1660</v>
      </c>
      <c r="C546">
        <f t="shared" si="425"/>
        <v>1.0772244689990886</v>
      </c>
      <c r="D546">
        <f t="shared" si="426"/>
        <v>0.38095057724981496</v>
      </c>
      <c r="F546">
        <f t="shared" si="427"/>
        <v>3.1893638865294096E-5</v>
      </c>
      <c r="G546">
        <f t="shared" si="428"/>
        <v>2.1276755252339487E-3</v>
      </c>
      <c r="H546">
        <f t="shared" si="429"/>
        <v>-3.1394649744747665</v>
      </c>
      <c r="J546">
        <f t="shared" si="430"/>
        <v>15</v>
      </c>
      <c r="M546">
        <f t="shared" si="431"/>
        <v>1.3594871512061211E-4</v>
      </c>
      <c r="N546">
        <f t="shared" si="432"/>
        <v>-1.5707963250000001</v>
      </c>
      <c r="O546">
        <f t="shared" si="433"/>
        <v>1557.9425054493981</v>
      </c>
      <c r="P546">
        <f t="shared" si="434"/>
        <v>1.570154454540196</v>
      </c>
      <c r="Q546">
        <f t="shared" si="435"/>
        <v>231.83797178196895</v>
      </c>
      <c r="R546">
        <f t="shared" si="436"/>
        <v>1.5664829561542657</v>
      </c>
      <c r="S546">
        <f t="shared" si="437"/>
        <v>0.15101483773177782</v>
      </c>
      <c r="T546">
        <f t="shared" si="438"/>
        <v>-1.4192015228992274</v>
      </c>
      <c r="U546">
        <f t="shared" si="439"/>
        <v>0.13837024238178944</v>
      </c>
      <c r="V546">
        <f t="shared" si="440"/>
        <v>-1.4319806892688911</v>
      </c>
      <c r="X546">
        <f t="shared" si="457"/>
        <v>-65.534500686575456</v>
      </c>
      <c r="Y546">
        <f t="shared" si="441"/>
        <v>-231.69585473334658</v>
      </c>
      <c r="Z546">
        <f t="shared" si="458"/>
        <v>-51.695854733346579</v>
      </c>
      <c r="AC546">
        <v>1</v>
      </c>
      <c r="AD546">
        <f t="shared" si="442"/>
        <v>1557.9421845132599</v>
      </c>
      <c r="AE546">
        <f t="shared" si="443"/>
        <v>-2.9249052222767009</v>
      </c>
      <c r="AF546">
        <f t="shared" si="444"/>
        <v>0.40865083208963998</v>
      </c>
      <c r="AG546">
        <f t="shared" si="421"/>
        <v>72.658182170522906</v>
      </c>
      <c r="AH546">
        <f t="shared" si="422"/>
        <v>-522.49568508123775</v>
      </c>
      <c r="AJ546">
        <f t="shared" si="445"/>
        <v>18000</v>
      </c>
      <c r="AK546">
        <f t="shared" si="446"/>
        <v>117826.61357708639</v>
      </c>
      <c r="AL546">
        <v>1</v>
      </c>
      <c r="AM546">
        <f t="shared" si="447"/>
        <v>231.8358150933048</v>
      </c>
      <c r="AN546">
        <f t="shared" si="423"/>
        <v>508.55844282737644</v>
      </c>
      <c r="AO546">
        <f t="shared" si="424"/>
        <v>-75.447538380267119</v>
      </c>
      <c r="AQ546">
        <f t="shared" si="448"/>
        <v>9.0724334924849857E-4</v>
      </c>
      <c r="AR546">
        <f t="shared" si="449"/>
        <v>-3.0120479195050152</v>
      </c>
      <c r="AT546">
        <f t="shared" si="470"/>
        <v>-1573.7161225467471</v>
      </c>
      <c r="AU546">
        <f t="shared" si="471"/>
        <v>-219.32395717704091</v>
      </c>
      <c r="AV546">
        <f t="shared" si="459"/>
        <v>-3.0031176835083202</v>
      </c>
      <c r="AW546">
        <f t="shared" si="460"/>
        <v>353.68881654011682</v>
      </c>
      <c r="AX546">
        <f t="shared" si="461"/>
        <v>-2210.7978455844259</v>
      </c>
      <c r="AY546">
        <f t="shared" si="469"/>
        <v>-1.4121581939010663</v>
      </c>
      <c r="BA546">
        <f t="shared" si="450"/>
        <v>0.70968689963729059</v>
      </c>
      <c r="BB546">
        <f t="shared" si="462"/>
        <v>-2.9786642298663022</v>
      </c>
      <c r="BC546">
        <f t="shared" si="463"/>
        <v>-1.5909594896072539</v>
      </c>
      <c r="BD546">
        <f t="shared" si="451"/>
        <v>-271.15526423494327</v>
      </c>
      <c r="BF546">
        <f t="shared" si="452"/>
        <v>-68.73663340575024</v>
      </c>
      <c r="BG546">
        <f t="shared" si="453"/>
        <v>-249.20649710260716</v>
      </c>
      <c r="BH546">
        <f t="shared" si="464"/>
        <v>-69.206497102607159</v>
      </c>
      <c r="BI546">
        <f t="shared" si="465"/>
        <v>-69.206497102607159</v>
      </c>
      <c r="BJ546">
        <f t="shared" si="454"/>
        <v>0</v>
      </c>
      <c r="BK546">
        <f t="shared" si="466"/>
        <v>0</v>
      </c>
      <c r="BM546">
        <f t="shared" si="467"/>
        <v>-65.757969175883943</v>
      </c>
      <c r="BN546">
        <f t="shared" si="455"/>
        <v>-158.05123286766386</v>
      </c>
      <c r="BQ546" s="56">
        <f t="shared" si="468"/>
        <v>13.923296570418835</v>
      </c>
    </row>
    <row r="547" spans="1:69" x14ac:dyDescent="0.2">
      <c r="A547">
        <f t="shared" si="472"/>
        <v>1665000</v>
      </c>
      <c r="B547">
        <f t="shared" si="456"/>
        <v>1665</v>
      </c>
      <c r="C547">
        <f t="shared" si="425"/>
        <v>1.0776735835331697</v>
      </c>
      <c r="D547">
        <f t="shared" si="426"/>
        <v>0.38198974994667029</v>
      </c>
      <c r="F547">
        <f t="shared" si="427"/>
        <v>3.1702367404442287E-5</v>
      </c>
      <c r="G547">
        <f t="shared" si="428"/>
        <v>2.1212857187792164E-3</v>
      </c>
      <c r="H547">
        <f t="shared" si="429"/>
        <v>-3.1394713642812211</v>
      </c>
      <c r="J547">
        <f t="shared" si="430"/>
        <v>15</v>
      </c>
      <c r="M547">
        <f t="shared" si="431"/>
        <v>1.3554046072085052E-4</v>
      </c>
      <c r="N547">
        <f t="shared" si="432"/>
        <v>-1.5707963250000001</v>
      </c>
      <c r="O547">
        <f t="shared" si="433"/>
        <v>1562.6351014269312</v>
      </c>
      <c r="P547">
        <f t="shared" si="434"/>
        <v>1.5701563820839775</v>
      </c>
      <c r="Q547">
        <f t="shared" si="435"/>
        <v>232.5362659533578</v>
      </c>
      <c r="R547">
        <f t="shared" si="436"/>
        <v>1.5664959090593136</v>
      </c>
      <c r="S547">
        <f t="shared" si="437"/>
        <v>0.15057163647709465</v>
      </c>
      <c r="T547">
        <f t="shared" si="438"/>
        <v>-1.4196498506403823</v>
      </c>
      <c r="U547">
        <f t="shared" si="439"/>
        <v>0.1379626368096914</v>
      </c>
      <c r="V547">
        <f t="shared" si="440"/>
        <v>-1.4323922420367219</v>
      </c>
      <c r="X547">
        <f t="shared" si="457"/>
        <v>-65.608158491604854</v>
      </c>
      <c r="Y547">
        <f t="shared" si="441"/>
        <v>-231.68509556969624</v>
      </c>
      <c r="Z547">
        <f t="shared" si="458"/>
        <v>-51.685095569696244</v>
      </c>
      <c r="AC547">
        <v>1</v>
      </c>
      <c r="AD547">
        <f t="shared" si="442"/>
        <v>1562.634781454565</v>
      </c>
      <c r="AE547">
        <f t="shared" si="443"/>
        <v>-2.94255166926478</v>
      </c>
      <c r="AF547">
        <f t="shared" si="444"/>
        <v>0.40988170808990998</v>
      </c>
      <c r="AG547">
        <f t="shared" si="421"/>
        <v>72.230745479512407</v>
      </c>
      <c r="AH547">
        <f t="shared" si="422"/>
        <v>-520.98616861462096</v>
      </c>
      <c r="AJ547">
        <f t="shared" si="445"/>
        <v>18000</v>
      </c>
      <c r="AK547">
        <f t="shared" si="446"/>
        <v>118181.5130155716</v>
      </c>
      <c r="AL547">
        <v>1</v>
      </c>
      <c r="AM547">
        <f t="shared" si="447"/>
        <v>232.53411574117624</v>
      </c>
      <c r="AN547">
        <f t="shared" si="423"/>
        <v>508.55649123239522</v>
      </c>
      <c r="AO547">
        <f t="shared" si="424"/>
        <v>-75.220977588667381</v>
      </c>
      <c r="AQ547">
        <f t="shared" si="448"/>
        <v>9.0180262227970113E-4</v>
      </c>
      <c r="AR547">
        <f t="shared" si="449"/>
        <v>-3.0030027321914048</v>
      </c>
      <c r="AT547">
        <f t="shared" si="470"/>
        <v>-1564.457749907956</v>
      </c>
      <c r="AU547">
        <f t="shared" si="471"/>
        <v>-217.37895271622585</v>
      </c>
      <c r="AV547">
        <f t="shared" si="459"/>
        <v>-3.0035282132512644</v>
      </c>
      <c r="AW547">
        <f t="shared" si="460"/>
        <v>354.62376140137525</v>
      </c>
      <c r="AX547">
        <f t="shared" si="461"/>
        <v>-2204.2112293133941</v>
      </c>
      <c r="AY547">
        <f t="shared" si="469"/>
        <v>-1.4112786115076099</v>
      </c>
      <c r="BA547">
        <f t="shared" si="450"/>
        <v>0.70747966205888102</v>
      </c>
      <c r="BB547">
        <f t="shared" si="462"/>
        <v>-3.0057208060397005</v>
      </c>
      <c r="BC547">
        <f t="shared" si="463"/>
        <v>-1.5922496017436545</v>
      </c>
      <c r="BD547">
        <f t="shared" si="451"/>
        <v>-271.2291822155421</v>
      </c>
      <c r="BF547">
        <f t="shared" si="452"/>
        <v>-68.812316982342963</v>
      </c>
      <c r="BG547">
        <f t="shared" si="453"/>
        <v>-249.22124098236506</v>
      </c>
      <c r="BH547">
        <f t="shared" si="464"/>
        <v>-69.22124098236506</v>
      </c>
      <c r="BI547">
        <f t="shared" si="465"/>
        <v>-69.22124098236506</v>
      </c>
      <c r="BJ547">
        <f t="shared" si="454"/>
        <v>0</v>
      </c>
      <c r="BK547">
        <f t="shared" si="466"/>
        <v>0</v>
      </c>
      <c r="BM547">
        <f t="shared" si="467"/>
        <v>-65.806596176303259</v>
      </c>
      <c r="BN547">
        <f t="shared" si="455"/>
        <v>-157.99205876682296</v>
      </c>
      <c r="BQ547" s="56">
        <f t="shared" si="468"/>
        <v>13.896239994245436</v>
      </c>
    </row>
    <row r="548" spans="1:69" x14ac:dyDescent="0.2">
      <c r="A548">
        <f t="shared" si="472"/>
        <v>1670000</v>
      </c>
      <c r="B548">
        <f t="shared" si="456"/>
        <v>1670</v>
      </c>
      <c r="C548">
        <f t="shared" si="425"/>
        <v>1.0781238608549788</v>
      </c>
      <c r="D548">
        <f t="shared" si="426"/>
        <v>0.38302805574517529</v>
      </c>
      <c r="F548">
        <f t="shared" si="427"/>
        <v>3.151281144532965E-5</v>
      </c>
      <c r="G548">
        <f t="shared" si="428"/>
        <v>2.1149341781301345E-3</v>
      </c>
      <c r="H548">
        <f t="shared" si="429"/>
        <v>-3.1394777158218701</v>
      </c>
      <c r="J548">
        <f t="shared" si="430"/>
        <v>15</v>
      </c>
      <c r="M548">
        <f t="shared" si="431"/>
        <v>1.3513465095821325E-4</v>
      </c>
      <c r="N548">
        <f t="shared" si="432"/>
        <v>-1.5707963250000001</v>
      </c>
      <c r="O548">
        <f t="shared" si="433"/>
        <v>1567.3276974102355</v>
      </c>
      <c r="P548">
        <f t="shared" si="434"/>
        <v>1.570158298085585</v>
      </c>
      <c r="Q548">
        <f t="shared" si="435"/>
        <v>233.23456016352745</v>
      </c>
      <c r="R548">
        <f t="shared" si="436"/>
        <v>1.5665087844034857</v>
      </c>
      <c r="S548">
        <f t="shared" si="437"/>
        <v>0.15013099912957839</v>
      </c>
      <c r="T548">
        <f t="shared" si="438"/>
        <v>-1.4200955544712226</v>
      </c>
      <c r="U548">
        <f t="shared" si="439"/>
        <v>0.13755740250704457</v>
      </c>
      <c r="V548">
        <f t="shared" si="440"/>
        <v>-1.4328013771856107</v>
      </c>
      <c r="X548">
        <f t="shared" si="457"/>
        <v>-65.681583092111595</v>
      </c>
      <c r="Y548">
        <f t="shared" si="441"/>
        <v>-231.67410013007327</v>
      </c>
      <c r="Z548">
        <f t="shared" si="458"/>
        <v>-51.674100130073271</v>
      </c>
      <c r="AC548">
        <v>1</v>
      </c>
      <c r="AD548">
        <f t="shared" si="442"/>
        <v>1567.32737839587</v>
      </c>
      <c r="AE548">
        <f t="shared" si="443"/>
        <v>-2.9602511882738756</v>
      </c>
      <c r="AF548">
        <f t="shared" si="444"/>
        <v>0.41111258409017998</v>
      </c>
      <c r="AG548">
        <f t="shared" si="421"/>
        <v>71.807045427556915</v>
      </c>
      <c r="AH548">
        <f t="shared" si="422"/>
        <v>-519.4851722332935</v>
      </c>
      <c r="AJ548">
        <f t="shared" si="445"/>
        <v>18000</v>
      </c>
      <c r="AK548">
        <f t="shared" si="446"/>
        <v>118536.4124540568</v>
      </c>
      <c r="AL548">
        <v>1</v>
      </c>
      <c r="AM548">
        <f t="shared" si="447"/>
        <v>233.23241638904761</v>
      </c>
      <c r="AN548">
        <f t="shared" si="423"/>
        <v>508.55455714002613</v>
      </c>
      <c r="AO548">
        <f t="shared" si="424"/>
        <v>-74.995773373470726</v>
      </c>
      <c r="AQ548">
        <f t="shared" si="448"/>
        <v>8.9641069091660772E-4</v>
      </c>
      <c r="AR548">
        <f t="shared" si="449"/>
        <v>-2.9940117076614698</v>
      </c>
      <c r="AT548">
        <f t="shared" si="470"/>
        <v>-1555.2803190198115</v>
      </c>
      <c r="AU548">
        <f t="shared" si="471"/>
        <v>-215.45680676484699</v>
      </c>
      <c r="AV548">
        <f t="shared" si="459"/>
        <v>-3.0039363315011602</v>
      </c>
      <c r="AW548">
        <f t="shared" si="460"/>
        <v>355.55022600830426</v>
      </c>
      <c r="AX548">
        <f t="shared" si="461"/>
        <v>-2197.6635984197533</v>
      </c>
      <c r="AY548">
        <f t="shared" si="469"/>
        <v>-1.410400564972768</v>
      </c>
      <c r="BA548">
        <f t="shared" si="450"/>
        <v>0.70528505308302192</v>
      </c>
      <c r="BB548">
        <f t="shared" si="462"/>
        <v>-3.0327063988870488</v>
      </c>
      <c r="BC548">
        <f t="shared" si="463"/>
        <v>-1.5935357665283922</v>
      </c>
      <c r="BD548">
        <f t="shared" si="451"/>
        <v>-271.30287402955014</v>
      </c>
      <c r="BF548">
        <f t="shared" si="452"/>
        <v>-68.887765042283874</v>
      </c>
      <c r="BG548">
        <f t="shared" si="453"/>
        <v>-249.23580617267979</v>
      </c>
      <c r="BH548">
        <f t="shared" si="464"/>
        <v>-69.235806172679787</v>
      </c>
      <c r="BI548">
        <f t="shared" si="465"/>
        <v>-69.235806172679787</v>
      </c>
      <c r="BJ548">
        <f t="shared" si="454"/>
        <v>0</v>
      </c>
      <c r="BK548">
        <f t="shared" si="466"/>
        <v>0</v>
      </c>
      <c r="BM548">
        <f t="shared" si="467"/>
        <v>-65.855058643396831</v>
      </c>
      <c r="BN548">
        <f t="shared" si="455"/>
        <v>-157.9329321431297</v>
      </c>
      <c r="BQ548" s="56">
        <f t="shared" si="468"/>
        <v>13.869254401398088</v>
      </c>
    </row>
    <row r="549" spans="1:69" x14ac:dyDescent="0.2">
      <c r="A549">
        <f t="shared" si="472"/>
        <v>1675000</v>
      </c>
      <c r="B549">
        <f t="shared" si="456"/>
        <v>1675</v>
      </c>
      <c r="C549">
        <f t="shared" si="425"/>
        <v>1.0785752995082143</v>
      </c>
      <c r="D549">
        <f t="shared" si="426"/>
        <v>0.3840654934937055</v>
      </c>
      <c r="F549">
        <f t="shared" si="427"/>
        <v>3.1324950533951097E-5</v>
      </c>
      <c r="G549">
        <f t="shared" si="428"/>
        <v>2.108620560566341E-3</v>
      </c>
      <c r="H549">
        <f t="shared" si="429"/>
        <v>-3.1394840294394339</v>
      </c>
      <c r="J549">
        <f t="shared" si="430"/>
        <v>15</v>
      </c>
      <c r="M549">
        <f t="shared" si="431"/>
        <v>1.3473126394042753E-4</v>
      </c>
      <c r="N549">
        <f t="shared" si="432"/>
        <v>-1.5707963250000001</v>
      </c>
      <c r="O549">
        <f t="shared" si="433"/>
        <v>1572.0202933992591</v>
      </c>
      <c r="P549">
        <f t="shared" si="434"/>
        <v>1.5701602026483819</v>
      </c>
      <c r="Q549">
        <f t="shared" si="435"/>
        <v>233.93285441213055</v>
      </c>
      <c r="R549">
        <f t="shared" si="436"/>
        <v>1.5665215828813404</v>
      </c>
      <c r="S549">
        <f t="shared" si="437"/>
        <v>0.14969290376854411</v>
      </c>
      <c r="T549">
        <f t="shared" si="438"/>
        <v>-1.4205386571842868</v>
      </c>
      <c r="U549">
        <f t="shared" si="439"/>
        <v>0.13715451904505033</v>
      </c>
      <c r="V549">
        <f t="shared" si="440"/>
        <v>-1.4332081158204295</v>
      </c>
      <c r="X549">
        <f t="shared" si="457"/>
        <v>-65.754775802328552</v>
      </c>
      <c r="Y549">
        <f t="shared" si="441"/>
        <v>-231.66287096951601</v>
      </c>
      <c r="Z549">
        <f t="shared" si="458"/>
        <v>-51.662870969516007</v>
      </c>
      <c r="AC549">
        <v>1</v>
      </c>
      <c r="AD549">
        <f t="shared" si="442"/>
        <v>1572.0199753371749</v>
      </c>
      <c r="AE549">
        <f t="shared" si="443"/>
        <v>-2.9780037793039877</v>
      </c>
      <c r="AF549">
        <f t="shared" si="444"/>
        <v>0.41234346009044998</v>
      </c>
      <c r="AG549">
        <f t="shared" si="421"/>
        <v>71.387038869333594</v>
      </c>
      <c r="AH549">
        <f t="shared" si="422"/>
        <v>-517.99262561201704</v>
      </c>
      <c r="AJ549">
        <f t="shared" si="445"/>
        <v>18000</v>
      </c>
      <c r="AK549">
        <f t="shared" si="446"/>
        <v>118891.311892542</v>
      </c>
      <c r="AL549">
        <v>1</v>
      </c>
      <c r="AM549">
        <f t="shared" si="447"/>
        <v>233.93071703691905</v>
      </c>
      <c r="AN549">
        <f t="shared" si="423"/>
        <v>508.55264034160103</v>
      </c>
      <c r="AO549">
        <f t="shared" si="424"/>
        <v>-74.771913587123706</v>
      </c>
      <c r="AQ549">
        <f t="shared" si="448"/>
        <v>8.9106697339568072E-4</v>
      </c>
      <c r="AR549">
        <f t="shared" si="449"/>
        <v>-2.9850743608755304</v>
      </c>
      <c r="AT549">
        <f t="shared" si="470"/>
        <v>-1546.1828952043647</v>
      </c>
      <c r="AU549">
        <f t="shared" si="471"/>
        <v>-213.55718554881801</v>
      </c>
      <c r="AV549">
        <f t="shared" si="459"/>
        <v>-3.0043420593080206</v>
      </c>
      <c r="AW549">
        <f t="shared" si="460"/>
        <v>356.46831284567457</v>
      </c>
      <c r="AX549">
        <f t="shared" si="461"/>
        <v>-2191.1546090028387</v>
      </c>
      <c r="AY549">
        <f t="shared" si="469"/>
        <v>-1.4095240423907607</v>
      </c>
      <c r="BA549">
        <f t="shared" si="450"/>
        <v>0.70310296371826386</v>
      </c>
      <c r="BB549">
        <f t="shared" si="462"/>
        <v>-3.0596214284704111</v>
      </c>
      <c r="BC549">
        <f t="shared" si="463"/>
        <v>-1.5948180169172599</v>
      </c>
      <c r="BD549">
        <f t="shared" si="451"/>
        <v>-271.37634156519522</v>
      </c>
      <c r="BF549">
        <f t="shared" si="452"/>
        <v>-68.962978964688716</v>
      </c>
      <c r="BG549">
        <f t="shared" si="453"/>
        <v>-249.2501946473989</v>
      </c>
      <c r="BH549">
        <f t="shared" si="464"/>
        <v>-69.250194647398899</v>
      </c>
      <c r="BI549">
        <f t="shared" si="465"/>
        <v>-69.250194647398899</v>
      </c>
      <c r="BJ549">
        <f t="shared" si="454"/>
        <v>0</v>
      </c>
      <c r="BK549">
        <f t="shared" si="466"/>
        <v>0</v>
      </c>
      <c r="BM549">
        <f t="shared" si="467"/>
        <v>-65.903357536218309</v>
      </c>
      <c r="BN549">
        <f t="shared" si="455"/>
        <v>-157.87385308220374</v>
      </c>
      <c r="BQ549" s="56">
        <f t="shared" si="468"/>
        <v>13.842339371814727</v>
      </c>
    </row>
    <row r="550" spans="1:69" x14ac:dyDescent="0.2">
      <c r="A550">
        <f t="shared" si="472"/>
        <v>1680000</v>
      </c>
      <c r="B550">
        <f t="shared" si="456"/>
        <v>1680</v>
      </c>
      <c r="C550">
        <f t="shared" si="425"/>
        <v>1.0790278980352588</v>
      </c>
      <c r="D550">
        <f t="shared" si="426"/>
        <v>0.38510206205003539</v>
      </c>
      <c r="F550">
        <f t="shared" si="427"/>
        <v>3.1138764520240835E-5</v>
      </c>
      <c r="G550">
        <f t="shared" si="428"/>
        <v>2.1023445274480916E-3</v>
      </c>
      <c r="H550">
        <f t="shared" si="429"/>
        <v>-3.139490305472552</v>
      </c>
      <c r="J550">
        <f t="shared" si="430"/>
        <v>15</v>
      </c>
      <c r="M550">
        <f t="shared" si="431"/>
        <v>1.3433027803584291E-4</v>
      </c>
      <c r="N550">
        <f t="shared" si="432"/>
        <v>-1.5707963250000001</v>
      </c>
      <c r="O550">
        <f t="shared" si="433"/>
        <v>1576.7128893939507</v>
      </c>
      <c r="P550">
        <f t="shared" si="434"/>
        <v>1.5701620958745</v>
      </c>
      <c r="Q550">
        <f t="shared" si="435"/>
        <v>234.63114869882409</v>
      </c>
      <c r="R550">
        <f t="shared" si="436"/>
        <v>1.5665343051791674</v>
      </c>
      <c r="S550">
        <f t="shared" si="437"/>
        <v>0.14925732871938296</v>
      </c>
      <c r="T550">
        <f t="shared" si="438"/>
        <v>-1.4209791813109403</v>
      </c>
      <c r="U550">
        <f t="shared" si="439"/>
        <v>0.13675396622650018</v>
      </c>
      <c r="V550">
        <f t="shared" si="440"/>
        <v>-1.4336124788027003</v>
      </c>
      <c r="X550">
        <f t="shared" si="457"/>
        <v>-65.827737925572393</v>
      </c>
      <c r="Y550">
        <f t="shared" si="441"/>
        <v>-231.65141061392794</v>
      </c>
      <c r="Z550">
        <f t="shared" si="458"/>
        <v>-51.651410613927936</v>
      </c>
      <c r="AC550">
        <v>1</v>
      </c>
      <c r="AD550">
        <f t="shared" si="442"/>
        <v>1576.7125722784799</v>
      </c>
      <c r="AE550">
        <f t="shared" si="443"/>
        <v>-2.9958094423551174</v>
      </c>
      <c r="AF550">
        <f t="shared" si="444"/>
        <v>0.41357433609071997</v>
      </c>
      <c r="AG550">
        <f t="shared" si="421"/>
        <v>70.970683276328558</v>
      </c>
      <c r="AH550">
        <f t="shared" si="422"/>
        <v>-516.50845917760682</v>
      </c>
      <c r="AJ550">
        <f t="shared" si="445"/>
        <v>18000</v>
      </c>
      <c r="AK550">
        <f t="shared" si="446"/>
        <v>119246.21133102721</v>
      </c>
      <c r="AL550">
        <v>1</v>
      </c>
      <c r="AM550">
        <f t="shared" si="447"/>
        <v>234.62901768479043</v>
      </c>
      <c r="AN550">
        <f t="shared" si="423"/>
        <v>508.55074063155291</v>
      </c>
      <c r="AO550">
        <f t="shared" si="424"/>
        <v>-74.549386226673491</v>
      </c>
      <c r="AQ550">
        <f t="shared" si="448"/>
        <v>8.8577089659767428E-4</v>
      </c>
      <c r="AR550">
        <f t="shared" si="449"/>
        <v>-2.9761902125681856</v>
      </c>
      <c r="AT550">
        <f t="shared" si="470"/>
        <v>-1537.1645571473098</v>
      </c>
      <c r="AU550">
        <f t="shared" si="471"/>
        <v>-211.6797611072717</v>
      </c>
      <c r="AV550">
        <f t="shared" si="459"/>
        <v>-3.0047454174791617</v>
      </c>
      <c r="AW550">
        <f t="shared" si="460"/>
        <v>357.37812285162209</v>
      </c>
      <c r="AX550">
        <f t="shared" si="461"/>
        <v>-2184.6839211819834</v>
      </c>
      <c r="AY550">
        <f t="shared" si="469"/>
        <v>-1.4086490320092389</v>
      </c>
      <c r="BA550">
        <f t="shared" si="450"/>
        <v>0.70093328621669992</v>
      </c>
      <c r="BB550">
        <f t="shared" si="462"/>
        <v>-3.0864663113297128</v>
      </c>
      <c r="BC550">
        <f t="shared" si="463"/>
        <v>-1.5960963854699228</v>
      </c>
      <c r="BD550">
        <f t="shared" si="451"/>
        <v>-271.44958668800871</v>
      </c>
      <c r="BF550">
        <f t="shared" si="452"/>
        <v>-69.037960116776048</v>
      </c>
      <c r="BG550">
        <f t="shared" si="453"/>
        <v>-249.26440835690107</v>
      </c>
      <c r="BH550">
        <f t="shared" si="464"/>
        <v>-69.264408356901072</v>
      </c>
      <c r="BI550">
        <f t="shared" si="465"/>
        <v>-69.264408356901072</v>
      </c>
      <c r="BJ550">
        <f t="shared" si="454"/>
        <v>0</v>
      </c>
      <c r="BK550">
        <f t="shared" si="466"/>
        <v>0</v>
      </c>
      <c r="BM550">
        <f t="shared" si="467"/>
        <v>-65.951493805446333</v>
      </c>
      <c r="BN550">
        <f t="shared" si="455"/>
        <v>-157.81482166889234</v>
      </c>
      <c r="BQ550" s="56">
        <f t="shared" si="468"/>
        <v>13.815494488955423</v>
      </c>
    </row>
    <row r="551" spans="1:69" x14ac:dyDescent="0.2">
      <c r="A551">
        <f t="shared" si="472"/>
        <v>1685000</v>
      </c>
      <c r="B551">
        <f t="shared" si="456"/>
        <v>1685</v>
      </c>
      <c r="C551">
        <f t="shared" si="425"/>
        <v>1.0794816549771977</v>
      </c>
      <c r="D551">
        <f t="shared" si="426"/>
        <v>0.38613776028132379</v>
      </c>
      <c r="F551">
        <f t="shared" si="427"/>
        <v>3.0954233552668689E-5</v>
      </c>
      <c r="G551">
        <f t="shared" si="428"/>
        <v>2.0961057441557093E-3</v>
      </c>
      <c r="H551">
        <f t="shared" si="429"/>
        <v>-3.1394965442558447</v>
      </c>
      <c r="J551">
        <f t="shared" si="430"/>
        <v>15</v>
      </c>
      <c r="M551">
        <f t="shared" si="431"/>
        <v>1.3393167186956443E-4</v>
      </c>
      <c r="N551">
        <f t="shared" si="432"/>
        <v>-1.5707963250000001</v>
      </c>
      <c r="O551">
        <f t="shared" si="433"/>
        <v>1581.4054853942605</v>
      </c>
      <c r="P551">
        <f t="shared" si="434"/>
        <v>1.5701639778648593</v>
      </c>
      <c r="Q551">
        <f t="shared" si="435"/>
        <v>235.32944302326888</v>
      </c>
      <c r="R551">
        <f t="shared" si="436"/>
        <v>1.5665469519751103</v>
      </c>
      <c r="S551">
        <f t="shared" si="437"/>
        <v>0.14882425255016488</v>
      </c>
      <c r="T551">
        <f t="shared" si="438"/>
        <v>-1.4214171491250749</v>
      </c>
      <c r="U551">
        <f t="shared" si="439"/>
        <v>0.13635572408253852</v>
      </c>
      <c r="V551">
        <f t="shared" si="440"/>
        <v>-1.434014486754069</v>
      </c>
      <c r="X551">
        <f t="shared" si="457"/>
        <v>-65.900470754364065</v>
      </c>
      <c r="Y551">
        <f t="shared" si="441"/>
        <v>-231.63972156048467</v>
      </c>
      <c r="Z551">
        <f t="shared" si="458"/>
        <v>-51.639721560484674</v>
      </c>
      <c r="AC551">
        <v>1</v>
      </c>
      <c r="AD551">
        <f t="shared" si="442"/>
        <v>1581.405169219785</v>
      </c>
      <c r="AE551">
        <f t="shared" si="443"/>
        <v>-3.0136681774272631</v>
      </c>
      <c r="AF551">
        <f t="shared" si="444"/>
        <v>0.41480521209099003</v>
      </c>
      <c r="AG551">
        <f t="shared" si="421"/>
        <v>70.557936726357752</v>
      </c>
      <c r="AH551">
        <f t="shared" si="422"/>
        <v>-515.03260409921734</v>
      </c>
      <c r="AJ551">
        <f t="shared" si="445"/>
        <v>18000</v>
      </c>
      <c r="AK551">
        <f t="shared" si="446"/>
        <v>119601.11076951241</v>
      </c>
      <c r="AL551">
        <v>1</v>
      </c>
      <c r="AM551">
        <f t="shared" si="447"/>
        <v>235.3273183326618</v>
      </c>
      <c r="AN551">
        <f t="shared" si="423"/>
        <v>508.54885780735935</v>
      </c>
      <c r="AO551">
        <f t="shared" si="424"/>
        <v>-74.32817943162253</v>
      </c>
      <c r="AQ551">
        <f t="shared" si="448"/>
        <v>8.8052189589395906E-4</v>
      </c>
      <c r="AR551">
        <f t="shared" si="449"/>
        <v>-2.9673587891626423</v>
      </c>
      <c r="AT551">
        <f t="shared" si="470"/>
        <v>-1528.2243966709193</v>
      </c>
      <c r="AU551">
        <f t="shared" si="471"/>
        <v>-209.82421117514792</v>
      </c>
      <c r="AV551">
        <f t="shared" si="459"/>
        <v>-3.0051464265826677</v>
      </c>
      <c r="AW551">
        <f t="shared" si="460"/>
        <v>358.27975544561849</v>
      </c>
      <c r="AX551">
        <f t="shared" si="461"/>
        <v>-2178.251199038114</v>
      </c>
      <c r="AY551">
        <f t="shared" si="469"/>
        <v>-1.4077755222268749</v>
      </c>
      <c r="BA551">
        <f t="shared" si="450"/>
        <v>0.69877591405648753</v>
      </c>
      <c r="BB551">
        <f t="shared" si="462"/>
        <v>-3.1132414605204057</v>
      </c>
      <c r="BC551">
        <f t="shared" si="463"/>
        <v>-1.5973709043557929</v>
      </c>
      <c r="BD551">
        <f t="shared" si="451"/>
        <v>-271.52261124116228</v>
      </c>
      <c r="BF551">
        <f t="shared" si="452"/>
        <v>-69.112709854004123</v>
      </c>
      <c r="BG551">
        <f t="shared" si="453"/>
        <v>-249.27844922843718</v>
      </c>
      <c r="BH551">
        <f t="shared" si="464"/>
        <v>-69.278449228437182</v>
      </c>
      <c r="BI551">
        <f t="shared" si="465"/>
        <v>-69.278449228437182</v>
      </c>
      <c r="BJ551">
        <f t="shared" si="454"/>
        <v>0</v>
      </c>
      <c r="BK551">
        <f t="shared" si="466"/>
        <v>0</v>
      </c>
      <c r="BM551">
        <f t="shared" si="467"/>
        <v>-65.99946839348371</v>
      </c>
      <c r="BN551">
        <f t="shared" si="455"/>
        <v>-157.75583798727493</v>
      </c>
      <c r="BQ551" s="56">
        <f t="shared" si="468"/>
        <v>13.788719339764731</v>
      </c>
    </row>
    <row r="552" spans="1:69" x14ac:dyDescent="0.2">
      <c r="A552">
        <f t="shared" si="472"/>
        <v>1690000</v>
      </c>
      <c r="B552">
        <f t="shared" si="456"/>
        <v>1690</v>
      </c>
      <c r="C552">
        <f t="shared" si="425"/>
        <v>1.079936568873838</v>
      </c>
      <c r="D552">
        <f t="shared" si="426"/>
        <v>0.38717258706409985</v>
      </c>
      <c r="F552">
        <f t="shared" si="427"/>
        <v>3.0771338072948109E-5</v>
      </c>
      <c r="G552">
        <f t="shared" si="428"/>
        <v>2.0899038800301023E-3</v>
      </c>
      <c r="H552">
        <f t="shared" si="429"/>
        <v>-3.13950274611997</v>
      </c>
      <c r="J552">
        <f t="shared" si="430"/>
        <v>15</v>
      </c>
      <c r="M552">
        <f t="shared" si="431"/>
        <v>1.3353542431965447E-4</v>
      </c>
      <c r="N552">
        <f t="shared" si="432"/>
        <v>-1.5707963250000001</v>
      </c>
      <c r="O552">
        <f t="shared" si="433"/>
        <v>1586.0980814001384</v>
      </c>
      <c r="P552">
        <f t="shared" si="434"/>
        <v>1.5701658487191854</v>
      </c>
      <c r="Q552">
        <f t="shared" si="435"/>
        <v>236.02773738512991</v>
      </c>
      <c r="R552">
        <f t="shared" si="436"/>
        <v>1.5665595239392887</v>
      </c>
      <c r="S552">
        <f t="shared" si="437"/>
        <v>0.14839365406829624</v>
      </c>
      <c r="T552">
        <f t="shared" si="438"/>
        <v>-1.4218525826467479</v>
      </c>
      <c r="U552">
        <f t="shared" si="439"/>
        <v>0.13595977286947913</v>
      </c>
      <c r="V552">
        <f t="shared" si="440"/>
        <v>-1.4344141600597207</v>
      </c>
      <c r="X552">
        <f t="shared" si="457"/>
        <v>-65.972975570547717</v>
      </c>
      <c r="Y552">
        <f t="shared" si="441"/>
        <v>-231.62780627803403</v>
      </c>
      <c r="Z552">
        <f t="shared" si="458"/>
        <v>-51.627806278034029</v>
      </c>
      <c r="AC552">
        <v>1</v>
      </c>
      <c r="AD552">
        <f t="shared" si="442"/>
        <v>1586.09776616109</v>
      </c>
      <c r="AE552">
        <f t="shared" si="443"/>
        <v>-3.0315799845204259</v>
      </c>
      <c r="AF552">
        <f t="shared" si="444"/>
        <v>0.41603608809126003</v>
      </c>
      <c r="AG552">
        <f t="shared" ref="AG552:AG615" si="473">AC552*AE552/(AE552^2+AF552^2)+AD552*AF552/(AE552^2+AF552^2)</f>
        <v>70.148757893293322</v>
      </c>
      <c r="AH552">
        <f t="shared" ref="AH552:AH615" si="474">AD552*AE552/(AE552^2+AF552^2)-AC552*AF552/(AE552^2+AF552^2)</f>
        <v>-513.56499227876907</v>
      </c>
      <c r="AJ552">
        <f t="shared" si="445"/>
        <v>18000</v>
      </c>
      <c r="AK552">
        <f t="shared" si="446"/>
        <v>119956.01020799759</v>
      </c>
      <c r="AL552">
        <v>1</v>
      </c>
      <c r="AM552">
        <f t="shared" si="447"/>
        <v>236.02561898053321</v>
      </c>
      <c r="AN552">
        <f t="shared" ref="AN552:AN615" si="475">AJ552*AL552/(AL552^2+AM552^2)+AK552*AM552/(AL552^2+AM552^2)</f>
        <v>508.54699166948984</v>
      </c>
      <c r="AO552">
        <f t="shared" ref="AO552:AO615" si="476">AK552*AL552/(AL552^2+AM552^2)-AJ552*AM552/(AL552^2+AM552^2)</f>
        <v>-74.108281481821507</v>
      </c>
      <c r="AQ552">
        <f t="shared" si="448"/>
        <v>8.7531941499602469E-4</v>
      </c>
      <c r="AR552">
        <f t="shared" si="449"/>
        <v>-2.9585796226865635</v>
      </c>
      <c r="AT552">
        <f t="shared" si="470"/>
        <v>-1519.3615185114265</v>
      </c>
      <c r="AU552">
        <f t="shared" si="471"/>
        <v>-207.99021906847474</v>
      </c>
      <c r="AV552">
        <f t="shared" si="459"/>
        <v>-3.005545106950795</v>
      </c>
      <c r="AW552">
        <f t="shared" si="460"/>
        <v>359.17330855585737</v>
      </c>
      <c r="AX552">
        <f t="shared" si="461"/>
        <v>-2171.8561105563722</v>
      </c>
      <c r="AY552">
        <f t="shared" si="469"/>
        <v>-1.4069035015909992</v>
      </c>
      <c r="BA552">
        <f t="shared" si="450"/>
        <v>0.69663074192465269</v>
      </c>
      <c r="BB552">
        <f t="shared" si="462"/>
        <v>-3.1399472856507331</v>
      </c>
      <c r="BC552">
        <f t="shared" si="463"/>
        <v>-1.5986416053597958</v>
      </c>
      <c r="BD552">
        <f t="shared" si="451"/>
        <v>-271.59541704579783</v>
      </c>
      <c r="BF552">
        <f t="shared" si="452"/>
        <v>-69.187229520206046</v>
      </c>
      <c r="BG552">
        <f t="shared" si="453"/>
        <v>-249.29231916646475</v>
      </c>
      <c r="BH552">
        <f t="shared" si="464"/>
        <v>-69.29231916646475</v>
      </c>
      <c r="BI552">
        <f t="shared" si="465"/>
        <v>-69.29231916646475</v>
      </c>
      <c r="BJ552">
        <f t="shared" si="454"/>
        <v>0</v>
      </c>
      <c r="BK552">
        <f t="shared" si="466"/>
        <v>0</v>
      </c>
      <c r="BM552">
        <f t="shared" si="467"/>
        <v>-66.047282234555311</v>
      </c>
      <c r="BN552">
        <f t="shared" si="455"/>
        <v>-157.69690212066695</v>
      </c>
      <c r="BQ552" s="56">
        <f t="shared" si="468"/>
        <v>13.762013514634404</v>
      </c>
    </row>
    <row r="553" spans="1:69" x14ac:dyDescent="0.2">
      <c r="A553">
        <f t="shared" si="472"/>
        <v>1695000</v>
      </c>
      <c r="B553">
        <f t="shared" si="456"/>
        <v>1695</v>
      </c>
      <c r="C553">
        <f t="shared" si="425"/>
        <v>1.0803926382637248</v>
      </c>
      <c r="D553">
        <f t="shared" si="426"/>
        <v>0.38820654128424797</v>
      </c>
      <c r="F553">
        <f t="shared" si="427"/>
        <v>3.059005881085338E-5</v>
      </c>
      <c r="G553">
        <f t="shared" si="428"/>
        <v>2.0837386083143385E-3</v>
      </c>
      <c r="H553">
        <f t="shared" si="429"/>
        <v>-3.1395089113916859</v>
      </c>
      <c r="J553">
        <f t="shared" si="430"/>
        <v>15</v>
      </c>
      <c r="M553">
        <f t="shared" si="431"/>
        <v>1.331415145134018E-4</v>
      </c>
      <c r="N553">
        <f t="shared" si="432"/>
        <v>-1.5707963250000001</v>
      </c>
      <c r="O553">
        <f t="shared" si="433"/>
        <v>1590.7906774115349</v>
      </c>
      <c r="P553">
        <f t="shared" si="434"/>
        <v>1.5701677085360273</v>
      </c>
      <c r="Q553">
        <f t="shared" si="435"/>
        <v>236.72603178407601</v>
      </c>
      <c r="R553">
        <f t="shared" si="436"/>
        <v>1.5665720217339143</v>
      </c>
      <c r="S553">
        <f t="shared" si="437"/>
        <v>0.14796551231723204</v>
      </c>
      <c r="T553">
        <f t="shared" si="438"/>
        <v>-1.4222855036457582</v>
      </c>
      <c r="U553">
        <f t="shared" si="439"/>
        <v>0.13556609306567419</v>
      </c>
      <c r="V553">
        <f t="shared" si="440"/>
        <v>-1.4348115188717381</v>
      </c>
      <c r="X553">
        <f t="shared" si="457"/>
        <v>-66.045253645407868</v>
      </c>
      <c r="Y553">
        <f t="shared" si="441"/>
        <v>-231.61566720749065</v>
      </c>
      <c r="Z553">
        <f t="shared" si="458"/>
        <v>-51.615667207490645</v>
      </c>
      <c r="AC553">
        <v>1</v>
      </c>
      <c r="AD553">
        <f t="shared" si="442"/>
        <v>1590.7903631023951</v>
      </c>
      <c r="AE553">
        <f t="shared" si="443"/>
        <v>-3.0495448636346056</v>
      </c>
      <c r="AF553">
        <f t="shared" si="444"/>
        <v>0.41726696409153002</v>
      </c>
      <c r="AG553">
        <f t="shared" si="473"/>
        <v>69.743106036991222</v>
      </c>
      <c r="AH553">
        <f t="shared" si="474"/>
        <v>-512.10555634152047</v>
      </c>
      <c r="AJ553">
        <f t="shared" si="445"/>
        <v>18000</v>
      </c>
      <c r="AK553">
        <f t="shared" si="446"/>
        <v>120310.90964648279</v>
      </c>
      <c r="AL553">
        <v>1</v>
      </c>
      <c r="AM553">
        <f t="shared" si="447"/>
        <v>236.72391962840462</v>
      </c>
      <c r="AN553">
        <f t="shared" si="475"/>
        <v>508.54514202135221</v>
      </c>
      <c r="AO553">
        <f t="shared" si="476"/>
        <v>-73.889680795399599</v>
      </c>
      <c r="AQ553">
        <f t="shared" si="448"/>
        <v>8.7016290580808507E-4</v>
      </c>
      <c r="AR553">
        <f t="shared" si="449"/>
        <v>-2.9498522506894083</v>
      </c>
      <c r="AT553">
        <f t="shared" si="470"/>
        <v>-1510.5750401007763</v>
      </c>
      <c r="AU553">
        <f t="shared" si="471"/>
        <v>-206.17747357227523</v>
      </c>
      <c r="AV553">
        <f t="shared" si="459"/>
        <v>-3.0059414786833227</v>
      </c>
      <c r="AW553">
        <f t="shared" si="460"/>
        <v>360.05887864606092</v>
      </c>
      <c r="AX553">
        <f t="shared" si="461"/>
        <v>-2165.4983275697186</v>
      </c>
      <c r="AY553">
        <f t="shared" si="469"/>
        <v>-1.406032958795282</v>
      </c>
      <c r="BA553">
        <f t="shared" si="450"/>
        <v>0.69449766570018545</v>
      </c>
      <c r="BB553">
        <f t="shared" si="462"/>
        <v>-3.1665841929184508</v>
      </c>
      <c r="BC553">
        <f t="shared" si="463"/>
        <v>-1.5999085198880407</v>
      </c>
      <c r="BD553">
        <f t="shared" si="451"/>
        <v>-271.66800590135301</v>
      </c>
      <c r="BF553">
        <f t="shared" si="452"/>
        <v>-69.261520447722745</v>
      </c>
      <c r="BG553">
        <f t="shared" si="453"/>
        <v>-249.30602005297726</v>
      </c>
      <c r="BH553">
        <f t="shared" si="464"/>
        <v>-69.30602005297726</v>
      </c>
      <c r="BI553">
        <f t="shared" si="465"/>
        <v>-69.30602005297726</v>
      </c>
      <c r="BJ553">
        <f t="shared" si="454"/>
        <v>0</v>
      </c>
      <c r="BK553">
        <f t="shared" si="466"/>
        <v>0</v>
      </c>
      <c r="BM553">
        <f t="shared" si="467"/>
        <v>-66.094936254804296</v>
      </c>
      <c r="BN553">
        <f t="shared" si="455"/>
        <v>-157.63801415162428</v>
      </c>
      <c r="BQ553" s="56">
        <f t="shared" si="468"/>
        <v>13.735376607366685</v>
      </c>
    </row>
    <row r="554" spans="1:69" x14ac:dyDescent="0.2">
      <c r="A554">
        <f t="shared" si="472"/>
        <v>1700000</v>
      </c>
      <c r="B554">
        <f t="shared" si="456"/>
        <v>1700</v>
      </c>
      <c r="C554">
        <f t="shared" si="425"/>
        <v>1.0808498616841622</v>
      </c>
      <c r="D554">
        <f t="shared" si="426"/>
        <v>0.38923962183699323</v>
      </c>
      <c r="F554">
        <f t="shared" si="427"/>
        <v>3.0410376779143315E-5</v>
      </c>
      <c r="G554">
        <f t="shared" si="428"/>
        <v>2.0776096060962502E-3</v>
      </c>
      <c r="H554">
        <f t="shared" si="429"/>
        <v>-3.1395150403939041</v>
      </c>
      <c r="J554">
        <f t="shared" si="430"/>
        <v>15</v>
      </c>
      <c r="M554">
        <f t="shared" si="431"/>
        <v>1.3274992182365651E-4</v>
      </c>
      <c r="N554">
        <f t="shared" si="432"/>
        <v>-1.5707963250000001</v>
      </c>
      <c r="O554">
        <f t="shared" si="433"/>
        <v>1595.4832734284014</v>
      </c>
      <c r="P554">
        <f t="shared" si="434"/>
        <v>1.5701695574127743</v>
      </c>
      <c r="Q554">
        <f t="shared" si="435"/>
        <v>237.42432621978006</v>
      </c>
      <c r="R554">
        <f t="shared" si="436"/>
        <v>1.5665844460134091</v>
      </c>
      <c r="S554">
        <f t="shared" si="437"/>
        <v>0.1475398065732412</v>
      </c>
      <c r="T554">
        <f t="shared" si="438"/>
        <v>-1.4227159336451651</v>
      </c>
      <c r="U554">
        <f t="shared" si="439"/>
        <v>0.13517466536843484</v>
      </c>
      <c r="V554">
        <f t="shared" si="440"/>
        <v>-1.435206583112401</v>
      </c>
      <c r="X554">
        <f t="shared" si="457"/>
        <v>-66.11730623978498</v>
      </c>
      <c r="Y554">
        <f t="shared" si="441"/>
        <v>-231.60330676222225</v>
      </c>
      <c r="Z554">
        <f t="shared" si="458"/>
        <v>-51.603306762222246</v>
      </c>
      <c r="AC554">
        <v>1</v>
      </c>
      <c r="AD554">
        <f t="shared" si="442"/>
        <v>1595.4829600436999</v>
      </c>
      <c r="AE554">
        <f t="shared" si="443"/>
        <v>-3.0675628147698015</v>
      </c>
      <c r="AF554">
        <f t="shared" si="444"/>
        <v>0.41849784009180002</v>
      </c>
      <c r="AG554">
        <f t="shared" si="473"/>
        <v>69.340940993415558</v>
      </c>
      <c r="AH554">
        <f t="shared" si="474"/>
        <v>-510.65422962677769</v>
      </c>
      <c r="AJ554">
        <f t="shared" si="445"/>
        <v>18000</v>
      </c>
      <c r="AK554">
        <f t="shared" si="446"/>
        <v>120665.80908496799</v>
      </c>
      <c r="AL554">
        <v>1</v>
      </c>
      <c r="AM554">
        <f t="shared" si="447"/>
        <v>237.42222027627602</v>
      </c>
      <c r="AN554">
        <f t="shared" si="475"/>
        <v>508.54330866924079</v>
      </c>
      <c r="AO554">
        <f t="shared" si="476"/>
        <v>-73.672365926731075</v>
      </c>
      <c r="AQ554">
        <f t="shared" si="448"/>
        <v>8.6505182828271383E-4</v>
      </c>
      <c r="AR554">
        <f t="shared" si="449"/>
        <v>-2.9411762161612272</v>
      </c>
      <c r="AT554">
        <f t="shared" si="470"/>
        <v>-1501.8640913526312</v>
      </c>
      <c r="AU554">
        <f t="shared" si="471"/>
        <v>-204.38566883103184</v>
      </c>
      <c r="AV554">
        <f t="shared" si="459"/>
        <v>-3.0063355616508418</v>
      </c>
      <c r="AW554">
        <f t="shared" si="460"/>
        <v>360.93656074172787</v>
      </c>
      <c r="AX554">
        <f t="shared" si="461"/>
        <v>-2159.1775257035156</v>
      </c>
      <c r="AY554">
        <f t="shared" si="469"/>
        <v>-1.4051638826774551</v>
      </c>
      <c r="BA554">
        <f t="shared" si="450"/>
        <v>0.69237658243741163</v>
      </c>
      <c r="BB554">
        <f t="shared" si="462"/>
        <v>-3.1931525851471063</v>
      </c>
      <c r="BC554">
        <f t="shared" si="463"/>
        <v>-1.6011716789733867</v>
      </c>
      <c r="BD554">
        <f t="shared" si="451"/>
        <v>-271.74037958587968</v>
      </c>
      <c r="BF554">
        <f t="shared" si="452"/>
        <v>-69.33558395753424</v>
      </c>
      <c r="BG554">
        <f t="shared" si="453"/>
        <v>-249.31955374782703</v>
      </c>
      <c r="BH554">
        <f t="shared" si="464"/>
        <v>-69.31955374782703</v>
      </c>
      <c r="BI554">
        <f t="shared" si="465"/>
        <v>-69.31955374782703</v>
      </c>
      <c r="BJ554">
        <f t="shared" si="454"/>
        <v>0</v>
      </c>
      <c r="BK554">
        <f t="shared" si="466"/>
        <v>0</v>
      </c>
      <c r="BM554">
        <f t="shared" si="467"/>
        <v>-66.142431372387136</v>
      </c>
      <c r="BN554">
        <f t="shared" si="455"/>
        <v>-157.57917416194741</v>
      </c>
      <c r="BQ554" s="56">
        <f t="shared" si="468"/>
        <v>13.708808215138031</v>
      </c>
    </row>
    <row r="555" spans="1:69" x14ac:dyDescent="0.2">
      <c r="A555">
        <f t="shared" si="472"/>
        <v>1705000</v>
      </c>
      <c r="B555">
        <f t="shared" si="456"/>
        <v>1705</v>
      </c>
      <c r="C555">
        <f t="shared" si="425"/>
        <v>1.0813082376712293</v>
      </c>
      <c r="D555">
        <f t="shared" si="426"/>
        <v>0.39027182762688634</v>
      </c>
      <c r="F555">
        <f t="shared" si="427"/>
        <v>3.023227326858904E-5</v>
      </c>
      <c r="G555">
        <f t="shared" si="428"/>
        <v>2.0715165542520512E-3</v>
      </c>
      <c r="H555">
        <f t="shared" si="429"/>
        <v>-3.139521133445748</v>
      </c>
      <c r="J555">
        <f t="shared" si="430"/>
        <v>15</v>
      </c>
      <c r="M555">
        <f t="shared" si="431"/>
        <v>1.3236062586522937E-4</v>
      </c>
      <c r="N555">
        <f t="shared" si="432"/>
        <v>-1.5707963250000001</v>
      </c>
      <c r="O555">
        <f t="shared" si="433"/>
        <v>1600.1758694506898</v>
      </c>
      <c r="P555">
        <f t="shared" si="434"/>
        <v>1.5701713954456737</v>
      </c>
      <c r="Q555">
        <f t="shared" si="435"/>
        <v>238.1226206919186</v>
      </c>
      <c r="R555">
        <f t="shared" si="436"/>
        <v>1.5665967974245181</v>
      </c>
      <c r="S555">
        <f t="shared" si="437"/>
        <v>0.14711651634222431</v>
      </c>
      <c r="T555">
        <f t="shared" si="438"/>
        <v>-1.4231438939247456</v>
      </c>
      <c r="U555">
        <f t="shared" si="439"/>
        <v>0.13478547069100197</v>
      </c>
      <c r="V555">
        <f t="shared" si="440"/>
        <v>-1.4355993724774321</v>
      </c>
      <c r="X555">
        <f t="shared" si="457"/>
        <v>-66.189134604189647</v>
      </c>
      <c r="Y555">
        <f t="shared" si="441"/>
        <v>-231.5907273284308</v>
      </c>
      <c r="Z555">
        <f t="shared" si="458"/>
        <v>-51.590727328430802</v>
      </c>
      <c r="AC555">
        <v>1</v>
      </c>
      <c r="AD555">
        <f t="shared" si="442"/>
        <v>1600.175556985005</v>
      </c>
      <c r="AE555">
        <f t="shared" si="443"/>
        <v>-3.085633837926014</v>
      </c>
      <c r="AF555">
        <f t="shared" si="444"/>
        <v>0.41972871609207002</v>
      </c>
      <c r="AG555">
        <f t="shared" si="473"/>
        <v>68.942223164954783</v>
      </c>
      <c r="AH555">
        <f t="shared" si="474"/>
        <v>-509.21094617874104</v>
      </c>
      <c r="AJ555">
        <f t="shared" si="445"/>
        <v>18000</v>
      </c>
      <c r="AK555">
        <f t="shared" si="446"/>
        <v>121020.7085234532</v>
      </c>
      <c r="AL555">
        <v>1</v>
      </c>
      <c r="AM555">
        <f t="shared" si="447"/>
        <v>238.1205209241474</v>
      </c>
      <c r="AN555">
        <f t="shared" si="475"/>
        <v>508.54149142228619</v>
      </c>
      <c r="AO555">
        <f t="shared" si="476"/>
        <v>-73.456325564437861</v>
      </c>
      <c r="AQ555">
        <f t="shared" si="448"/>
        <v>8.5998565027943941E-4</v>
      </c>
      <c r="AR555">
        <f t="shared" si="449"/>
        <v>-2.9325510674528883</v>
      </c>
      <c r="AT555">
        <f t="shared" si="470"/>
        <v>-1493.2278144525419</v>
      </c>
      <c r="AU555">
        <f t="shared" si="471"/>
        <v>-202.61450424164232</v>
      </c>
      <c r="AV555">
        <f t="shared" si="459"/>
        <v>-3.0067273754979933</v>
      </c>
      <c r="AW555">
        <f t="shared" si="460"/>
        <v>361.80644845583305</v>
      </c>
      <c r="AX555">
        <f t="shared" si="461"/>
        <v>-2152.8933843210534</v>
      </c>
      <c r="AY555">
        <f t="shared" si="469"/>
        <v>-1.404296262217078</v>
      </c>
      <c r="BA555">
        <f t="shared" si="450"/>
        <v>0.69026739034963791</v>
      </c>
      <c r="BB555">
        <f t="shared" si="462"/>
        <v>-3.2196528618218681</v>
      </c>
      <c r="BC555">
        <f t="shared" si="463"/>
        <v>-1.6024311132809153</v>
      </c>
      <c r="BD555">
        <f t="shared" si="451"/>
        <v>-271.81253985635749</v>
      </c>
      <c r="BF555">
        <f t="shared" si="452"/>
        <v>-69.409421359388915</v>
      </c>
      <c r="BG555">
        <f t="shared" si="453"/>
        <v>-249.33292208904288</v>
      </c>
      <c r="BH555">
        <f t="shared" si="464"/>
        <v>-69.332922089042881</v>
      </c>
      <c r="BI555">
        <f t="shared" si="465"/>
        <v>-69.332922089042881</v>
      </c>
      <c r="BJ555">
        <f t="shared" si="454"/>
        <v>0</v>
      </c>
      <c r="BK555">
        <f t="shared" si="466"/>
        <v>0</v>
      </c>
      <c r="BM555">
        <f t="shared" si="467"/>
        <v>-66.189768497567044</v>
      </c>
      <c r="BN555">
        <f t="shared" si="455"/>
        <v>-157.52038223268542</v>
      </c>
      <c r="BQ555" s="56">
        <f t="shared" si="468"/>
        <v>13.68230793846327</v>
      </c>
    </row>
    <row r="556" spans="1:69" x14ac:dyDescent="0.2">
      <c r="A556">
        <f t="shared" si="472"/>
        <v>1710000</v>
      </c>
      <c r="B556">
        <f t="shared" si="456"/>
        <v>1710</v>
      </c>
      <c r="C556">
        <f t="shared" si="425"/>
        <v>1.0817677647597999</v>
      </c>
      <c r="D556">
        <f t="shared" si="426"/>
        <v>0.39130315756778838</v>
      </c>
      <c r="F556">
        <f t="shared" si="427"/>
        <v>3.005572984310344E-5</v>
      </c>
      <c r="G556">
        <f t="shared" si="428"/>
        <v>2.0654591373909393E-3</v>
      </c>
      <c r="H556">
        <f t="shared" si="429"/>
        <v>-3.1395271908626095</v>
      </c>
      <c r="J556">
        <f t="shared" si="430"/>
        <v>15</v>
      </c>
      <c r="M556">
        <f t="shared" si="431"/>
        <v>1.3197360649135444E-4</v>
      </c>
      <c r="N556">
        <f t="shared" si="432"/>
        <v>-1.5707963250000001</v>
      </c>
      <c r="O556">
        <f t="shared" si="433"/>
        <v>1604.8684654783526</v>
      </c>
      <c r="P556">
        <f t="shared" si="434"/>
        <v>1.5701732227298468</v>
      </c>
      <c r="Q556">
        <f t="shared" si="435"/>
        <v>238.82091520017204</v>
      </c>
      <c r="R556">
        <f t="shared" si="436"/>
        <v>1.5666090766064231</v>
      </c>
      <c r="S556">
        <f t="shared" si="437"/>
        <v>0.14669562135658257</v>
      </c>
      <c r="T556">
        <f t="shared" si="438"/>
        <v>-1.4235694055243964</v>
      </c>
      <c r="U556">
        <f t="shared" si="439"/>
        <v>0.13439849015956706</v>
      </c>
      <c r="V556">
        <f t="shared" si="440"/>
        <v>-1.4359899064391881</v>
      </c>
      <c r="X556">
        <f t="shared" si="457"/>
        <v>-66.260739978915083</v>
      </c>
      <c r="Y556">
        <f t="shared" si="441"/>
        <v>-231.5779312655269</v>
      </c>
      <c r="Z556">
        <f t="shared" si="458"/>
        <v>-51.5779312655269</v>
      </c>
      <c r="AC556">
        <v>1</v>
      </c>
      <c r="AD556">
        <f t="shared" si="442"/>
        <v>1604.86815392631</v>
      </c>
      <c r="AE556">
        <f t="shared" si="443"/>
        <v>-3.1037579331032439</v>
      </c>
      <c r="AF556">
        <f t="shared" si="444"/>
        <v>0.42095959209234002</v>
      </c>
      <c r="AG556">
        <f t="shared" si="473"/>
        <v>68.546913510926359</v>
      </c>
      <c r="AH556">
        <f t="shared" si="474"/>
        <v>-507.77564073748812</v>
      </c>
      <c r="AJ556">
        <f t="shared" si="445"/>
        <v>18000</v>
      </c>
      <c r="AK556">
        <f t="shared" si="446"/>
        <v>121375.6079619384</v>
      </c>
      <c r="AL556">
        <v>1</v>
      </c>
      <c r="AM556">
        <f t="shared" si="447"/>
        <v>238.81882157201883</v>
      </c>
      <c r="AN556">
        <f t="shared" si="475"/>
        <v>508.53969009240501</v>
      </c>
      <c r="AO556">
        <f t="shared" si="476"/>
        <v>-73.24154852942705</v>
      </c>
      <c r="AQ556">
        <f t="shared" si="448"/>
        <v>8.549638474262297E-4</v>
      </c>
      <c r="AR556">
        <f t="shared" si="449"/>
        <v>-2.9239763581977054</v>
      </c>
      <c r="AT556">
        <f t="shared" si="470"/>
        <v>-1484.6653636522026</v>
      </c>
      <c r="AU556">
        <f t="shared" si="471"/>
        <v>-200.86368434880578</v>
      </c>
      <c r="AV556">
        <f t="shared" si="459"/>
        <v>-3.0071169396466488</v>
      </c>
      <c r="AW556">
        <f t="shared" si="460"/>
        <v>362.6686340139903</v>
      </c>
      <c r="AX556">
        <f t="shared" si="461"/>
        <v>-2146.6455864700247</v>
      </c>
      <c r="AY556">
        <f t="shared" si="469"/>
        <v>-1.4034300865333462</v>
      </c>
      <c r="BA556">
        <f t="shared" si="450"/>
        <v>0.68816998879306768</v>
      </c>
      <c r="BB556">
        <f t="shared" si="462"/>
        <v>-3.2460854191248711</v>
      </c>
      <c r="BC556">
        <f t="shared" si="463"/>
        <v>-1.6036868531133026</v>
      </c>
      <c r="BD556">
        <f t="shared" si="451"/>
        <v>-271.88448844900199</v>
      </c>
      <c r="BF556">
        <f t="shared" si="452"/>
        <v>-69.483033951931063</v>
      </c>
      <c r="BG556">
        <f t="shared" si="453"/>
        <v>-249.34612689314199</v>
      </c>
      <c r="BH556">
        <f t="shared" si="464"/>
        <v>-69.346126893141985</v>
      </c>
      <c r="BI556">
        <f t="shared" si="465"/>
        <v>-69.346126893141985</v>
      </c>
      <c r="BJ556">
        <f t="shared" si="454"/>
        <v>0</v>
      </c>
      <c r="BK556">
        <f t="shared" si="466"/>
        <v>0</v>
      </c>
      <c r="BM556">
        <f t="shared" si="467"/>
        <v>-66.236948532806196</v>
      </c>
      <c r="BN556">
        <f t="shared" si="455"/>
        <v>-157.46163844414005</v>
      </c>
      <c r="BQ556" s="56">
        <f t="shared" si="468"/>
        <v>13.655875381160268</v>
      </c>
    </row>
    <row r="557" spans="1:69" x14ac:dyDescent="0.2">
      <c r="A557">
        <f t="shared" si="472"/>
        <v>1715000</v>
      </c>
      <c r="B557">
        <f t="shared" si="456"/>
        <v>1715</v>
      </c>
      <c r="C557">
        <f t="shared" si="425"/>
        <v>1.0822284414835592</v>
      </c>
      <c r="D557">
        <f t="shared" si="426"/>
        <v>0.39233361058285565</v>
      </c>
      <c r="F557">
        <f t="shared" si="427"/>
        <v>2.9880728334969787E-5</v>
      </c>
      <c r="G557">
        <f t="shared" si="428"/>
        <v>2.0594370438006709E-3</v>
      </c>
      <c r="H557">
        <f t="shared" si="429"/>
        <v>-3.1395332129561995</v>
      </c>
      <c r="J557">
        <f t="shared" si="430"/>
        <v>15</v>
      </c>
      <c r="M557">
        <f t="shared" si="431"/>
        <v>1.3158884379021346E-4</v>
      </c>
      <c r="N557">
        <f t="shared" si="432"/>
        <v>-1.5707963250000001</v>
      </c>
      <c r="O557">
        <f t="shared" si="433"/>
        <v>1609.5610615113428</v>
      </c>
      <c r="P557">
        <f t="shared" si="434"/>
        <v>1.5701750393593059</v>
      </c>
      <c r="Q557">
        <f t="shared" si="435"/>
        <v>239.51920974422455</v>
      </c>
      <c r="R557">
        <f t="shared" si="436"/>
        <v>1.5666212841908516</v>
      </c>
      <c r="S557">
        <f t="shared" si="437"/>
        <v>0.14627710157213725</v>
      </c>
      <c r="T557">
        <f t="shared" si="438"/>
        <v>-1.4239924892474778</v>
      </c>
      <c r="U557">
        <f t="shared" si="439"/>
        <v>0.13401370511034119</v>
      </c>
      <c r="V557">
        <f t="shared" si="440"/>
        <v>-1.4363782042497966</v>
      </c>
      <c r="X557">
        <f t="shared" si="457"/>
        <v>-66.332123594148101</v>
      </c>
      <c r="Y557">
        <f t="shared" si="441"/>
        <v>-231.56492090649724</v>
      </c>
      <c r="Z557">
        <f t="shared" si="458"/>
        <v>-51.564920906497235</v>
      </c>
      <c r="AC557">
        <v>1</v>
      </c>
      <c r="AD557">
        <f t="shared" si="442"/>
        <v>1609.5607508676148</v>
      </c>
      <c r="AE557">
        <f t="shared" si="443"/>
        <v>-3.1219351003014908</v>
      </c>
      <c r="AF557">
        <f t="shared" si="444"/>
        <v>0.42219046809261002</v>
      </c>
      <c r="AG557">
        <f t="shared" si="473"/>
        <v>68.154973538265295</v>
      </c>
      <c r="AH557">
        <f t="shared" si="474"/>
        <v>-506.34824873008915</v>
      </c>
      <c r="AJ557">
        <f t="shared" si="445"/>
        <v>18000</v>
      </c>
      <c r="AK557">
        <f t="shared" si="446"/>
        <v>121730.50740042359</v>
      </c>
      <c r="AL557">
        <v>1</v>
      </c>
      <c r="AM557">
        <f t="shared" si="447"/>
        <v>239.51712221989021</v>
      </c>
      <c r="AN557">
        <f t="shared" si="475"/>
        <v>508.53790449425168</v>
      </c>
      <c r="AO557">
        <f t="shared" si="476"/>
        <v>-73.028023772962669</v>
      </c>
      <c r="AQ557">
        <f t="shared" si="448"/>
        <v>8.49985902983799E-4</v>
      </c>
      <c r="AR557">
        <f t="shared" si="449"/>
        <v>-2.9154516472344305</v>
      </c>
      <c r="AT557">
        <f t="shared" si="470"/>
        <v>-1476.1759050676817</v>
      </c>
      <c r="AU557">
        <f t="shared" si="471"/>
        <v>-199.1329187427757</v>
      </c>
      <c r="AV557">
        <f t="shared" si="459"/>
        <v>-3.0075042732990398</v>
      </c>
      <c r="AW557">
        <f t="shared" si="460"/>
        <v>363.52320827909637</v>
      </c>
      <c r="AX557">
        <f t="shared" si="461"/>
        <v>-2140.4338188298962</v>
      </c>
      <c r="AY557">
        <f t="shared" si="469"/>
        <v>-1.4025653448829358</v>
      </c>
      <c r="BA557">
        <f t="shared" si="450"/>
        <v>0.68608427825098006</v>
      </c>
      <c r="BB557">
        <f t="shared" si="462"/>
        <v>-3.2724506499701222</v>
      </c>
      <c r="BC557">
        <f t="shared" si="463"/>
        <v>-1.604938928416104</v>
      </c>
      <c r="BD557">
        <f t="shared" si="451"/>
        <v>-271.95622707956704</v>
      </c>
      <c r="BF557">
        <f t="shared" si="452"/>
        <v>-69.556423022826621</v>
      </c>
      <c r="BG557">
        <f t="shared" si="453"/>
        <v>-249.35916995543664</v>
      </c>
      <c r="BH557">
        <f t="shared" si="464"/>
        <v>-69.359169955436641</v>
      </c>
      <c r="BI557">
        <f t="shared" si="465"/>
        <v>-69.359169955436641</v>
      </c>
      <c r="BJ557">
        <f t="shared" si="454"/>
        <v>0</v>
      </c>
      <c r="BK557">
        <f t="shared" si="466"/>
        <v>0</v>
      </c>
      <c r="BM557">
        <f t="shared" si="467"/>
        <v>-66.283972372856496</v>
      </c>
      <c r="BN557">
        <f t="shared" si="455"/>
        <v>-157.40294287586963</v>
      </c>
      <c r="BQ557" s="56">
        <f t="shared" si="468"/>
        <v>13.629510150315017</v>
      </c>
    </row>
    <row r="558" spans="1:69" x14ac:dyDescent="0.2">
      <c r="A558">
        <f t="shared" si="472"/>
        <v>1720000</v>
      </c>
      <c r="B558">
        <f t="shared" si="456"/>
        <v>1720</v>
      </c>
      <c r="C558">
        <f t="shared" si="425"/>
        <v>1.082690266375024</v>
      </c>
      <c r="D558">
        <f t="shared" si="426"/>
        <v>0.3933631856045241</v>
      </c>
      <c r="F558">
        <f t="shared" si="427"/>
        <v>2.9707250840167412E-5</v>
      </c>
      <c r="G558">
        <f t="shared" si="428"/>
        <v>2.0534499653940851E-3</v>
      </c>
      <c r="H558">
        <f t="shared" si="429"/>
        <v>-3.1395392000346063</v>
      </c>
      <c r="J558">
        <f t="shared" si="430"/>
        <v>15</v>
      </c>
      <c r="M558">
        <f t="shared" si="431"/>
        <v>1.3120631808152098E-4</v>
      </c>
      <c r="N558">
        <f t="shared" si="432"/>
        <v>-1.5707963250000001</v>
      </c>
      <c r="O558">
        <f t="shared" si="433"/>
        <v>1614.2536575496138</v>
      </c>
      <c r="P558">
        <f t="shared" si="434"/>
        <v>1.57017684542697</v>
      </c>
      <c r="Q558">
        <f t="shared" si="435"/>
        <v>240.2175043237639</v>
      </c>
      <c r="R558">
        <f t="shared" si="436"/>
        <v>1.5666334208021853</v>
      </c>
      <c r="S558">
        <f t="shared" si="437"/>
        <v>0.14586093716509835</v>
      </c>
      <c r="T558">
        <f t="shared" si="438"/>
        <v>-1.4244131656641044</v>
      </c>
      <c r="U558">
        <f t="shared" si="439"/>
        <v>0.13363109708667212</v>
      </c>
      <c r="V558">
        <f t="shared" si="440"/>
        <v>-1.4367642849442412</v>
      </c>
      <c r="X558">
        <f t="shared" si="457"/>
        <v>-66.403286670078771</v>
      </c>
      <c r="Y558">
        <f t="shared" si="441"/>
        <v>-231.55169855826753</v>
      </c>
      <c r="Z558">
        <f t="shared" si="458"/>
        <v>-51.551698558267532</v>
      </c>
      <c r="AC558">
        <v>1</v>
      </c>
      <c r="AD558">
        <f t="shared" si="442"/>
        <v>1614.2533478089199</v>
      </c>
      <c r="AE558">
        <f t="shared" si="443"/>
        <v>-3.1401653395207538</v>
      </c>
      <c r="AF558">
        <f t="shared" si="444"/>
        <v>0.42342134409288001</v>
      </c>
      <c r="AG558">
        <f t="shared" si="473"/>
        <v>67.766365292392365</v>
      </c>
      <c r="AH558">
        <f t="shared" si="474"/>
        <v>-504.92870626185277</v>
      </c>
      <c r="AJ558">
        <f t="shared" si="445"/>
        <v>18000</v>
      </c>
      <c r="AK558">
        <f t="shared" si="446"/>
        <v>122085.40683890881</v>
      </c>
      <c r="AL558">
        <v>1</v>
      </c>
      <c r="AM558">
        <f t="shared" si="447"/>
        <v>240.21542286776165</v>
      </c>
      <c r="AN558">
        <f t="shared" si="475"/>
        <v>508.53613444517077</v>
      </c>
      <c r="AO558">
        <f t="shared" si="476"/>
        <v>-72.815740374771295</v>
      </c>
      <c r="AQ558">
        <f t="shared" si="448"/>
        <v>8.4505130771267347E-4</v>
      </c>
      <c r="AR558">
        <f t="shared" si="449"/>
        <v>-2.9069764985315967</v>
      </c>
      <c r="AT558">
        <f t="shared" si="470"/>
        <v>-1467.7586164815607</v>
      </c>
      <c r="AU558">
        <f t="shared" si="471"/>
        <v>-197.4219219594201</v>
      </c>
      <c r="AV558">
        <f t="shared" si="459"/>
        <v>-3.0078893954408343</v>
      </c>
      <c r="AW558">
        <f t="shared" si="460"/>
        <v>364.37026077546221</v>
      </c>
      <c r="AX558">
        <f t="shared" si="461"/>
        <v>-2134.2577716601968</v>
      </c>
      <c r="AY558">
        <f t="shared" si="469"/>
        <v>-1.4017020266578921</v>
      </c>
      <c r="BA558">
        <f t="shared" si="450"/>
        <v>0.68401016031816686</v>
      </c>
      <c r="BB558">
        <f t="shared" si="462"/>
        <v>-3.2987489440379729</v>
      </c>
      <c r="BC558">
        <f t="shared" si="463"/>
        <v>-1.6061873687829422</v>
      </c>
      <c r="BD558">
        <f t="shared" si="451"/>
        <v>-272.02775744364237</v>
      </c>
      <c r="BF558">
        <f t="shared" si="452"/>
        <v>-69.629589848886994</v>
      </c>
      <c r="BG558">
        <f t="shared" si="453"/>
        <v>-249.37205305033558</v>
      </c>
      <c r="BH558">
        <f t="shared" si="464"/>
        <v>-69.37205305033558</v>
      </c>
      <c r="BI558">
        <f t="shared" si="465"/>
        <v>-69.37205305033558</v>
      </c>
      <c r="BJ558">
        <f t="shared" si="454"/>
        <v>0</v>
      </c>
      <c r="BK558">
        <f t="shared" si="466"/>
        <v>0</v>
      </c>
      <c r="BM558">
        <f t="shared" si="467"/>
        <v>-66.330840904849026</v>
      </c>
      <c r="BN558">
        <f t="shared" si="455"/>
        <v>-157.34429560669324</v>
      </c>
      <c r="BQ558" s="56">
        <f t="shared" si="468"/>
        <v>13.603211856247164</v>
      </c>
    </row>
    <row r="559" spans="1:69" x14ac:dyDescent="0.2">
      <c r="A559">
        <f t="shared" si="472"/>
        <v>1725000</v>
      </c>
      <c r="B559">
        <f t="shared" si="456"/>
        <v>1725</v>
      </c>
      <c r="C559">
        <f t="shared" si="425"/>
        <v>1.0831532379655584</v>
      </c>
      <c r="D559">
        <f t="shared" si="426"/>
        <v>0.39439188157449373</v>
      </c>
      <c r="F559">
        <f t="shared" si="427"/>
        <v>2.9535279713792023E-5</v>
      </c>
      <c r="G559">
        <f t="shared" si="428"/>
        <v>2.0474975976565563E-3</v>
      </c>
      <c r="H559">
        <f t="shared" si="429"/>
        <v>-3.1395451524023437</v>
      </c>
      <c r="J559">
        <f t="shared" si="430"/>
        <v>15</v>
      </c>
      <c r="M559">
        <f t="shared" si="431"/>
        <v>1.3082600991316874E-4</v>
      </c>
      <c r="N559">
        <f t="shared" si="432"/>
        <v>-1.5707963250000001</v>
      </c>
      <c r="O559">
        <f t="shared" si="433"/>
        <v>1618.9462535931198</v>
      </c>
      <c r="P559">
        <f t="shared" si="434"/>
        <v>1.5701786410246805</v>
      </c>
      <c r="Q559">
        <f t="shared" si="435"/>
        <v>240.91579893848157</v>
      </c>
      <c r="R559">
        <f t="shared" si="436"/>
        <v>1.5666454870575677</v>
      </c>
      <c r="S559">
        <f t="shared" si="437"/>
        <v>0.1454471085290821</v>
      </c>
      <c r="T559">
        <f t="shared" si="438"/>
        <v>-1.4248314551143781</v>
      </c>
      <c r="U559">
        <f t="shared" si="439"/>
        <v>0.13325064783620805</v>
      </c>
      <c r="V559">
        <f t="shared" si="440"/>
        <v>-1.4371481673433955</v>
      </c>
      <c r="X559">
        <f t="shared" si="457"/>
        <v>-66.474230417008386</v>
      </c>
      <c r="Y559">
        <f t="shared" si="441"/>
        <v>-231.53826650205826</v>
      </c>
      <c r="Z559">
        <f t="shared" si="458"/>
        <v>-51.538266502058264</v>
      </c>
      <c r="AC559">
        <v>1</v>
      </c>
      <c r="AD559">
        <f t="shared" si="442"/>
        <v>1618.9459447502252</v>
      </c>
      <c r="AE559">
        <f t="shared" si="443"/>
        <v>-3.1584486507610343</v>
      </c>
      <c r="AF559">
        <f t="shared" si="444"/>
        <v>0.42465222009314996</v>
      </c>
      <c r="AG559">
        <f t="shared" si="473"/>
        <v>67.381051348258396</v>
      </c>
      <c r="AH559">
        <f t="shared" si="474"/>
        <v>-503.51695010770021</v>
      </c>
      <c r="AJ559">
        <f t="shared" si="445"/>
        <v>18000</v>
      </c>
      <c r="AK559">
        <f t="shared" si="446"/>
        <v>122440.306277394</v>
      </c>
      <c r="AL559">
        <v>1</v>
      </c>
      <c r="AM559">
        <f t="shared" si="447"/>
        <v>240.91372351563302</v>
      </c>
      <c r="AN559">
        <f t="shared" si="475"/>
        <v>508.53437976514959</v>
      </c>
      <c r="AO559">
        <f t="shared" si="476"/>
        <v>-72.604687541180354</v>
      </c>
      <c r="AQ559">
        <f t="shared" si="448"/>
        <v>8.4015955974294811E-4</v>
      </c>
      <c r="AR559">
        <f t="shared" si="449"/>
        <v>-2.8985504811131713</v>
      </c>
      <c r="AT559">
        <f t="shared" si="470"/>
        <v>-1459.4126871488754</v>
      </c>
      <c r="AU559">
        <f t="shared" si="471"/>
        <v>-195.73041338253125</v>
      </c>
      <c r="AV559">
        <f t="shared" si="459"/>
        <v>-3.0082723248441621</v>
      </c>
      <c r="AW559">
        <f t="shared" si="460"/>
        <v>365.20987971244688</v>
      </c>
      <c r="AX559">
        <f t="shared" si="461"/>
        <v>-2128.1171387496643</v>
      </c>
      <c r="AY559">
        <f t="shared" si="469"/>
        <v>-1.400840121383554</v>
      </c>
      <c r="BA559">
        <f t="shared" si="450"/>
        <v>0.68194753768562444</v>
      </c>
      <c r="BB559">
        <f t="shared" si="462"/>
        <v>-3.3249806878091426</v>
      </c>
      <c r="BC559">
        <f t="shared" si="463"/>
        <v>-1.6074322034606081</v>
      </c>
      <c r="BD559">
        <f t="shared" si="451"/>
        <v>-272.09908121694565</v>
      </c>
      <c r="BF559">
        <f t="shared" si="452"/>
        <v>-69.702535696191433</v>
      </c>
      <c r="BG559">
        <f t="shared" si="453"/>
        <v>-249.38477793164</v>
      </c>
      <c r="BH559">
        <f t="shared" si="464"/>
        <v>-69.384777931640002</v>
      </c>
      <c r="BI559">
        <f t="shared" si="465"/>
        <v>-69.384777931640002</v>
      </c>
      <c r="BJ559">
        <f t="shared" si="454"/>
        <v>0</v>
      </c>
      <c r="BK559">
        <f t="shared" si="466"/>
        <v>0</v>
      </c>
      <c r="BM559">
        <f t="shared" si="467"/>
        <v>-66.377555008382274</v>
      </c>
      <c r="BN559">
        <f t="shared" si="455"/>
        <v>-157.28569671469435</v>
      </c>
      <c r="BQ559" s="56">
        <f t="shared" si="468"/>
        <v>13.576980112475994</v>
      </c>
    </row>
    <row r="560" spans="1:69" x14ac:dyDescent="0.2">
      <c r="A560">
        <f t="shared" si="472"/>
        <v>1730000</v>
      </c>
      <c r="B560">
        <f t="shared" si="456"/>
        <v>1730</v>
      </c>
      <c r="C560">
        <f t="shared" si="425"/>
        <v>1.0836173547853933</v>
      </c>
      <c r="D560">
        <f t="shared" si="426"/>
        <v>0.39541969744371253</v>
      </c>
      <c r="F560">
        <f t="shared" si="427"/>
        <v>2.936479756556859E-5</v>
      </c>
      <c r="G560">
        <f t="shared" si="428"/>
        <v>2.0415796395943592E-3</v>
      </c>
      <c r="H560">
        <f t="shared" si="429"/>
        <v>-3.1395510703604059</v>
      </c>
      <c r="J560">
        <f t="shared" si="430"/>
        <v>15</v>
      </c>
      <c r="M560">
        <f t="shared" si="431"/>
        <v>1.3044790005792837E-4</v>
      </c>
      <c r="N560">
        <f t="shared" si="432"/>
        <v>-1.5707963250000001</v>
      </c>
      <c r="O560">
        <f t="shared" si="433"/>
        <v>1623.6388496418156</v>
      </c>
      <c r="P560">
        <f t="shared" si="434"/>
        <v>1.5701804262432173</v>
      </c>
      <c r="Q560">
        <f t="shared" si="435"/>
        <v>241.61409358807248</v>
      </c>
      <c r="R560">
        <f t="shared" si="436"/>
        <v>1.5666574835670075</v>
      </c>
      <c r="S560">
        <f t="shared" si="437"/>
        <v>0.14503559627217591</v>
      </c>
      <c r="T560">
        <f t="shared" si="438"/>
        <v>-1.4252473777115722</v>
      </c>
      <c r="U560">
        <f t="shared" si="439"/>
        <v>0.13287233930810741</v>
      </c>
      <c r="V560">
        <f t="shared" si="440"/>
        <v>-1.4375298700570052</v>
      </c>
      <c r="X560">
        <f t="shared" si="457"/>
        <v>-66.544956035456153</v>
      </c>
      <c r="Y560">
        <f t="shared" si="441"/>
        <v>-231.52462699373456</v>
      </c>
      <c r="Z560">
        <f t="shared" si="458"/>
        <v>-51.524626993734557</v>
      </c>
      <c r="AC560">
        <v>1</v>
      </c>
      <c r="AD560">
        <f t="shared" si="442"/>
        <v>1623.63854169153</v>
      </c>
      <c r="AE560">
        <f t="shared" si="443"/>
        <v>-3.1767850340223314</v>
      </c>
      <c r="AF560">
        <f t="shared" si="444"/>
        <v>0.42588309609341995</v>
      </c>
      <c r="AG560">
        <f t="shared" si="473"/>
        <v>66.998994801560727</v>
      </c>
      <c r="AH560">
        <f t="shared" si="474"/>
        <v>-502.11291770366654</v>
      </c>
      <c r="AJ560">
        <f t="shared" si="445"/>
        <v>18000</v>
      </c>
      <c r="AK560">
        <f t="shared" si="446"/>
        <v>122795.2057158792</v>
      </c>
      <c r="AL560">
        <v>1</v>
      </c>
      <c r="AM560">
        <f t="shared" si="447"/>
        <v>241.6120241635044</v>
      </c>
      <c r="AN560">
        <f t="shared" si="475"/>
        <v>508.53264027677346</v>
      </c>
      <c r="AO560">
        <f t="shared" si="476"/>
        <v>-72.394854603288906</v>
      </c>
      <c r="AQ560">
        <f t="shared" si="448"/>
        <v>8.3531016444667679E-4</v>
      </c>
      <c r="AR560">
        <f t="shared" si="449"/>
        <v>-2.8901731689855015</v>
      </c>
      <c r="AT560">
        <f t="shared" si="470"/>
        <v>-1451.1373176067968</v>
      </c>
      <c r="AU560">
        <f t="shared" si="471"/>
        <v>-194.05811714832774</v>
      </c>
      <c r="AV560">
        <f t="shared" si="459"/>
        <v>-3.0086530800705877</v>
      </c>
      <c r="AW560">
        <f t="shared" si="460"/>
        <v>366.04215200760672</v>
      </c>
      <c r="AX560">
        <f t="shared" si="461"/>
        <v>-2122.0116173662723</v>
      </c>
      <c r="AY560">
        <f t="shared" si="469"/>
        <v>-1.3999796187165165</v>
      </c>
      <c r="BA560">
        <f t="shared" si="450"/>
        <v>0.67989631412549378</v>
      </c>
      <c r="BB560">
        <f t="shared" si="462"/>
        <v>-3.3511462645983232</v>
      </c>
      <c r="BC560">
        <f t="shared" si="463"/>
        <v>-1.6086734613540712</v>
      </c>
      <c r="BD560">
        <f t="shared" si="451"/>
        <v>-272.1702000556096</v>
      </c>
      <c r="BF560">
        <f t="shared" si="452"/>
        <v>-69.775261820207305</v>
      </c>
      <c r="BG560">
        <f t="shared" si="453"/>
        <v>-249.39734633283456</v>
      </c>
      <c r="BH560">
        <f t="shared" si="464"/>
        <v>-69.397346332834559</v>
      </c>
      <c r="BI560">
        <f t="shared" si="465"/>
        <v>-69.397346332834559</v>
      </c>
      <c r="BJ560">
        <f t="shared" si="454"/>
        <v>0</v>
      </c>
      <c r="BK560">
        <f t="shared" si="466"/>
        <v>0</v>
      </c>
      <c r="BM560">
        <f t="shared" si="467"/>
        <v>-66.424115555608992</v>
      </c>
      <c r="BN560">
        <f t="shared" si="455"/>
        <v>-157.22714627722496</v>
      </c>
      <c r="BQ560" s="56">
        <f t="shared" si="468"/>
        <v>13.550814535686813</v>
      </c>
    </row>
    <row r="561" spans="1:69" x14ac:dyDescent="0.2">
      <c r="A561">
        <f t="shared" si="472"/>
        <v>1735000</v>
      </c>
      <c r="B561">
        <f t="shared" si="456"/>
        <v>1735</v>
      </c>
      <c r="C561">
        <f t="shared" si="425"/>
        <v>1.0840826153636443</v>
      </c>
      <c r="D561">
        <f t="shared" si="426"/>
        <v>0.39644663217236076</v>
      </c>
      <c r="F561">
        <f t="shared" si="427"/>
        <v>2.919578725545458E-5</v>
      </c>
      <c r="G561">
        <f t="shared" si="428"/>
        <v>2.0356957936839277E-3</v>
      </c>
      <c r="H561">
        <f t="shared" si="429"/>
        <v>-3.1395569542063164</v>
      </c>
      <c r="J561">
        <f t="shared" si="430"/>
        <v>15</v>
      </c>
      <c r="M561">
        <f t="shared" si="431"/>
        <v>1.3007196951021101E-4</v>
      </c>
      <c r="N561">
        <f t="shared" si="432"/>
        <v>-1.5707963250000001</v>
      </c>
      <c r="O561">
        <f t="shared" si="433"/>
        <v>1628.3314456956562</v>
      </c>
      <c r="P561">
        <f t="shared" si="434"/>
        <v>1.5701822011723141</v>
      </c>
      <c r="Q561">
        <f t="shared" si="435"/>
        <v>242.31238827223518</v>
      </c>
      <c r="R561">
        <f t="shared" si="436"/>
        <v>1.5666694109334816</v>
      </c>
      <c r="S561">
        <f t="shared" si="437"/>
        <v>0.14462638121405005</v>
      </c>
      <c r="T561">
        <f t="shared" si="438"/>
        <v>-1.4256609533452589</v>
      </c>
      <c r="U561">
        <f t="shared" si="439"/>
        <v>0.13249615365029369</v>
      </c>
      <c r="V561">
        <f t="shared" si="440"/>
        <v>-1.4379094114866233</v>
      </c>
      <c r="X561">
        <f t="shared" si="457"/>
        <v>-66.615464716264441</v>
      </c>
      <c r="Y561">
        <f t="shared" si="441"/>
        <v>-231.51078226415112</v>
      </c>
      <c r="Z561">
        <f t="shared" si="458"/>
        <v>-51.510782264151118</v>
      </c>
      <c r="AC561">
        <v>1</v>
      </c>
      <c r="AD561">
        <f t="shared" si="442"/>
        <v>1628.3311386328351</v>
      </c>
      <c r="AE561">
        <f t="shared" si="443"/>
        <v>-3.195174489304645</v>
      </c>
      <c r="AF561">
        <f t="shared" si="444"/>
        <v>0.42711397209368995</v>
      </c>
      <c r="AG561">
        <f t="shared" si="473"/>
        <v>66.620159260127963</v>
      </c>
      <c r="AH561">
        <f t="shared" si="474"/>
        <v>-500.71654713852678</v>
      </c>
      <c r="AJ561">
        <f t="shared" si="445"/>
        <v>18000</v>
      </c>
      <c r="AK561">
        <f t="shared" si="446"/>
        <v>123150.10515436441</v>
      </c>
      <c r="AL561">
        <v>1</v>
      </c>
      <c r="AM561">
        <f t="shared" si="447"/>
        <v>242.31032481137584</v>
      </c>
      <c r="AN561">
        <f t="shared" si="475"/>
        <v>508.53091580518003</v>
      </c>
      <c r="AO561">
        <f t="shared" si="476"/>
        <v>-72.186231015169867</v>
      </c>
      <c r="AQ561">
        <f t="shared" si="448"/>
        <v>8.3050263431283088E-4</v>
      </c>
      <c r="AR561">
        <f t="shared" si="449"/>
        <v>-2.8818441410655233</v>
      </c>
      <c r="AT561">
        <f t="shared" si="470"/>
        <v>-1442.9317194879584</v>
      </c>
      <c r="AU561">
        <f t="shared" si="471"/>
        <v>-192.40476205209441</v>
      </c>
      <c r="AV561">
        <f t="shared" si="459"/>
        <v>-3.0090316794740399</v>
      </c>
      <c r="AW561">
        <f t="shared" si="460"/>
        <v>366.86716330936866</v>
      </c>
      <c r="AX561">
        <f t="shared" si="461"/>
        <v>-2115.9409082080911</v>
      </c>
      <c r="AY561">
        <f t="shared" si="469"/>
        <v>-1.3991205084426319</v>
      </c>
      <c r="BA561">
        <f t="shared" si="450"/>
        <v>0.67785639447624768</v>
      </c>
      <c r="BB561">
        <f t="shared" si="462"/>
        <v>-3.377246054587328</v>
      </c>
      <c r="BC561">
        <f t="shared" si="463"/>
        <v>-1.609911171031408</v>
      </c>
      <c r="BD561">
        <f t="shared" si="451"/>
        <v>-272.24111559646457</v>
      </c>
      <c r="BF561">
        <f t="shared" si="452"/>
        <v>-69.84776946590911</v>
      </c>
      <c r="BG561">
        <f t="shared" si="453"/>
        <v>-249.40975996737367</v>
      </c>
      <c r="BH561">
        <f t="shared" si="464"/>
        <v>-69.409759967373674</v>
      </c>
      <c r="BI561">
        <f t="shared" si="465"/>
        <v>-69.409759967373674</v>
      </c>
      <c r="BJ561">
        <f t="shared" si="454"/>
        <v>0</v>
      </c>
      <c r="BK561">
        <f t="shared" si="466"/>
        <v>0</v>
      </c>
      <c r="BM561">
        <f t="shared" si="467"/>
        <v>-66.470523411321793</v>
      </c>
      <c r="BN561">
        <f t="shared" si="455"/>
        <v>-157.16864437090913</v>
      </c>
      <c r="BQ561" s="56">
        <f t="shared" si="468"/>
        <v>13.524714745697807</v>
      </c>
    </row>
    <row r="562" spans="1:69" x14ac:dyDescent="0.2">
      <c r="A562">
        <f t="shared" si="472"/>
        <v>1740000</v>
      </c>
      <c r="B562">
        <f t="shared" si="456"/>
        <v>1740</v>
      </c>
      <c r="C562">
        <f t="shared" si="425"/>
        <v>1.0845490182283288</v>
      </c>
      <c r="D562">
        <f t="shared" si="426"/>
        <v>0.39747268472983488</v>
      </c>
      <c r="F562">
        <f t="shared" si="427"/>
        <v>2.9028231889331583E-5</v>
      </c>
      <c r="G562">
        <f t="shared" si="428"/>
        <v>2.0298457658219867E-3</v>
      </c>
      <c r="H562">
        <f t="shared" si="429"/>
        <v>-3.1395628042341781</v>
      </c>
      <c r="J562">
        <f t="shared" si="430"/>
        <v>15</v>
      </c>
      <c r="M562">
        <f t="shared" si="431"/>
        <v>1.296981994828828E-4</v>
      </c>
      <c r="N562">
        <f t="shared" si="432"/>
        <v>-1.5707963250000001</v>
      </c>
      <c r="O562">
        <f t="shared" si="433"/>
        <v>1633.0240417545965</v>
      </c>
      <c r="P562">
        <f t="shared" si="434"/>
        <v>1.5701839659006729</v>
      </c>
      <c r="Q562">
        <f t="shared" si="435"/>
        <v>243.01068299067163</v>
      </c>
      <c r="R562">
        <f t="shared" si="436"/>
        <v>1.5666812697530366</v>
      </c>
      <c r="S562">
        <f t="shared" si="437"/>
        <v>0.14421944438311549</v>
      </c>
      <c r="T562">
        <f t="shared" si="438"/>
        <v>-1.4260722016843885</v>
      </c>
      <c r="U562">
        <f t="shared" si="439"/>
        <v>0.13212207320675456</v>
      </c>
      <c r="V562">
        <f t="shared" si="440"/>
        <v>-1.4382868098284947</v>
      </c>
      <c r="X562">
        <f t="shared" si="457"/>
        <v>-66.685757640702519</v>
      </c>
      <c r="Y562">
        <f t="shared" si="441"/>
        <v>-231.49673451949059</v>
      </c>
      <c r="Z562">
        <f t="shared" si="458"/>
        <v>-51.496734519490587</v>
      </c>
      <c r="AC562">
        <v>1</v>
      </c>
      <c r="AD562">
        <f t="shared" si="442"/>
        <v>1633.0237355741401</v>
      </c>
      <c r="AE562">
        <f t="shared" si="443"/>
        <v>-3.2136170166079761</v>
      </c>
      <c r="AF562">
        <f t="shared" si="444"/>
        <v>0.42834484809395995</v>
      </c>
      <c r="AG562">
        <f t="shared" si="473"/>
        <v>66.244508835469517</v>
      </c>
      <c r="AH562">
        <f t="shared" si="474"/>
        <v>-499.32777714554294</v>
      </c>
      <c r="AJ562">
        <f t="shared" si="445"/>
        <v>18000</v>
      </c>
      <c r="AK562">
        <f t="shared" si="446"/>
        <v>123505.0045928496</v>
      </c>
      <c r="AL562">
        <v>1</v>
      </c>
      <c r="AM562">
        <f t="shared" si="447"/>
        <v>243.00862545924721</v>
      </c>
      <c r="AN562">
        <f t="shared" si="475"/>
        <v>508.52920617801561</v>
      </c>
      <c r="AO562">
        <f t="shared" si="476"/>
        <v>-71.978806352103419</v>
      </c>
      <c r="AQ562">
        <f t="shared" si="448"/>
        <v>8.2573648882477133E-4</v>
      </c>
      <c r="AR562">
        <f t="shared" si="449"/>
        <v>-2.8735629811102044</v>
      </c>
      <c r="AT562">
        <f t="shared" si="470"/>
        <v>-1434.7951153373483</v>
      </c>
      <c r="AU562">
        <f t="shared" si="471"/>
        <v>-190.7700814569059</v>
      </c>
      <c r="AV562">
        <f t="shared" si="459"/>
        <v>-3.0094081412036853</v>
      </c>
      <c r="AW562">
        <f t="shared" si="460"/>
        <v>367.68499801924003</v>
      </c>
      <c r="AX562">
        <f t="shared" si="461"/>
        <v>-2109.9047153549777</v>
      </c>
      <c r="AY562">
        <f t="shared" si="469"/>
        <v>-1.3982627804750452</v>
      </c>
      <c r="BA562">
        <f t="shared" si="450"/>
        <v>0.6758276846281146</v>
      </c>
      <c r="BB562">
        <f t="shared" si="462"/>
        <v>-3.4032804348578654</v>
      </c>
      <c r="BC562">
        <f t="shared" si="463"/>
        <v>-1.6111453607286401</v>
      </c>
      <c r="BD562">
        <f t="shared" si="451"/>
        <v>-272.3118294573153</v>
      </c>
      <c r="BF562">
        <f t="shared" si="452"/>
        <v>-69.920059867895489</v>
      </c>
      <c r="BG562">
        <f t="shared" si="453"/>
        <v>-249.42202052896226</v>
      </c>
      <c r="BH562">
        <f t="shared" si="464"/>
        <v>-69.422020528962264</v>
      </c>
      <c r="BI562">
        <f t="shared" si="465"/>
        <v>-69.422020528962264</v>
      </c>
      <c r="BJ562">
        <f t="shared" si="454"/>
        <v>0</v>
      </c>
      <c r="BK562">
        <f t="shared" si="466"/>
        <v>0</v>
      </c>
      <c r="BM562">
        <f t="shared" si="467"/>
        <v>-66.516779433037613</v>
      </c>
      <c r="BN562">
        <f t="shared" si="455"/>
        <v>-157.11019107164697</v>
      </c>
      <c r="BQ562" s="56">
        <f t="shared" si="468"/>
        <v>13.498680365427271</v>
      </c>
    </row>
    <row r="563" spans="1:69" x14ac:dyDescent="0.2">
      <c r="A563">
        <f t="shared" si="472"/>
        <v>1745000</v>
      </c>
      <c r="B563">
        <f t="shared" si="456"/>
        <v>1745</v>
      </c>
      <c r="C563">
        <f t="shared" si="425"/>
        <v>1.0850165619063843</v>
      </c>
      <c r="D563">
        <f t="shared" si="426"/>
        <v>0.39849785409473093</v>
      </c>
      <c r="F563">
        <f t="shared" si="427"/>
        <v>2.8862114814783155E-5</v>
      </c>
      <c r="G563">
        <f t="shared" si="428"/>
        <v>2.0240292652765426E-3</v>
      </c>
      <c r="H563">
        <f t="shared" si="429"/>
        <v>-3.1395686207347238</v>
      </c>
      <c r="J563">
        <f t="shared" si="430"/>
        <v>15</v>
      </c>
      <c r="M563">
        <f t="shared" si="431"/>
        <v>1.293265714041353E-4</v>
      </c>
      <c r="N563">
        <f t="shared" si="432"/>
        <v>-1.5707963250000001</v>
      </c>
      <c r="O563">
        <f t="shared" si="433"/>
        <v>1637.7166378185939</v>
      </c>
      <c r="P563">
        <f t="shared" si="434"/>
        <v>1.5701857205159788</v>
      </c>
      <c r="Q563">
        <f t="shared" si="435"/>
        <v>243.70897774308722</v>
      </c>
      <c r="R563">
        <f t="shared" si="436"/>
        <v>1.5666930606148879</v>
      </c>
      <c r="S563">
        <f t="shared" si="437"/>
        <v>0.14381476701372656</v>
      </c>
      <c r="T563">
        <f t="shared" si="438"/>
        <v>-1.4264811421803174</v>
      </c>
      <c r="U563">
        <f t="shared" si="439"/>
        <v>0.13175008051488452</v>
      </c>
      <c r="V563">
        <f t="shared" si="440"/>
        <v>-1.4386620830763939</v>
      </c>
      <c r="X563">
        <f t="shared" si="457"/>
        <v>-66.755835980569088</v>
      </c>
      <c r="Y563">
        <f t="shared" si="441"/>
        <v>-231.48248594159739</v>
      </c>
      <c r="Z563">
        <f t="shared" si="458"/>
        <v>-51.482485941597389</v>
      </c>
      <c r="AC563">
        <v>1</v>
      </c>
      <c r="AD563">
        <f t="shared" si="442"/>
        <v>1637.7163325154449</v>
      </c>
      <c r="AE563">
        <f t="shared" si="443"/>
        <v>-3.2321126159323228</v>
      </c>
      <c r="AF563">
        <f t="shared" si="444"/>
        <v>0.42957572409423006</v>
      </c>
      <c r="AG563">
        <f t="shared" si="473"/>
        <v>65.872008134486279</v>
      </c>
      <c r="AH563">
        <f t="shared" si="474"/>
        <v>-497.94654709433297</v>
      </c>
      <c r="AJ563">
        <f t="shared" si="445"/>
        <v>18000</v>
      </c>
      <c r="AK563">
        <f t="shared" si="446"/>
        <v>123859.90403133479</v>
      </c>
      <c r="AL563">
        <v>1</v>
      </c>
      <c r="AM563">
        <f t="shared" si="447"/>
        <v>243.70692610711862</v>
      </c>
      <c r="AN563">
        <f t="shared" si="475"/>
        <v>508.52751122539235</v>
      </c>
      <c r="AO563">
        <f t="shared" si="476"/>
        <v>-71.77257030884067</v>
      </c>
      <c r="AQ563">
        <f t="shared" si="448"/>
        <v>8.2101125434017334E-4</v>
      </c>
      <c r="AR563">
        <f t="shared" si="449"/>
        <v>-2.8653292776472052</v>
      </c>
      <c r="AT563">
        <f t="shared" si="470"/>
        <v>-1426.7267384327008</v>
      </c>
      <c r="AU563">
        <f t="shared" si="471"/>
        <v>-189.15381320438269</v>
      </c>
      <c r="AV563">
        <f t="shared" si="459"/>
        <v>-3.0097824832067603</v>
      </c>
      <c r="AW563">
        <f t="shared" si="460"/>
        <v>368.49573931356633</v>
      </c>
      <c r="AX563">
        <f t="shared" si="461"/>
        <v>-2103.9027462210861</v>
      </c>
      <c r="AY563">
        <f t="shared" si="469"/>
        <v>-1.3974064248522653</v>
      </c>
      <c r="BA563">
        <f t="shared" si="450"/>
        <v>0.67381009150873916</v>
      </c>
      <c r="BB563">
        <f t="shared" si="462"/>
        <v>-3.4292497794238832</v>
      </c>
      <c r="BC563">
        <f t="shared" si="463"/>
        <v>-1.612376058354495</v>
      </c>
      <c r="BD563">
        <f t="shared" si="451"/>
        <v>-272.38234323721412</v>
      </c>
      <c r="BF563">
        <f t="shared" si="452"/>
        <v>-69.992134250504776</v>
      </c>
      <c r="BG563">
        <f t="shared" si="453"/>
        <v>-249.43412969183248</v>
      </c>
      <c r="BH563">
        <f t="shared" si="464"/>
        <v>-69.434129691832482</v>
      </c>
      <c r="BI563">
        <f t="shared" si="465"/>
        <v>-69.434129691832482</v>
      </c>
      <c r="BJ563">
        <f t="shared" si="454"/>
        <v>0</v>
      </c>
      <c r="BK563">
        <f t="shared" si="466"/>
        <v>0</v>
      </c>
      <c r="BM563">
        <f t="shared" si="467"/>
        <v>-66.562884471080892</v>
      </c>
      <c r="BN563">
        <f t="shared" si="455"/>
        <v>-157.05178645461839</v>
      </c>
      <c r="BQ563" s="56">
        <f t="shared" si="468"/>
        <v>13.472711020861254</v>
      </c>
    </row>
    <row r="564" spans="1:69" x14ac:dyDescent="0.2">
      <c r="A564">
        <f t="shared" si="472"/>
        <v>1750000</v>
      </c>
      <c r="B564">
        <f t="shared" si="456"/>
        <v>1750</v>
      </c>
      <c r="C564">
        <f t="shared" si="425"/>
        <v>1.0854852449236867</v>
      </c>
      <c r="D564">
        <f t="shared" si="426"/>
        <v>0.39952213925482821</v>
      </c>
      <c r="F564">
        <f t="shared" si="427"/>
        <v>2.8697419616957026E-5</v>
      </c>
      <c r="G564">
        <f t="shared" si="428"/>
        <v>2.0182460046387156E-3</v>
      </c>
      <c r="H564">
        <f t="shared" si="429"/>
        <v>-3.1395744039953617</v>
      </c>
      <c r="J564">
        <f t="shared" si="430"/>
        <v>15</v>
      </c>
      <c r="M564">
        <f t="shared" si="431"/>
        <v>1.289570669144092E-4</v>
      </c>
      <c r="N564">
        <f t="shared" si="432"/>
        <v>-1.5707963250000001</v>
      </c>
      <c r="O564">
        <f t="shared" si="433"/>
        <v>1642.4092338876044</v>
      </c>
      <c r="P564">
        <f t="shared" si="434"/>
        <v>1.5701874651049155</v>
      </c>
      <c r="Q564">
        <f t="shared" si="435"/>
        <v>244.40727252919069</v>
      </c>
      <c r="R564">
        <f t="shared" si="436"/>
        <v>1.5667047841015167</v>
      </c>
      <c r="S564">
        <f t="shared" si="437"/>
        <v>0.14341233054342811</v>
      </c>
      <c r="T564">
        <f t="shared" si="438"/>
        <v>-1.4268877940697857</v>
      </c>
      <c r="U564">
        <f t="shared" si="439"/>
        <v>0.13138015830287006</v>
      </c>
      <c r="V564">
        <f t="shared" si="440"/>
        <v>-1.439035249024416</v>
      </c>
      <c r="X564">
        <f t="shared" si="457"/>
        <v>-66.825700898293292</v>
      </c>
      <c r="Y564">
        <f t="shared" si="441"/>
        <v>-231.46803868830497</v>
      </c>
      <c r="Z564">
        <f t="shared" si="458"/>
        <v>-51.468038688304972</v>
      </c>
      <c r="AC564">
        <v>1</v>
      </c>
      <c r="AD564">
        <f t="shared" si="442"/>
        <v>1642.40892945675</v>
      </c>
      <c r="AE564">
        <f t="shared" si="443"/>
        <v>-3.250661287277687</v>
      </c>
      <c r="AF564">
        <f t="shared" si="444"/>
        <v>0.43080660009450006</v>
      </c>
      <c r="AG564">
        <f t="shared" si="473"/>
        <v>65.502622251338821</v>
      </c>
      <c r="AH564">
        <f t="shared" si="474"/>
        <v>-496.57279698285726</v>
      </c>
      <c r="AJ564">
        <f t="shared" si="445"/>
        <v>18000</v>
      </c>
      <c r="AK564">
        <f t="shared" si="446"/>
        <v>124214.80346981999</v>
      </c>
      <c r="AL564">
        <v>1</v>
      </c>
      <c r="AM564">
        <f t="shared" si="447"/>
        <v>244.40522675499</v>
      </c>
      <c r="AN564">
        <f t="shared" si="475"/>
        <v>508.52583077984582</v>
      </c>
      <c r="AO564">
        <f t="shared" si="476"/>
        <v>-71.567512697897044</v>
      </c>
      <c r="AQ564">
        <f t="shared" si="448"/>
        <v>8.163264639733499E-4</v>
      </c>
      <c r="AR564">
        <f t="shared" si="449"/>
        <v>-2.8571426239067246</v>
      </c>
      <c r="AT564">
        <f t="shared" si="470"/>
        <v>-1418.7258326082986</v>
      </c>
      <c r="AU564">
        <f t="shared" si="471"/>
        <v>-187.55569952742758</v>
      </c>
      <c r="AV564">
        <f t="shared" si="459"/>
        <v>-3.0101547232313539</v>
      </c>
      <c r="AW564">
        <f t="shared" si="460"/>
        <v>369.29946916484562</v>
      </c>
      <c r="AX564">
        <f t="shared" si="461"/>
        <v>-2097.93471150816</v>
      </c>
      <c r="AY564">
        <f t="shared" si="469"/>
        <v>-1.3965514317362722</v>
      </c>
      <c r="BA564">
        <f t="shared" si="450"/>
        <v>0.67180352306907576</v>
      </c>
      <c r="BB564">
        <f t="shared" si="462"/>
        <v>-3.4551544592634813</v>
      </c>
      <c r="BC564">
        <f t="shared" si="463"/>
        <v>-1.6136032914950817</v>
      </c>
      <c r="BD564">
        <f t="shared" si="451"/>
        <v>-272.45265851672866</v>
      </c>
      <c r="BF564">
        <f t="shared" si="452"/>
        <v>-70.063993827928982</v>
      </c>
      <c r="BG564">
        <f t="shared" si="453"/>
        <v>-249.44608911101531</v>
      </c>
      <c r="BH564">
        <f t="shared" si="464"/>
        <v>-69.446089111015311</v>
      </c>
      <c r="BI564">
        <f t="shared" si="465"/>
        <v>-69.446089111015311</v>
      </c>
      <c r="BJ564">
        <f t="shared" si="454"/>
        <v>0</v>
      </c>
      <c r="BK564">
        <f t="shared" si="466"/>
        <v>0</v>
      </c>
      <c r="BM564">
        <f t="shared" si="467"/>
        <v>-66.6088393686655</v>
      </c>
      <c r="BN564">
        <f t="shared" si="455"/>
        <v>-156.99343059428662</v>
      </c>
      <c r="BQ564" s="56">
        <f t="shared" si="468"/>
        <v>13.446806341021656</v>
      </c>
    </row>
    <row r="565" spans="1:69" x14ac:dyDescent="0.2">
      <c r="A565">
        <f t="shared" si="472"/>
        <v>1755000</v>
      </c>
      <c r="B565">
        <f t="shared" si="456"/>
        <v>1755</v>
      </c>
      <c r="C565">
        <f t="shared" si="425"/>
        <v>1.0859550658050674</v>
      </c>
      <c r="D565">
        <f t="shared" si="426"/>
        <v>0.40054553920707292</v>
      </c>
      <c r="F565">
        <f t="shared" si="427"/>
        <v>2.8534130114509731E-5</v>
      </c>
      <c r="G565">
        <f t="shared" si="428"/>
        <v>2.0124956997753926E-3</v>
      </c>
      <c r="H565">
        <f t="shared" si="429"/>
        <v>-3.1395801543002246</v>
      </c>
      <c r="J565">
        <f t="shared" si="430"/>
        <v>15</v>
      </c>
      <c r="M565">
        <f t="shared" si="431"/>
        <v>1.28589667863371E-4</v>
      </c>
      <c r="N565">
        <f t="shared" si="432"/>
        <v>-1.5707963250000001</v>
      </c>
      <c r="O565">
        <f t="shared" si="433"/>
        <v>1647.1018299615853</v>
      </c>
      <c r="P565">
        <f t="shared" si="434"/>
        <v>1.5701891997531781</v>
      </c>
      <c r="Q565">
        <f t="shared" si="435"/>
        <v>245.10556734869414</v>
      </c>
      <c r="R565">
        <f t="shared" si="436"/>
        <v>1.5667164407887673</v>
      </c>
      <c r="S565">
        <f t="shared" si="437"/>
        <v>0.14301211661024582</v>
      </c>
      <c r="T565">
        <f t="shared" si="438"/>
        <v>-1.427292176377849</v>
      </c>
      <c r="U565">
        <f t="shared" si="439"/>
        <v>0.13101228948711674</v>
      </c>
      <c r="V565">
        <f t="shared" si="440"/>
        <v>-1.4394063252697229</v>
      </c>
      <c r="X565">
        <f t="shared" si="457"/>
        <v>-66.895353547034588</v>
      </c>
      <c r="Y565">
        <f t="shared" si="441"/>
        <v>-231.45339489375874</v>
      </c>
      <c r="Z565">
        <f t="shared" si="458"/>
        <v>-51.453394893758741</v>
      </c>
      <c r="AC565">
        <v>1</v>
      </c>
      <c r="AD565">
        <f t="shared" si="442"/>
        <v>1647.1015263980551</v>
      </c>
      <c r="AE565">
        <f t="shared" si="443"/>
        <v>-3.2692630306440682</v>
      </c>
      <c r="AF565">
        <f t="shared" si="444"/>
        <v>0.43203747609477</v>
      </c>
      <c r="AG565">
        <f t="shared" si="473"/>
        <v>65.136316759470304</v>
      </c>
      <c r="AH565">
        <f t="shared" si="474"/>
        <v>-495.20646742952266</v>
      </c>
      <c r="AJ565">
        <f t="shared" si="445"/>
        <v>18000</v>
      </c>
      <c r="AK565">
        <f t="shared" si="446"/>
        <v>124569.7029083052</v>
      </c>
      <c r="AL565">
        <v>1</v>
      </c>
      <c r="AM565">
        <f t="shared" si="447"/>
        <v>245.10352740286143</v>
      </c>
      <c r="AN565">
        <f t="shared" si="475"/>
        <v>508.52416467629331</v>
      </c>
      <c r="AO565">
        <f t="shared" si="476"/>
        <v>-71.363623447874971</v>
      </c>
      <c r="AQ565">
        <f t="shared" si="448"/>
        <v>8.1168165747991835E-4</v>
      </c>
      <c r="AR565">
        <f t="shared" si="449"/>
        <v>-2.8490026177545134</v>
      </c>
      <c r="AT565">
        <f t="shared" si="470"/>
        <v>-1410.7916520821259</v>
      </c>
      <c r="AU565">
        <f t="shared" si="471"/>
        <v>-185.97548696489602</v>
      </c>
      <c r="AV565">
        <f t="shared" si="459"/>
        <v>-3.0105248788291461</v>
      </c>
      <c r="AW565">
        <f t="shared" si="460"/>
        <v>370.09626836261185</v>
      </c>
      <c r="AX565">
        <f t="shared" si="461"/>
        <v>-2092.0003251596218</v>
      </c>
      <c r="AY565">
        <f t="shared" si="469"/>
        <v>-1.3956977914106568</v>
      </c>
      <c r="BA565">
        <f t="shared" si="450"/>
        <v>0.66980788826950599</v>
      </c>
      <c r="BB565">
        <f t="shared" si="462"/>
        <v>-3.4809948423504715</v>
      </c>
      <c r="BC565">
        <f t="shared" si="463"/>
        <v>-1.6148270874184893</v>
      </c>
      <c r="BD565">
        <f t="shared" si="451"/>
        <v>-272.52277685820536</v>
      </c>
      <c r="BF565">
        <f t="shared" si="452"/>
        <v>-70.13563980432609</v>
      </c>
      <c r="BG565">
        <f t="shared" si="453"/>
        <v>-249.45790042260739</v>
      </c>
      <c r="BH565">
        <f t="shared" si="464"/>
        <v>-69.457900422607395</v>
      </c>
      <c r="BI565">
        <f t="shared" si="465"/>
        <v>-69.457900422607395</v>
      </c>
      <c r="BJ565">
        <f t="shared" si="454"/>
        <v>0</v>
      </c>
      <c r="BK565">
        <f t="shared" si="466"/>
        <v>0</v>
      </c>
      <c r="BM565">
        <f t="shared" si="467"/>
        <v>-66.65464496197562</v>
      </c>
      <c r="BN565">
        <f t="shared" si="455"/>
        <v>-156.93512356440206</v>
      </c>
      <c r="BQ565" s="56">
        <f t="shared" si="468"/>
        <v>13.420965957934662</v>
      </c>
    </row>
    <row r="566" spans="1:69" x14ac:dyDescent="0.2">
      <c r="A566">
        <f t="shared" si="472"/>
        <v>1760000</v>
      </c>
      <c r="B566">
        <f t="shared" si="456"/>
        <v>1760</v>
      </c>
      <c r="C566">
        <f t="shared" si="425"/>
        <v>1.086426023074331</v>
      </c>
      <c r="D566">
        <f t="shared" si="426"/>
        <v>0.40156805295756087</v>
      </c>
      <c r="F566">
        <f t="shared" si="427"/>
        <v>2.8372230355631751E-5</v>
      </c>
      <c r="G566">
        <f t="shared" si="428"/>
        <v>2.006778069782689E-3</v>
      </c>
      <c r="H566">
        <f t="shared" si="429"/>
        <v>-3.1395858719302177</v>
      </c>
      <c r="J566">
        <f t="shared" si="430"/>
        <v>15</v>
      </c>
      <c r="M566">
        <f t="shared" si="431"/>
        <v>1.2822435630694095E-4</v>
      </c>
      <c r="N566">
        <f t="shared" si="432"/>
        <v>-1.5707963250000001</v>
      </c>
      <c r="O566">
        <f t="shared" si="433"/>
        <v>1651.7944260404938</v>
      </c>
      <c r="P566">
        <f t="shared" si="434"/>
        <v>1.5701909245454881</v>
      </c>
      <c r="Q566">
        <f t="shared" si="435"/>
        <v>245.80386220131291</v>
      </c>
      <c r="R566">
        <f t="shared" si="436"/>
        <v>1.5667280312459393</v>
      </c>
      <c r="S566">
        <f t="shared" si="437"/>
        <v>0.14261410705001965</v>
      </c>
      <c r="T566">
        <f t="shared" si="438"/>
        <v>-1.4276943079207596</v>
      </c>
      <c r="U566">
        <f t="shared" si="439"/>
        <v>0.13064645716971751</v>
      </c>
      <c r="V566">
        <f t="shared" si="440"/>
        <v>-1.4397753292152429</v>
      </c>
      <c r="X566">
        <f t="shared" si="457"/>
        <v>-66.964795070781079</v>
      </c>
      <c r="Y566">
        <f t="shared" si="441"/>
        <v>-231.43855666873347</v>
      </c>
      <c r="Z566">
        <f t="shared" si="458"/>
        <v>-51.438556668733469</v>
      </c>
      <c r="AC566">
        <v>1</v>
      </c>
      <c r="AD566">
        <f t="shared" si="442"/>
        <v>1651.7941233393599</v>
      </c>
      <c r="AE566">
        <f t="shared" si="443"/>
        <v>-3.287917846031466</v>
      </c>
      <c r="AF566">
        <f t="shared" si="444"/>
        <v>0.43326835209504</v>
      </c>
      <c r="AG566">
        <f t="shared" si="473"/>
        <v>64.773057703779813</v>
      </c>
      <c r="AH566">
        <f t="shared" si="474"/>
        <v>-493.84749966539982</v>
      </c>
      <c r="AJ566">
        <f t="shared" si="445"/>
        <v>18000</v>
      </c>
      <c r="AK566">
        <f t="shared" si="446"/>
        <v>124924.6023467904</v>
      </c>
      <c r="AL566">
        <v>1</v>
      </c>
      <c r="AM566">
        <f t="shared" si="447"/>
        <v>245.80182805073281</v>
      </c>
      <c r="AN566">
        <f t="shared" si="475"/>
        <v>508.52251275199404</v>
      </c>
      <c r="AO566">
        <f t="shared" si="476"/>
        <v>-71.16089260181505</v>
      </c>
      <c r="AQ566">
        <f t="shared" si="448"/>
        <v>8.0707638114375794E-4</v>
      </c>
      <c r="AR566">
        <f t="shared" si="449"/>
        <v>-2.8409088616260281</v>
      </c>
      <c r="AT566">
        <f t="shared" si="470"/>
        <v>-1402.923461286284</v>
      </c>
      <c r="AU566">
        <f t="shared" si="471"/>
        <v>-184.41292627814897</v>
      </c>
      <c r="AV566">
        <f t="shared" si="459"/>
        <v>-3.0108929673580995</v>
      </c>
      <c r="AW566">
        <f t="shared" si="460"/>
        <v>370.88621653389561</v>
      </c>
      <c r="AX566">
        <f t="shared" si="461"/>
        <v>-2086.0993043154126</v>
      </c>
      <c r="AY566">
        <f t="shared" si="469"/>
        <v>-1.394845494278794</v>
      </c>
      <c r="BA566">
        <f t="shared" si="450"/>
        <v>0.66782309706618148</v>
      </c>
      <c r="BB566">
        <f t="shared" si="462"/>
        <v>-3.5067712936854942</v>
      </c>
      <c r="BC566">
        <f t="shared" si="463"/>
        <v>-1.6160474730793055</v>
      </c>
      <c r="BD566">
        <f t="shared" si="451"/>
        <v>-272.59269980602829</v>
      </c>
      <c r="BF566">
        <f t="shared" si="452"/>
        <v>-70.207073373930882</v>
      </c>
      <c r="BG566">
        <f t="shared" si="453"/>
        <v>-249.46956524403416</v>
      </c>
      <c r="BH566">
        <f t="shared" si="464"/>
        <v>-69.469565244034158</v>
      </c>
      <c r="BI566">
        <f t="shared" si="465"/>
        <v>-69.469565244034158</v>
      </c>
      <c r="BJ566">
        <f t="shared" si="454"/>
        <v>0</v>
      </c>
      <c r="BK566">
        <f t="shared" si="466"/>
        <v>0</v>
      </c>
      <c r="BM566">
        <f t="shared" si="467"/>
        <v>-66.700302080245393</v>
      </c>
      <c r="BN566">
        <f t="shared" si="455"/>
        <v>-156.87686543800586</v>
      </c>
      <c r="BQ566" s="56">
        <f t="shared" si="468"/>
        <v>13.395189506599642</v>
      </c>
    </row>
    <row r="567" spans="1:69" x14ac:dyDescent="0.2">
      <c r="A567">
        <f t="shared" si="472"/>
        <v>1765000</v>
      </c>
      <c r="B567">
        <f t="shared" si="456"/>
        <v>1765</v>
      </c>
      <c r="C567">
        <f t="shared" si="425"/>
        <v>1.0868981152542734</v>
      </c>
      <c r="D567">
        <f t="shared" si="426"/>
        <v>0.40258967952152119</v>
      </c>
      <c r="F567">
        <f t="shared" si="427"/>
        <v>2.8211704614151407E-5</v>
      </c>
      <c r="G567">
        <f t="shared" si="428"/>
        <v>2.0010928369402019E-3</v>
      </c>
      <c r="H567">
        <f t="shared" si="429"/>
        <v>-3.1395915571630599</v>
      </c>
      <c r="J567">
        <f t="shared" si="430"/>
        <v>15</v>
      </c>
      <c r="M567">
        <f t="shared" si="431"/>
        <v>1.2786111450437172E-4</v>
      </c>
      <c r="N567">
        <f t="shared" si="432"/>
        <v>-1.5707963250000001</v>
      </c>
      <c r="O567">
        <f t="shared" si="433"/>
        <v>1656.4870221242886</v>
      </c>
      <c r="P567">
        <f t="shared" si="434"/>
        <v>1.5701926395656074</v>
      </c>
      <c r="Q567">
        <f t="shared" si="435"/>
        <v>246.50215708676558</v>
      </c>
      <c r="R567">
        <f t="shared" si="436"/>
        <v>1.5667395560358828</v>
      </c>
      <c r="S567">
        <f t="shared" si="437"/>
        <v>0.14221828389377855</v>
      </c>
      <c r="T567">
        <f t="shared" si="438"/>
        <v>-1.4280942073088028</v>
      </c>
      <c r="U567">
        <f t="shared" si="439"/>
        <v>0.13028264463596098</v>
      </c>
      <c r="V567">
        <f t="shared" si="440"/>
        <v>-1.4401422780723274</v>
      </c>
      <c r="X567">
        <f t="shared" si="457"/>
        <v>-67.03402660444678</v>
      </c>
      <c r="Y567">
        <f t="shared" si="441"/>
        <v>-231.42352610094505</v>
      </c>
      <c r="Z567">
        <f t="shared" si="458"/>
        <v>-51.423526100945054</v>
      </c>
      <c r="AC567">
        <v>1</v>
      </c>
      <c r="AD567">
        <f t="shared" si="442"/>
        <v>1656.4867202806649</v>
      </c>
      <c r="AE567">
        <f t="shared" si="443"/>
        <v>-3.3066257334398803</v>
      </c>
      <c r="AF567">
        <f t="shared" si="444"/>
        <v>0.43449922809531</v>
      </c>
      <c r="AG567">
        <f t="shared" si="473"/>
        <v>64.41281159294391</v>
      </c>
      <c r="AH567">
        <f t="shared" si="474"/>
        <v>-492.4958355265552</v>
      </c>
      <c r="AJ567">
        <f t="shared" si="445"/>
        <v>18000</v>
      </c>
      <c r="AK567">
        <f t="shared" si="446"/>
        <v>125279.5017852756</v>
      </c>
      <c r="AL567">
        <v>1</v>
      </c>
      <c r="AM567">
        <f t="shared" si="447"/>
        <v>246.50012869860424</v>
      </c>
      <c r="AN567">
        <f t="shared" si="475"/>
        <v>508.52087484650855</v>
      </c>
      <c r="AO567">
        <f t="shared" si="476"/>
        <v>-70.959310315575237</v>
      </c>
      <c r="AQ567">
        <f t="shared" si="448"/>
        <v>8.0251018766620483E-4</v>
      </c>
      <c r="AR567">
        <f t="shared" si="449"/>
        <v>-2.8328609624617034</v>
      </c>
      <c r="AT567">
        <f t="shared" si="470"/>
        <v>-1395.1205347006185</v>
      </c>
      <c r="AU567">
        <f t="shared" si="471"/>
        <v>-182.86777236944468</v>
      </c>
      <c r="AV567">
        <f t="shared" si="459"/>
        <v>-3.011259005985111</v>
      </c>
      <c r="AW567">
        <f t="shared" si="460"/>
        <v>371.66939216327336</v>
      </c>
      <c r="AX567">
        <f t="shared" si="461"/>
        <v>-2080.2313692675953</v>
      </c>
      <c r="AY567">
        <f t="shared" si="469"/>
        <v>-1.3939945308620507</v>
      </c>
      <c r="BA567">
        <f t="shared" si="450"/>
        <v>0.66584906039758385</v>
      </c>
      <c r="BB567">
        <f t="shared" si="462"/>
        <v>-3.5324841753267764</v>
      </c>
      <c r="BC567">
        <f t="shared" si="463"/>
        <v>-1.6172644751230603</v>
      </c>
      <c r="BD567">
        <f t="shared" si="451"/>
        <v>-272.66242888687395</v>
      </c>
      <c r="BF567">
        <f t="shared" si="452"/>
        <v>-70.27829572116417</v>
      </c>
      <c r="BG567">
        <f t="shared" si="453"/>
        <v>-249.48108517430728</v>
      </c>
      <c r="BH567">
        <f t="shared" si="464"/>
        <v>-69.481085174307282</v>
      </c>
      <c r="BI567">
        <f t="shared" si="465"/>
        <v>-69.481085174307282</v>
      </c>
      <c r="BJ567">
        <f t="shared" si="454"/>
        <v>0</v>
      </c>
      <c r="BK567">
        <f t="shared" si="466"/>
        <v>0</v>
      </c>
      <c r="BM567">
        <f t="shared" si="467"/>
        <v>-66.745811545837398</v>
      </c>
      <c r="BN567">
        <f t="shared" si="455"/>
        <v>-156.81865628743336</v>
      </c>
      <c r="BQ567" s="56">
        <f t="shared" si="468"/>
        <v>13.369476624958361</v>
      </c>
    </row>
    <row r="568" spans="1:69" x14ac:dyDescent="0.2">
      <c r="A568">
        <f t="shared" si="472"/>
        <v>1770000</v>
      </c>
      <c r="B568">
        <f t="shared" si="456"/>
        <v>1770</v>
      </c>
      <c r="C568">
        <f t="shared" si="425"/>
        <v>1.0873713408666992</v>
      </c>
      <c r="D568">
        <f t="shared" si="426"/>
        <v>0.40361041792329871</v>
      </c>
      <c r="F568">
        <f t="shared" si="427"/>
        <v>2.805253738571561E-5</v>
      </c>
      <c r="G568">
        <f t="shared" si="428"/>
        <v>1.9954397266660371E-3</v>
      </c>
      <c r="H568">
        <f t="shared" si="429"/>
        <v>-3.139597210273334</v>
      </c>
      <c r="J568">
        <f t="shared" si="430"/>
        <v>15</v>
      </c>
      <c r="M568">
        <f t="shared" si="431"/>
        <v>1.2749992491537632E-4</v>
      </c>
      <c r="N568">
        <f t="shared" si="432"/>
        <v>-1.5707963250000001</v>
      </c>
      <c r="O568">
        <f t="shared" si="433"/>
        <v>1661.1796182129283</v>
      </c>
      <c r="P568">
        <f t="shared" si="434"/>
        <v>1.5701943448963511</v>
      </c>
      <c r="Q568">
        <f t="shared" si="435"/>
        <v>247.20045200477384</v>
      </c>
      <c r="R568">
        <f t="shared" si="436"/>
        <v>1.566751015715087</v>
      </c>
      <c r="S568">
        <f t="shared" si="437"/>
        <v>0.14182462936515708</v>
      </c>
      <c r="T568">
        <f t="shared" si="438"/>
        <v>-1.4284918929490882</v>
      </c>
      <c r="U568">
        <f t="shared" si="439"/>
        <v>0.1299208353518797</v>
      </c>
      <c r="V568">
        <f t="shared" si="440"/>
        <v>-1.4405071888633645</v>
      </c>
      <c r="X568">
        <f t="shared" si="457"/>
        <v>-67.1030492739674</v>
      </c>
      <c r="Y568">
        <f t="shared" si="441"/>
        <v>-231.40830525535793</v>
      </c>
      <c r="Z568">
        <f t="shared" si="458"/>
        <v>-51.408305255357931</v>
      </c>
      <c r="AC568">
        <v>1</v>
      </c>
      <c r="AD568">
        <f t="shared" si="442"/>
        <v>1661.1793172219698</v>
      </c>
      <c r="AE568">
        <f t="shared" si="443"/>
        <v>-3.3253866928693117</v>
      </c>
      <c r="AF568">
        <f t="shared" si="444"/>
        <v>0.43573010409558</v>
      </c>
      <c r="AG568">
        <f t="shared" si="473"/>
        <v>64.055545391882362</v>
      </c>
      <c r="AH568">
        <f t="shared" si="474"/>
        <v>-491.15141744649236</v>
      </c>
      <c r="AJ568">
        <f t="shared" si="445"/>
        <v>18000</v>
      </c>
      <c r="AK568">
        <f t="shared" si="446"/>
        <v>125634.40122376081</v>
      </c>
      <c r="AL568">
        <v>1</v>
      </c>
      <c r="AM568">
        <f t="shared" si="447"/>
        <v>247.19842934647562</v>
      </c>
      <c r="AN568">
        <f t="shared" si="475"/>
        <v>508.5192508016608</v>
      </c>
      <c r="AO568">
        <f t="shared" si="476"/>
        <v>-70.758866856237645</v>
      </c>
      <c r="AQ568">
        <f t="shared" si="448"/>
        <v>7.9798263605743592E-4</v>
      </c>
      <c r="AR568">
        <f t="shared" si="449"/>
        <v>-2.824858531643323</v>
      </c>
      <c r="AT568">
        <f t="shared" si="470"/>
        <v>-1387.3821566894692</v>
      </c>
      <c r="AU568">
        <f t="shared" si="471"/>
        <v>-181.33978420212233</v>
      </c>
      <c r="AV568">
        <f t="shared" si="459"/>
        <v>-3.0116230116886142</v>
      </c>
      <c r="AW568">
        <f t="shared" si="460"/>
        <v>372.44587261251297</v>
      </c>
      <c r="AX568">
        <f t="shared" si="461"/>
        <v>-2074.3962434166847</v>
      </c>
      <c r="AY568">
        <f t="shared" si="469"/>
        <v>-1.3931448917980207</v>
      </c>
      <c r="BA568">
        <f t="shared" si="450"/>
        <v>0.66388569017129839</v>
      </c>
      <c r="BB568">
        <f t="shared" si="462"/>
        <v>-3.5581338464205094</v>
      </c>
      <c r="BC568">
        <f t="shared" si="463"/>
        <v>-1.6184781198905935</v>
      </c>
      <c r="BD568">
        <f t="shared" si="451"/>
        <v>-272.73196560996121</v>
      </c>
      <c r="BF568">
        <f t="shared" si="452"/>
        <v>-70.349308020740693</v>
      </c>
      <c r="BG568">
        <f t="shared" si="453"/>
        <v>-249.49246179427914</v>
      </c>
      <c r="BH568">
        <f t="shared" si="464"/>
        <v>-69.492461794279137</v>
      </c>
      <c r="BI568">
        <f t="shared" si="465"/>
        <v>-69.492461794279137</v>
      </c>
      <c r="BJ568">
        <f t="shared" si="454"/>
        <v>0</v>
      </c>
      <c r="BK568">
        <f t="shared" si="466"/>
        <v>0</v>
      </c>
      <c r="BM568">
        <f t="shared" si="467"/>
        <v>-66.791174174320176</v>
      </c>
      <c r="BN568">
        <f t="shared" si="455"/>
        <v>-156.76049618431796</v>
      </c>
      <c r="BQ568" s="56">
        <f t="shared" si="468"/>
        <v>13.343826953864628</v>
      </c>
    </row>
    <row r="569" spans="1:69" x14ac:dyDescent="0.2">
      <c r="A569">
        <f t="shared" si="472"/>
        <v>1775000</v>
      </c>
      <c r="B569">
        <f t="shared" si="456"/>
        <v>1775</v>
      </c>
      <c r="C569">
        <f t="shared" si="425"/>
        <v>1.0878456984324392</v>
      </c>
      <c r="D569">
        <f t="shared" si="426"/>
        <v>0.40463026719633705</v>
      </c>
      <c r="F569">
        <f t="shared" si="427"/>
        <v>2.7894713384045932E-5</v>
      </c>
      <c r="G569">
        <f t="shared" si="428"/>
        <v>1.9898184674725992E-3</v>
      </c>
      <c r="H569">
        <f t="shared" si="429"/>
        <v>-3.1396028315325277</v>
      </c>
      <c r="J569">
        <f t="shared" si="430"/>
        <v>15</v>
      </c>
      <c r="M569">
        <f t="shared" si="431"/>
        <v>1.2714077019730484E-4</v>
      </c>
      <c r="N569">
        <f t="shared" si="432"/>
        <v>-1.5707963250000001</v>
      </c>
      <c r="O569">
        <f t="shared" si="433"/>
        <v>1665.8722143063717</v>
      </c>
      <c r="P569">
        <f t="shared" si="434"/>
        <v>1.5701960406196009</v>
      </c>
      <c r="Q569">
        <f t="shared" si="435"/>
        <v>247.89874695506268</v>
      </c>
      <c r="R569">
        <f t="shared" si="436"/>
        <v>1.5667624108337721</v>
      </c>
      <c r="S569">
        <f t="shared" si="437"/>
        <v>0.14143312587785173</v>
      </c>
      <c r="T569">
        <f t="shared" si="438"/>
        <v>-1.4288873830482938</v>
      </c>
      <c r="U569">
        <f t="shared" si="439"/>
        <v>0.129561012961837</v>
      </c>
      <c r="V569">
        <f t="shared" si="440"/>
        <v>-1.4408700784243491</v>
      </c>
      <c r="X569">
        <f t="shared" si="457"/>
        <v>-67.171864196395077</v>
      </c>
      <c r="Y569">
        <f t="shared" si="441"/>
        <v>-231.39289617448745</v>
      </c>
      <c r="Z569">
        <f t="shared" si="458"/>
        <v>-51.392896174487447</v>
      </c>
      <c r="AC569">
        <v>1</v>
      </c>
      <c r="AD569">
        <f t="shared" si="442"/>
        <v>1665.8719141632748</v>
      </c>
      <c r="AE569">
        <f t="shared" si="443"/>
        <v>-3.3442007243197596</v>
      </c>
      <c r="AF569">
        <f t="shared" si="444"/>
        <v>0.43696098009584999</v>
      </c>
      <c r="AG569">
        <f t="shared" si="473"/>
        <v>63.701226514365715</v>
      </c>
      <c r="AH569">
        <f t="shared" si="474"/>
        <v>-489.81418844870365</v>
      </c>
      <c r="AJ569">
        <f t="shared" si="445"/>
        <v>18000</v>
      </c>
      <c r="AK569">
        <f t="shared" si="446"/>
        <v>125989.30066224601</v>
      </c>
      <c r="AL569">
        <v>1</v>
      </c>
      <c r="AM569">
        <f t="shared" si="447"/>
        <v>247.896729994347</v>
      </c>
      <c r="AN569">
        <f t="shared" si="475"/>
        <v>508.51764046149856</v>
      </c>
      <c r="AO569">
        <f t="shared" si="476"/>
        <v>-70.559552600542077</v>
      </c>
      <c r="AQ569">
        <f t="shared" si="448"/>
        <v>7.9349329152999073E-4</v>
      </c>
      <c r="AR569">
        <f t="shared" si="449"/>
        <v>-2.8169011849314671</v>
      </c>
      <c r="AT569">
        <f t="shared" si="470"/>
        <v>-1379.7076213414969</v>
      </c>
      <c r="AU569">
        <f t="shared" si="471"/>
        <v>-179.82872472253482</v>
      </c>
      <c r="AV569">
        <f t="shared" si="459"/>
        <v>-3.0119850012611469</v>
      </c>
      <c r="AW569">
        <f t="shared" si="460"/>
        <v>373.21573413982577</v>
      </c>
      <c r="AX569">
        <f t="shared" si="461"/>
        <v>-2068.5936532287055</v>
      </c>
      <c r="AY569">
        <f t="shared" si="469"/>
        <v>-1.3922965678387973</v>
      </c>
      <c r="BA569">
        <f t="shared" si="450"/>
        <v>0.66193289925100229</v>
      </c>
      <c r="BB569">
        <f t="shared" si="462"/>
        <v>-3.5837206632308045</v>
      </c>
      <c r="BC569">
        <f t="shared" si="463"/>
        <v>-1.6196884334223496</v>
      </c>
      <c r="BD569">
        <f t="shared" si="451"/>
        <v>-272.80131146729764</v>
      </c>
      <c r="BF569">
        <f t="shared" si="452"/>
        <v>-70.420111437775262</v>
      </c>
      <c r="BG569">
        <f t="shared" si="453"/>
        <v>-249.5036966668919</v>
      </c>
      <c r="BH569">
        <f t="shared" si="464"/>
        <v>-69.503696666891898</v>
      </c>
      <c r="BI569">
        <f t="shared" si="465"/>
        <v>-69.503696666891898</v>
      </c>
      <c r="BJ569">
        <f t="shared" si="454"/>
        <v>0</v>
      </c>
      <c r="BK569">
        <f t="shared" si="466"/>
        <v>0</v>
      </c>
      <c r="BM569">
        <f t="shared" si="467"/>
        <v>-66.836390774544455</v>
      </c>
      <c r="BN569">
        <f t="shared" si="455"/>
        <v>-156.70238519959432</v>
      </c>
      <c r="BQ569" s="56">
        <f t="shared" si="468"/>
        <v>13.318240137054332</v>
      </c>
    </row>
    <row r="570" spans="1:69" x14ac:dyDescent="0.2">
      <c r="A570">
        <f t="shared" si="472"/>
        <v>1780000</v>
      </c>
      <c r="B570">
        <f t="shared" si="456"/>
        <v>1780</v>
      </c>
      <c r="C570">
        <f t="shared" si="425"/>
        <v>1.0883211864713678</v>
      </c>
      <c r="D570">
        <f t="shared" si="426"/>
        <v>0.40564922638316103</v>
      </c>
      <c r="F570">
        <f t="shared" si="427"/>
        <v>2.7738217537268101E-5</v>
      </c>
      <c r="G570">
        <f t="shared" si="428"/>
        <v>1.9842287909231249E-3</v>
      </c>
      <c r="H570">
        <f t="shared" si="429"/>
        <v>-3.1396084212090769</v>
      </c>
      <c r="J570">
        <f t="shared" si="430"/>
        <v>15</v>
      </c>
      <c r="M570">
        <f t="shared" si="431"/>
        <v>1.267836332023686E-4</v>
      </c>
      <c r="N570">
        <f t="shared" si="432"/>
        <v>-1.5707963250000001</v>
      </c>
      <c r="O570">
        <f t="shared" si="433"/>
        <v>1670.5648104045781</v>
      </c>
      <c r="P570">
        <f t="shared" si="434"/>
        <v>1.5701977268163192</v>
      </c>
      <c r="Q570">
        <f t="shared" si="435"/>
        <v>248.59704193735999</v>
      </c>
      <c r="R570">
        <f t="shared" si="436"/>
        <v>1.5667737419359751</v>
      </c>
      <c r="S570">
        <f t="shared" si="437"/>
        <v>0.14104375603311747</v>
      </c>
      <c r="T570">
        <f t="shared" si="438"/>
        <v>-1.4292806956153672</v>
      </c>
      <c r="U570">
        <f t="shared" si="439"/>
        <v>0.12920316128615217</v>
      </c>
      <c r="V570">
        <f t="shared" si="440"/>
        <v>-1.4412309634074132</v>
      </c>
      <c r="X570">
        <f t="shared" si="457"/>
        <v>-67.240472479991752</v>
      </c>
      <c r="Y570">
        <f t="shared" si="441"/>
        <v>-231.37730087869676</v>
      </c>
      <c r="Z570">
        <f t="shared" si="458"/>
        <v>-51.377300878696758</v>
      </c>
      <c r="AC570">
        <v>1</v>
      </c>
      <c r="AD570">
        <f t="shared" si="442"/>
        <v>1670.5645111045801</v>
      </c>
      <c r="AE570">
        <f t="shared" si="443"/>
        <v>-3.363067827791224</v>
      </c>
      <c r="AF570">
        <f t="shared" si="444"/>
        <v>0.43819185609611999</v>
      </c>
      <c r="AG570">
        <f t="shared" si="473"/>
        <v>63.349822815761122</v>
      </c>
      <c r="AH570">
        <f t="shared" si="474"/>
        <v>-488.48409213932905</v>
      </c>
      <c r="AJ570">
        <f t="shared" si="445"/>
        <v>18000</v>
      </c>
      <c r="AK570">
        <f t="shared" si="446"/>
        <v>126344.20010073121</v>
      </c>
      <c r="AL570">
        <v>1</v>
      </c>
      <c r="AM570">
        <f t="shared" si="447"/>
        <v>248.59503064221843</v>
      </c>
      <c r="AN570">
        <f t="shared" si="475"/>
        <v>508.51604367225758</v>
      </c>
      <c r="AO570">
        <f t="shared" si="476"/>
        <v>-70.361358033345965</v>
      </c>
      <c r="AQ570">
        <f t="shared" si="448"/>
        <v>7.8904172539438473E-4</v>
      </c>
      <c r="AR570">
        <f t="shared" si="449"/>
        <v>-2.8089885424040095</v>
      </c>
      <c r="AT570">
        <f t="shared" si="470"/>
        <v>-1372.0962323125018</v>
      </c>
      <c r="AU570">
        <f t="shared" si="471"/>
        <v>-178.33436078368644</v>
      </c>
      <c r="AV570">
        <f t="shared" si="459"/>
        <v>-3.0123449913118705</v>
      </c>
      <c r="AW570">
        <f t="shared" si="460"/>
        <v>373.97905191873548</v>
      </c>
      <c r="AX570">
        <f t="shared" si="461"/>
        <v>-2062.8233281929561</v>
      </c>
      <c r="AY570">
        <f t="shared" si="469"/>
        <v>-1.3914495498492705</v>
      </c>
      <c r="BA570">
        <f t="shared" si="450"/>
        <v>0.65999060144365418</v>
      </c>
      <c r="BB570">
        <f t="shared" si="462"/>
        <v>-3.6092449791693419</v>
      </c>
      <c r="BC570">
        <f t="shared" si="463"/>
        <v>-1.6208954414626</v>
      </c>
      <c r="BD570">
        <f t="shared" si="451"/>
        <v>-272.8704679339213</v>
      </c>
      <c r="BF570">
        <f t="shared" si="452"/>
        <v>-70.490707127887788</v>
      </c>
      <c r="BG570">
        <f t="shared" si="453"/>
        <v>-249.5147913374233</v>
      </c>
      <c r="BH570">
        <f t="shared" si="464"/>
        <v>-69.514791337423304</v>
      </c>
      <c r="BI570">
        <f t="shared" si="465"/>
        <v>-69.514791337423304</v>
      </c>
      <c r="BJ570">
        <f t="shared" si="454"/>
        <v>0</v>
      </c>
      <c r="BK570">
        <f t="shared" si="466"/>
        <v>0</v>
      </c>
      <c r="BM570">
        <f t="shared" si="467"/>
        <v>-66.881462148718441</v>
      </c>
      <c r="BN570">
        <f t="shared" si="455"/>
        <v>-156.644323403502</v>
      </c>
      <c r="BQ570" s="56">
        <f t="shared" si="468"/>
        <v>13.292715821115795</v>
      </c>
    </row>
    <row r="571" spans="1:69" x14ac:dyDescent="0.2">
      <c r="A571">
        <f t="shared" si="472"/>
        <v>1785000</v>
      </c>
      <c r="B571">
        <f t="shared" si="456"/>
        <v>1785</v>
      </c>
      <c r="C571">
        <f t="shared" si="425"/>
        <v>1.0887978035024211</v>
      </c>
      <c r="D571">
        <f t="shared" si="426"/>
        <v>0.40666729453535938</v>
      </c>
      <c r="F571">
        <f t="shared" si="427"/>
        <v>2.7583034984313437E-5</v>
      </c>
      <c r="G571">
        <f t="shared" si="428"/>
        <v>1.9786704315889474E-3</v>
      </c>
      <c r="H571">
        <f t="shared" si="429"/>
        <v>-3.139613979568411</v>
      </c>
      <c r="J571">
        <f t="shared" si="430"/>
        <v>15</v>
      </c>
      <c r="M571">
        <f t="shared" si="431"/>
        <v>1.2642849697491097E-4</v>
      </c>
      <c r="N571">
        <f t="shared" si="432"/>
        <v>-1.5707963250000001</v>
      </c>
      <c r="O571">
        <f t="shared" si="433"/>
        <v>1675.257406507508</v>
      </c>
      <c r="P571">
        <f t="shared" si="434"/>
        <v>1.5701994035665607</v>
      </c>
      <c r="Q571">
        <f t="shared" si="435"/>
        <v>249.29533695139685</v>
      </c>
      <c r="R571">
        <f t="shared" si="436"/>
        <v>1.5667850095596383</v>
      </c>
      <c r="S571">
        <f t="shared" si="437"/>
        <v>0.14065650261730286</v>
      </c>
      <c r="T571">
        <f t="shared" si="438"/>
        <v>-1.4296718484641855</v>
      </c>
      <c r="U571">
        <f t="shared" si="439"/>
        <v>0.12884726431876312</v>
      </c>
      <c r="V571">
        <f t="shared" si="440"/>
        <v>-1.4415898602833133</v>
      </c>
      <c r="X571">
        <f t="shared" si="457"/>
        <v>-67.30887522432127</v>
      </c>
      <c r="Y571">
        <f t="shared" si="441"/>
        <v>-231.36152136649005</v>
      </c>
      <c r="Z571">
        <f t="shared" si="458"/>
        <v>-51.361521366490052</v>
      </c>
      <c r="AC571">
        <v>1</v>
      </c>
      <c r="AD571">
        <f t="shared" si="442"/>
        <v>1675.2571080458852</v>
      </c>
      <c r="AE571">
        <f t="shared" si="443"/>
        <v>-3.381988003283706</v>
      </c>
      <c r="AF571">
        <f t="shared" si="444"/>
        <v>0.43942273209638999</v>
      </c>
      <c r="AG571">
        <f t="shared" si="473"/>
        <v>63.001302585913756</v>
      </c>
      <c r="AH571">
        <f t="shared" si="474"/>
        <v>-487.16107269992028</v>
      </c>
      <c r="AJ571">
        <f t="shared" si="445"/>
        <v>18000</v>
      </c>
      <c r="AK571">
        <f t="shared" si="446"/>
        <v>126699.09953921639</v>
      </c>
      <c r="AL571">
        <v>1</v>
      </c>
      <c r="AM571">
        <f t="shared" si="447"/>
        <v>249.29333129008981</v>
      </c>
      <c r="AN571">
        <f t="shared" si="475"/>
        <v>508.51446028232351</v>
      </c>
      <c r="AO571">
        <f t="shared" si="476"/>
        <v>-70.16427374611051</v>
      </c>
      <c r="AQ571">
        <f t="shared" si="448"/>
        <v>7.8462751495676579E-4</v>
      </c>
      <c r="AR571">
        <f t="shared" si="449"/>
        <v>-2.801120228395654</v>
      </c>
      <c r="AT571">
        <f t="shared" si="470"/>
        <v>-1364.5473026711854</v>
      </c>
      <c r="AU571">
        <f t="shared" si="471"/>
        <v>-176.85646307053466</v>
      </c>
      <c r="AV571">
        <f t="shared" si="459"/>
        <v>-3.0127029982690536</v>
      </c>
      <c r="AW571">
        <f t="shared" si="460"/>
        <v>374.73590005656837</v>
      </c>
      <c r="AX571">
        <f t="shared" si="461"/>
        <v>-2057.0850007804675</v>
      </c>
      <c r="AY571">
        <f t="shared" si="469"/>
        <v>-1.3906038288054587</v>
      </c>
      <c r="BA571">
        <f t="shared" si="450"/>
        <v>0.65805871148689032</v>
      </c>
      <c r="BB571">
        <f t="shared" si="462"/>
        <v>-3.6347071448246053</v>
      </c>
      <c r="BC571">
        <f t="shared" si="463"/>
        <v>-1.6220991694635949</v>
      </c>
      <c r="BD571">
        <f t="shared" si="451"/>
        <v>-272.93943646813887</v>
      </c>
      <c r="BF571">
        <f t="shared" si="452"/>
        <v>-70.5610962373066</v>
      </c>
      <c r="BG571">
        <f t="shared" si="453"/>
        <v>-249.52574733372776</v>
      </c>
      <c r="BH571">
        <f t="shared" si="464"/>
        <v>-69.525747333727764</v>
      </c>
      <c r="BI571">
        <f t="shared" si="465"/>
        <v>-69.525747333727764</v>
      </c>
      <c r="BJ571">
        <f t="shared" si="454"/>
        <v>0</v>
      </c>
      <c r="BK571">
        <f t="shared" si="466"/>
        <v>0</v>
      </c>
      <c r="BM571">
        <f t="shared" si="467"/>
        <v>-66.926389092481998</v>
      </c>
      <c r="BN571">
        <f t="shared" si="455"/>
        <v>-156.58631086558893</v>
      </c>
      <c r="BQ571" s="56">
        <f t="shared" si="468"/>
        <v>13.267253655460532</v>
      </c>
    </row>
    <row r="572" spans="1:69" x14ac:dyDescent="0.2">
      <c r="A572">
        <f t="shared" si="472"/>
        <v>1790000</v>
      </c>
      <c r="B572">
        <f t="shared" si="456"/>
        <v>1790</v>
      </c>
      <c r="C572">
        <f t="shared" si="425"/>
        <v>1.0892755480436132</v>
      </c>
      <c r="D572">
        <f t="shared" si="426"/>
        <v>0.407684470713567</v>
      </c>
      <c r="F572">
        <f t="shared" si="427"/>
        <v>2.7429151071390492E-5</v>
      </c>
      <c r="G572">
        <f t="shared" si="428"/>
        <v>1.973143127007475E-3</v>
      </c>
      <c r="H572">
        <f t="shared" si="429"/>
        <v>-3.1396195068729926</v>
      </c>
      <c r="J572">
        <f t="shared" si="430"/>
        <v>15</v>
      </c>
      <c r="M572">
        <f t="shared" si="431"/>
        <v>1.2607534474872408E-4</v>
      </c>
      <c r="N572">
        <f t="shared" si="432"/>
        <v>-1.5707963250000001</v>
      </c>
      <c r="O572">
        <f t="shared" si="433"/>
        <v>1679.9500026151213</v>
      </c>
      <c r="P572">
        <f t="shared" si="434"/>
        <v>1.5702010709494856</v>
      </c>
      <c r="Q572">
        <f t="shared" si="435"/>
        <v>249.99363199690725</v>
      </c>
      <c r="R572">
        <f t="shared" si="436"/>
        <v>1.5667962142366931</v>
      </c>
      <c r="S572">
        <f t="shared" si="437"/>
        <v>0.1402713485994237</v>
      </c>
      <c r="T572">
        <f t="shared" si="438"/>
        <v>-1.4300608592161685</v>
      </c>
      <c r="U572">
        <f t="shared" si="439"/>
        <v>0.12849330622492564</v>
      </c>
      <c r="V572">
        <f t="shared" si="440"/>
        <v>-1.4419467853438788</v>
      </c>
      <c r="X572">
        <f t="shared" si="457"/>
        <v>-67.377073520340531</v>
      </c>
      <c r="Y572">
        <f t="shared" si="441"/>
        <v>-231.3455596148001</v>
      </c>
      <c r="Z572">
        <f t="shared" si="458"/>
        <v>-51.345559614800095</v>
      </c>
      <c r="AC572">
        <v>1</v>
      </c>
      <c r="AD572">
        <f t="shared" si="442"/>
        <v>1679.94970498719</v>
      </c>
      <c r="AE572">
        <f t="shared" si="443"/>
        <v>-3.4009612507972045</v>
      </c>
      <c r="AF572">
        <f t="shared" si="444"/>
        <v>0.44065360809665999</v>
      </c>
      <c r="AG572">
        <f t="shared" si="473"/>
        <v>62.65563454216106</v>
      </c>
      <c r="AH572">
        <f t="shared" si="474"/>
        <v>-485.84507488031011</v>
      </c>
      <c r="AJ572">
        <f t="shared" si="445"/>
        <v>18000</v>
      </c>
      <c r="AK572">
        <f t="shared" si="446"/>
        <v>127053.99897770159</v>
      </c>
      <c r="AL572">
        <v>1</v>
      </c>
      <c r="AM572">
        <f t="shared" si="447"/>
        <v>249.99163193796124</v>
      </c>
      <c r="AN572">
        <f t="shared" si="475"/>
        <v>508.51289014219685</v>
      </c>
      <c r="AO572">
        <f t="shared" si="476"/>
        <v>-69.968290435411646</v>
      </c>
      <c r="AQ572">
        <f t="shared" si="448"/>
        <v>7.8025024341856972E-4</v>
      </c>
      <c r="AR572">
        <f t="shared" si="449"/>
        <v>-2.7932958714384797</v>
      </c>
      <c r="AT572">
        <f t="shared" si="470"/>
        <v>-1357.0601547477861</v>
      </c>
      <c r="AU572">
        <f t="shared" si="471"/>
        <v>-175.39480602691575</v>
      </c>
      <c r="AV572">
        <f t="shared" si="459"/>
        <v>-3.0130590383825129</v>
      </c>
      <c r="AW572">
        <f t="shared" si="460"/>
        <v>375.48635161258028</v>
      </c>
      <c r="AX572">
        <f t="shared" si="461"/>
        <v>-2051.378406403142</v>
      </c>
      <c r="AY572">
        <f t="shared" si="469"/>
        <v>-1.3897593957928658</v>
      </c>
      <c r="BA572">
        <f t="shared" si="450"/>
        <v>0.65613714503662002</v>
      </c>
      <c r="BB572">
        <f t="shared" si="462"/>
        <v>-3.6601075079907615</v>
      </c>
      <c r="BC572">
        <f t="shared" si="463"/>
        <v>-1.6232996425896471</v>
      </c>
      <c r="BD572">
        <f t="shared" si="451"/>
        <v>-273.00821851175914</v>
      </c>
      <c r="BF572">
        <f t="shared" si="452"/>
        <v>-70.631279902970519</v>
      </c>
      <c r="BG572">
        <f t="shared" si="453"/>
        <v>-249.53656616647385</v>
      </c>
      <c r="BH572">
        <f t="shared" si="464"/>
        <v>-69.536566166473847</v>
      </c>
      <c r="BI572">
        <f t="shared" si="465"/>
        <v>-69.536566166473847</v>
      </c>
      <c r="BJ572">
        <f t="shared" si="454"/>
        <v>0</v>
      </c>
      <c r="BK572">
        <f t="shared" si="466"/>
        <v>0</v>
      </c>
      <c r="BM572">
        <f t="shared" si="467"/>
        <v>-66.97117239497976</v>
      </c>
      <c r="BN572">
        <f t="shared" si="455"/>
        <v>-156.52834765471474</v>
      </c>
      <c r="BQ572" s="56">
        <f t="shared" si="468"/>
        <v>13.241853292294374</v>
      </c>
    </row>
    <row r="573" spans="1:69" x14ac:dyDescent="0.2">
      <c r="A573">
        <f t="shared" si="472"/>
        <v>1795000</v>
      </c>
      <c r="B573">
        <f t="shared" si="456"/>
        <v>1795</v>
      </c>
      <c r="C573">
        <f t="shared" si="425"/>
        <v>1.0897544186120549</v>
      </c>
      <c r="D573">
        <f t="shared" si="426"/>
        <v>0.40870075398744704</v>
      </c>
      <c r="F573">
        <f t="shared" si="427"/>
        <v>2.7276551348525467E-5</v>
      </c>
      <c r="G573">
        <f t="shared" si="428"/>
        <v>1.9676466176408781E-3</v>
      </c>
      <c r="H573">
        <f t="shared" si="429"/>
        <v>-3.1396250033823594</v>
      </c>
      <c r="J573">
        <f t="shared" si="430"/>
        <v>15</v>
      </c>
      <c r="M573">
        <f t="shared" si="431"/>
        <v>1.2572415994441008E-4</v>
      </c>
      <c r="N573">
        <f t="shared" si="432"/>
        <v>-1.5707963250000001</v>
      </c>
      <c r="O573">
        <f t="shared" si="433"/>
        <v>1684.6425987273794</v>
      </c>
      <c r="P573">
        <f t="shared" si="434"/>
        <v>1.5702027290433724</v>
      </c>
      <c r="Q573">
        <f t="shared" si="435"/>
        <v>250.69192707362816</v>
      </c>
      <c r="R573">
        <f t="shared" si="436"/>
        <v>1.5668073564931448</v>
      </c>
      <c r="S573">
        <f t="shared" si="437"/>
        <v>0.13988827712877422</v>
      </c>
      <c r="T573">
        <f t="shared" si="438"/>
        <v>-1.4304477453028543</v>
      </c>
      <c r="U573">
        <f t="shared" si="439"/>
        <v>0.1281412713389489</v>
      </c>
      <c r="V573">
        <f t="shared" si="440"/>
        <v>-1.4423017547044223</v>
      </c>
      <c r="X573">
        <f t="shared" si="457"/>
        <v>-67.445068450489217</v>
      </c>
      <c r="Y573">
        <f t="shared" si="441"/>
        <v>-231.32941757927173</v>
      </c>
      <c r="Z573">
        <f t="shared" si="458"/>
        <v>-51.329417579271734</v>
      </c>
      <c r="AC573">
        <v>1</v>
      </c>
      <c r="AD573">
        <f t="shared" si="442"/>
        <v>1684.642301928495</v>
      </c>
      <c r="AE573">
        <f t="shared" si="443"/>
        <v>-3.4199875703317195</v>
      </c>
      <c r="AF573">
        <f t="shared" si="444"/>
        <v>0.44188448409692999</v>
      </c>
      <c r="AG573">
        <f t="shared" si="473"/>
        <v>62.312787822476736</v>
      </c>
      <c r="AH573">
        <f t="shared" si="474"/>
        <v>-484.53604399158331</v>
      </c>
      <c r="AJ573">
        <f t="shared" si="445"/>
        <v>18000</v>
      </c>
      <c r="AK573">
        <f t="shared" si="446"/>
        <v>127408.8984161868</v>
      </c>
      <c r="AL573">
        <v>1</v>
      </c>
      <c r="AM573">
        <f t="shared" si="447"/>
        <v>250.68993258583262</v>
      </c>
      <c r="AN573">
        <f t="shared" si="475"/>
        <v>508.51133310445726</v>
      </c>
      <c r="AO573">
        <f t="shared" si="476"/>
        <v>-69.773398901476469</v>
      </c>
      <c r="AQ573">
        <f t="shared" si="448"/>
        <v>7.7590949977812869E-4</v>
      </c>
      <c r="AR573">
        <f t="shared" si="449"/>
        <v>-2.785515104203482</v>
      </c>
      <c r="AT573">
        <f t="shared" si="470"/>
        <v>-1349.6341199855292</v>
      </c>
      <c r="AU573">
        <f t="shared" si="471"/>
        <v>-173.94916778405374</v>
      </c>
      <c r="AV573">
        <f t="shared" si="459"/>
        <v>-3.0134131277260137</v>
      </c>
      <c r="AW573">
        <f t="shared" si="460"/>
        <v>376.23047861572024</v>
      </c>
      <c r="AX573">
        <f t="shared" si="461"/>
        <v>-2045.7032833735675</v>
      </c>
      <c r="AY573">
        <f t="shared" si="469"/>
        <v>-1.3889162420048717</v>
      </c>
      <c r="BA573">
        <f t="shared" si="450"/>
        <v>0.65422581865481566</v>
      </c>
      <c r="BB573">
        <f t="shared" si="462"/>
        <v>-3.6854464136961851</v>
      </c>
      <c r="BC573">
        <f t="shared" si="463"/>
        <v>-1.6244968857211419</v>
      </c>
      <c r="BD573">
        <f t="shared" si="451"/>
        <v>-273.07681549032321</v>
      </c>
      <c r="BF573">
        <f t="shared" si="452"/>
        <v>-70.701259252629512</v>
      </c>
      <c r="BG573">
        <f t="shared" si="453"/>
        <v>-249.54724932937745</v>
      </c>
      <c r="BH573">
        <f t="shared" si="464"/>
        <v>-69.547249329377451</v>
      </c>
      <c r="BI573">
        <f t="shared" si="465"/>
        <v>-69.547249329377451</v>
      </c>
      <c r="BJ573">
        <f t="shared" si="454"/>
        <v>0</v>
      </c>
      <c r="BK573">
        <f t="shared" si="466"/>
        <v>0</v>
      </c>
      <c r="BM573">
        <f t="shared" si="467"/>
        <v>-67.015812838933343</v>
      </c>
      <c r="BN573">
        <f t="shared" si="455"/>
        <v>-156.47043383905427</v>
      </c>
      <c r="BQ573" s="56">
        <f t="shared" si="468"/>
        <v>13.216514386588951</v>
      </c>
    </row>
    <row r="574" spans="1:69" x14ac:dyDescent="0.2">
      <c r="A574">
        <f t="shared" si="472"/>
        <v>1800000</v>
      </c>
      <c r="B574">
        <f t="shared" si="456"/>
        <v>1800</v>
      </c>
      <c r="C574">
        <f t="shared" si="425"/>
        <v>1.0902344137239699</v>
      </c>
      <c r="D574">
        <f t="shared" si="426"/>
        <v>0.40971614343567303</v>
      </c>
      <c r="F574">
        <f t="shared" si="427"/>
        <v>2.7125221566169761E-5</v>
      </c>
      <c r="G574">
        <f t="shared" si="428"/>
        <v>1.9621806468354593E-3</v>
      </c>
      <c r="H574">
        <f t="shared" si="429"/>
        <v>-3.1396304693531647</v>
      </c>
      <c r="J574">
        <f t="shared" si="430"/>
        <v>15</v>
      </c>
      <c r="M574">
        <f t="shared" si="431"/>
        <v>1.2537492616678672E-4</v>
      </c>
      <c r="N574">
        <f t="shared" si="432"/>
        <v>-1.5707963250000001</v>
      </c>
      <c r="O574">
        <f t="shared" si="433"/>
        <v>1689.335194844243</v>
      </c>
      <c r="P574">
        <f t="shared" si="434"/>
        <v>1.5702043779256298</v>
      </c>
      <c r="Q574">
        <f t="shared" si="435"/>
        <v>251.39022218129961</v>
      </c>
      <c r="R574">
        <f t="shared" si="436"/>
        <v>1.5668184368491542</v>
      </c>
      <c r="S574">
        <f t="shared" si="437"/>
        <v>0.13950727153257506</v>
      </c>
      <c r="T574">
        <f t="shared" si="438"/>
        <v>-1.4308325239684316</v>
      </c>
      <c r="U574">
        <f t="shared" si="439"/>
        <v>0.12779114416196649</v>
      </c>
      <c r="V574">
        <f t="shared" si="440"/>
        <v>-1.4426547843061082</v>
      </c>
      <c r="X574">
        <f t="shared" si="457"/>
        <v>-67.512861088778422</v>
      </c>
      <c r="Y574">
        <f t="shared" si="441"/>
        <v>-231.31309719454063</v>
      </c>
      <c r="Z574">
        <f t="shared" si="458"/>
        <v>-51.313097194540632</v>
      </c>
      <c r="AC574">
        <v>1</v>
      </c>
      <c r="AD574">
        <f t="shared" si="442"/>
        <v>1689.3348988698001</v>
      </c>
      <c r="AE574">
        <f t="shared" si="443"/>
        <v>-3.4390669618872516</v>
      </c>
      <c r="AF574">
        <f t="shared" si="444"/>
        <v>0.44311536009719998</v>
      </c>
      <c r="AG574">
        <f t="shared" si="473"/>
        <v>61.972731978741848</v>
      </c>
      <c r="AH574">
        <f t="shared" si="474"/>
        <v>-483.23392589914812</v>
      </c>
      <c r="AJ574">
        <f t="shared" si="445"/>
        <v>18000</v>
      </c>
      <c r="AK574">
        <f t="shared" si="446"/>
        <v>127763.797854672</v>
      </c>
      <c r="AL574">
        <v>1</v>
      </c>
      <c r="AM574">
        <f t="shared" si="447"/>
        <v>251.38823323370403</v>
      </c>
      <c r="AN574">
        <f t="shared" si="475"/>
        <v>508.50978902372873</v>
      </c>
      <c r="AO574">
        <f t="shared" si="476"/>
        <v>-69.579590046743519</v>
      </c>
      <c r="AQ574">
        <f t="shared" si="448"/>
        <v>7.7160487873419148E-4</v>
      </c>
      <c r="AR574">
        <f t="shared" si="449"/>
        <v>-2.7777775634430895</v>
      </c>
      <c r="AT574">
        <f t="shared" si="470"/>
        <v>-1342.2685387948309</v>
      </c>
      <c r="AU574">
        <f t="shared" si="471"/>
        <v>-172.51933009061483</v>
      </c>
      <c r="AV574">
        <f t="shared" si="459"/>
        <v>-3.0137652821996381</v>
      </c>
      <c r="AW574">
        <f t="shared" si="460"/>
        <v>376.96835208204692</v>
      </c>
      <c r="AX574">
        <f t="shared" si="461"/>
        <v>-2040.0593728654731</v>
      </c>
      <c r="AY574">
        <f t="shared" si="469"/>
        <v>-1.3880743587411459</v>
      </c>
      <c r="BA574">
        <f t="shared" si="450"/>
        <v>0.65232464979749549</v>
      </c>
      <c r="BB574">
        <f t="shared" si="462"/>
        <v>-3.7107242042316391</v>
      </c>
      <c r="BC574">
        <f t="shared" si="463"/>
        <v>-1.6256909234584922</v>
      </c>
      <c r="BD574">
        <f t="shared" si="451"/>
        <v>-273.1452288133309</v>
      </c>
      <c r="BF574">
        <f t="shared" si="452"/>
        <v>-70.771035404943959</v>
      </c>
      <c r="BG574">
        <f t="shared" si="453"/>
        <v>-249.55779829943165</v>
      </c>
      <c r="BH574">
        <f t="shared" si="464"/>
        <v>-69.557798299431653</v>
      </c>
      <c r="BI574">
        <f t="shared" si="465"/>
        <v>-69.557798299431653</v>
      </c>
      <c r="BJ574">
        <f t="shared" si="454"/>
        <v>0</v>
      </c>
      <c r="BK574">
        <f t="shared" si="466"/>
        <v>0</v>
      </c>
      <c r="BM574">
        <f t="shared" si="467"/>
        <v>-67.06031120071232</v>
      </c>
      <c r="BN574">
        <f t="shared" si="455"/>
        <v>-156.41256948610075</v>
      </c>
      <c r="BQ574" s="56">
        <f t="shared" si="468"/>
        <v>13.191236596053496</v>
      </c>
    </row>
    <row r="575" spans="1:69" x14ac:dyDescent="0.2">
      <c r="A575">
        <f t="shared" si="472"/>
        <v>1805000</v>
      </c>
      <c r="B575">
        <f t="shared" si="456"/>
        <v>1805</v>
      </c>
      <c r="C575">
        <f t="shared" si="425"/>
        <v>1.0907155318947124</v>
      </c>
      <c r="D575">
        <f t="shared" si="426"/>
        <v>0.41073063814591082</v>
      </c>
      <c r="F575">
        <f t="shared" si="427"/>
        <v>2.6975147671873219E-5</v>
      </c>
      <c r="G575">
        <f t="shared" si="428"/>
        <v>1.9567449607816993E-3</v>
      </c>
      <c r="H575">
        <f t="shared" si="429"/>
        <v>-3.1396359050392184</v>
      </c>
      <c r="J575">
        <f t="shared" si="430"/>
        <v>15</v>
      </c>
      <c r="M575">
        <f t="shared" si="431"/>
        <v>1.250276272023358E-4</v>
      </c>
      <c r="N575">
        <f t="shared" si="432"/>
        <v>-1.5707963250000001</v>
      </c>
      <c r="O575">
        <f t="shared" si="433"/>
        <v>1694.0277909656745</v>
      </c>
      <c r="P575">
        <f t="shared" si="434"/>
        <v>1.5702060176728088</v>
      </c>
      <c r="Q575">
        <f t="shared" si="435"/>
        <v>252.08851731966428</v>
      </c>
      <c r="R575">
        <f t="shared" si="436"/>
        <v>1.5668294558191183</v>
      </c>
      <c r="S575">
        <f t="shared" si="437"/>
        <v>0.1391283153136578</v>
      </c>
      <c r="T575">
        <f t="shared" si="438"/>
        <v>-1.431215212272233</v>
      </c>
      <c r="U575">
        <f t="shared" si="439"/>
        <v>0.12744290935974217</v>
      </c>
      <c r="V575">
        <f t="shared" si="440"/>
        <v>-1.4430058899182869</v>
      </c>
      <c r="X575">
        <f t="shared" si="457"/>
        <v>-67.580452500878238</v>
      </c>
      <c r="Y575">
        <f t="shared" si="441"/>
        <v>-231.29660037450813</v>
      </c>
      <c r="Z575">
        <f t="shared" si="458"/>
        <v>-51.296600374508131</v>
      </c>
      <c r="AC575">
        <v>1</v>
      </c>
      <c r="AD575">
        <f t="shared" si="442"/>
        <v>1694.0274958111049</v>
      </c>
      <c r="AE575">
        <f t="shared" si="443"/>
        <v>-3.4581994254638002</v>
      </c>
      <c r="AF575">
        <f t="shared" si="444"/>
        <v>0.44434623609747004</v>
      </c>
      <c r="AG575">
        <f t="shared" si="473"/>
        <v>61.635436970140553</v>
      </c>
      <c r="AH575">
        <f t="shared" si="474"/>
        <v>-481.93866701590724</v>
      </c>
      <c r="AJ575">
        <f t="shared" si="445"/>
        <v>18000</v>
      </c>
      <c r="AK575">
        <f t="shared" si="446"/>
        <v>128118.69729315719</v>
      </c>
      <c r="AL575">
        <v>1</v>
      </c>
      <c r="AM575">
        <f t="shared" si="447"/>
        <v>252.08653388157541</v>
      </c>
      <c r="AN575">
        <f t="shared" si="475"/>
        <v>508.50825775664606</v>
      </c>
      <c r="AO575">
        <f t="shared" si="476"/>
        <v>-69.386854874447451</v>
      </c>
      <c r="AQ575">
        <f t="shared" si="448"/>
        <v>7.6733598059131069E-4</v>
      </c>
      <c r="AR575">
        <f t="shared" si="449"/>
        <v>-2.7700828899346313</v>
      </c>
      <c r="AT575">
        <f t="shared" si="470"/>
        <v>-1334.9627604102016</v>
      </c>
      <c r="AU575">
        <f t="shared" si="471"/>
        <v>-171.10507824427029</v>
      </c>
      <c r="AV575">
        <f t="shared" si="459"/>
        <v>-3.0141155175321073</v>
      </c>
      <c r="AW575">
        <f t="shared" si="460"/>
        <v>377.70004203179951</v>
      </c>
      <c r="AX575">
        <f t="shared" si="461"/>
        <v>-2034.4464188748452</v>
      </c>
      <c r="AY575">
        <f t="shared" si="469"/>
        <v>-1.387233737406093</v>
      </c>
      <c r="BA575">
        <f t="shared" si="450"/>
        <v>0.65043355680289328</v>
      </c>
      <c r="BB575">
        <f t="shared" si="462"/>
        <v>-3.7359412191781165</v>
      </c>
      <c r="BC575">
        <f t="shared" si="463"/>
        <v>-1.6268817801260143</v>
      </c>
      <c r="BD575">
        <f t="shared" si="451"/>
        <v>-273.2134598744629</v>
      </c>
      <c r="BF575">
        <f t="shared" si="452"/>
        <v>-70.840609469582631</v>
      </c>
      <c r="BG575">
        <f t="shared" si="453"/>
        <v>-249.56821453713226</v>
      </c>
      <c r="BH575">
        <f t="shared" si="464"/>
        <v>-69.568214537132263</v>
      </c>
      <c r="BI575">
        <f t="shared" si="465"/>
        <v>-69.568214537132263</v>
      </c>
      <c r="BJ575">
        <f t="shared" si="454"/>
        <v>0</v>
      </c>
      <c r="BK575">
        <f t="shared" si="466"/>
        <v>0</v>
      </c>
      <c r="BM575">
        <f t="shared" si="467"/>
        <v>-67.104668250404529</v>
      </c>
      <c r="BN575">
        <f t="shared" si="455"/>
        <v>-156.35475466266936</v>
      </c>
      <c r="BQ575" s="56">
        <f t="shared" si="468"/>
        <v>13.166019581107021</v>
      </c>
    </row>
    <row r="576" spans="1:69" x14ac:dyDescent="0.2">
      <c r="A576">
        <f t="shared" si="472"/>
        <v>1810000</v>
      </c>
      <c r="B576">
        <f t="shared" si="456"/>
        <v>1810</v>
      </c>
      <c r="C576">
        <f t="shared" si="425"/>
        <v>1.0911977716387844</v>
      </c>
      <c r="D576">
        <f t="shared" si="426"/>
        <v>0.4117442372148003</v>
      </c>
      <c r="F576">
        <f t="shared" si="427"/>
        <v>2.6826315807021651E-5</v>
      </c>
      <c r="G576">
        <f t="shared" si="428"/>
        <v>1.9513393084749687E-3</v>
      </c>
      <c r="H576">
        <f t="shared" si="429"/>
        <v>-3.1396413106915251</v>
      </c>
      <c r="J576">
        <f t="shared" si="430"/>
        <v>15</v>
      </c>
      <c r="M576">
        <f t="shared" si="431"/>
        <v>1.2468224701669397E-4</v>
      </c>
      <c r="N576">
        <f t="shared" si="432"/>
        <v>-1.5707963250000001</v>
      </c>
      <c r="O576">
        <f t="shared" si="433"/>
        <v>1698.7203870916355</v>
      </c>
      <c r="P576">
        <f t="shared" si="434"/>
        <v>1.570207648360614</v>
      </c>
      <c r="Q576">
        <f t="shared" si="435"/>
        <v>252.78681248846789</v>
      </c>
      <c r="R576">
        <f t="shared" si="436"/>
        <v>1.5668404139117507</v>
      </c>
      <c r="S576">
        <f t="shared" si="437"/>
        <v>0.13875139214818474</v>
      </c>
      <c r="T576">
        <f t="shared" si="438"/>
        <v>-1.4315958270911879</v>
      </c>
      <c r="U576">
        <f t="shared" si="439"/>
        <v>0.12709655176050982</v>
      </c>
      <c r="V576">
        <f t="shared" si="440"/>
        <v>-1.4433550871407892</v>
      </c>
      <c r="X576">
        <f t="shared" si="457"/>
        <v>-67.647843744204124</v>
      </c>
      <c r="Y576">
        <f t="shared" si="441"/>
        <v>-231.27992901261103</v>
      </c>
      <c r="Z576">
        <f t="shared" si="458"/>
        <v>-51.279929012611035</v>
      </c>
      <c r="AC576">
        <v>1</v>
      </c>
      <c r="AD576">
        <f t="shared" si="442"/>
        <v>1698.72009275241</v>
      </c>
      <c r="AE576">
        <f t="shared" si="443"/>
        <v>-3.4773849610613654</v>
      </c>
      <c r="AF576">
        <f t="shared" si="444"/>
        <v>0.44557711209774004</v>
      </c>
      <c r="AG576">
        <f t="shared" si="473"/>
        <v>61.300873156677518</v>
      </c>
      <c r="AH576">
        <f t="shared" si="474"/>
        <v>-480.65021429552689</v>
      </c>
      <c r="AJ576">
        <f t="shared" si="445"/>
        <v>18000</v>
      </c>
      <c r="AK576">
        <f t="shared" si="446"/>
        <v>128473.59673164241</v>
      </c>
      <c r="AL576">
        <v>1</v>
      </c>
      <c r="AM576">
        <f t="shared" si="447"/>
        <v>252.78483452944684</v>
      </c>
      <c r="AN576">
        <f t="shared" si="475"/>
        <v>508.50673916182154</v>
      </c>
      <c r="AO576">
        <f t="shared" si="476"/>
        <v>-69.195184487226811</v>
      </c>
      <c r="AQ576">
        <f t="shared" si="448"/>
        <v>7.6310241116705753E-4</v>
      </c>
      <c r="AR576">
        <f t="shared" si="449"/>
        <v>-2.7624307284247482</v>
      </c>
      <c r="AT576">
        <f t="shared" si="470"/>
        <v>-1327.7161427497913</v>
      </c>
      <c r="AU576">
        <f t="shared" si="471"/>
        <v>-169.70620102473066</v>
      </c>
      <c r="AV576">
        <f t="shared" si="459"/>
        <v>-3.0144638492830724</v>
      </c>
      <c r="AW576">
        <f t="shared" si="460"/>
        <v>378.42561750613578</v>
      </c>
      <c r="AX576">
        <f t="shared" si="461"/>
        <v>-2028.8641681816625</v>
      </c>
      <c r="AY576">
        <f t="shared" si="469"/>
        <v>-1.386394369507322</v>
      </c>
      <c r="BA576">
        <f t="shared" si="450"/>
        <v>0.64855245887981738</v>
      </c>
      <c r="BB576">
        <f t="shared" si="462"/>
        <v>-3.7610977954342983</v>
      </c>
      <c r="BC576">
        <f t="shared" si="463"/>
        <v>-1.6280694797757504</v>
      </c>
      <c r="BD576">
        <f t="shared" si="451"/>
        <v>-273.28151005179973</v>
      </c>
      <c r="BF576">
        <f t="shared" si="452"/>
        <v>-70.909982547319331</v>
      </c>
      <c r="BG576">
        <f t="shared" si="453"/>
        <v>-249.5784994867</v>
      </c>
      <c r="BH576">
        <f t="shared" si="464"/>
        <v>-69.578499486699997</v>
      </c>
      <c r="BI576">
        <f t="shared" si="465"/>
        <v>-69.578499486699997</v>
      </c>
      <c r="BJ576">
        <f t="shared" si="454"/>
        <v>0</v>
      </c>
      <c r="BK576">
        <f t="shared" si="466"/>
        <v>0</v>
      </c>
      <c r="BM576">
        <f t="shared" si="467"/>
        <v>-67.148884751885035</v>
      </c>
      <c r="BN576">
        <f t="shared" si="455"/>
        <v>-156.2969894349003</v>
      </c>
      <c r="BQ576" s="56">
        <f t="shared" si="468"/>
        <v>13.140863004850837</v>
      </c>
    </row>
    <row r="577" spans="1:69" x14ac:dyDescent="0.2">
      <c r="A577">
        <f t="shared" si="472"/>
        <v>1815000</v>
      </c>
      <c r="B577">
        <f t="shared" si="456"/>
        <v>1815</v>
      </c>
      <c r="C577">
        <f t="shared" si="425"/>
        <v>1.0916811314698529</v>
      </c>
      <c r="D577">
        <f t="shared" si="426"/>
        <v>0.41275693974793698</v>
      </c>
      <c r="F577">
        <f t="shared" si="427"/>
        <v>2.6678712303637163E-5</v>
      </c>
      <c r="G577">
        <f t="shared" si="428"/>
        <v>1.9459634416768865E-3</v>
      </c>
      <c r="H577">
        <f t="shared" si="429"/>
        <v>-3.1396466865583235</v>
      </c>
      <c r="J577">
        <f t="shared" si="430"/>
        <v>15</v>
      </c>
      <c r="M577">
        <f t="shared" si="431"/>
        <v>1.2433876975218516E-4</v>
      </c>
      <c r="N577">
        <f t="shared" si="432"/>
        <v>-1.5707963250000001</v>
      </c>
      <c r="O577">
        <f t="shared" si="433"/>
        <v>1703.412983222089</v>
      </c>
      <c r="P577">
        <f t="shared" si="434"/>
        <v>1.5702092700639165</v>
      </c>
      <c r="Q577">
        <f t="shared" si="435"/>
        <v>253.48510768745882</v>
      </c>
      <c r="R577">
        <f t="shared" si="436"/>
        <v>1.566851311630159</v>
      </c>
      <c r="S577">
        <f t="shared" si="437"/>
        <v>0.13837648588340415</v>
      </c>
      <c r="T577">
        <f t="shared" si="438"/>
        <v>-1.4319743851222377</v>
      </c>
      <c r="U577">
        <f t="shared" si="439"/>
        <v>0.12675205635284714</v>
      </c>
      <c r="V577">
        <f t="shared" si="440"/>
        <v>-1.4437023914061853</v>
      </c>
      <c r="X577">
        <f t="shared" si="457"/>
        <v>-67.715035868002204</v>
      </c>
      <c r="Y577">
        <f t="shared" si="441"/>
        <v>-231.26308498208766</v>
      </c>
      <c r="Z577">
        <f t="shared" si="458"/>
        <v>-51.263084982087662</v>
      </c>
      <c r="AC577">
        <v>1</v>
      </c>
      <c r="AD577">
        <f t="shared" si="442"/>
        <v>1703.412689693715</v>
      </c>
      <c r="AE577">
        <f t="shared" si="443"/>
        <v>-3.4966235686799481</v>
      </c>
      <c r="AF577">
        <f t="shared" si="444"/>
        <v>0.44680798809801003</v>
      </c>
      <c r="AG577">
        <f t="shared" si="473"/>
        <v>60.969011292814862</v>
      </c>
      <c r="AH577">
        <f t="shared" si="474"/>
        <v>-479.36851522580088</v>
      </c>
      <c r="AJ577">
        <f t="shared" si="445"/>
        <v>18000</v>
      </c>
      <c r="AK577">
        <f t="shared" si="446"/>
        <v>128828.4961701276</v>
      </c>
      <c r="AL577">
        <v>1</v>
      </c>
      <c r="AM577">
        <f t="shared" si="447"/>
        <v>253.48313517731822</v>
      </c>
      <c r="AN577">
        <f t="shared" si="475"/>
        <v>508.50523309981202</v>
      </c>
      <c r="AO577">
        <f t="shared" si="476"/>
        <v>-69.004570085755091</v>
      </c>
      <c r="AQ577">
        <f t="shared" si="448"/>
        <v>7.5890378170102358E-4</v>
      </c>
      <c r="AR577">
        <f t="shared" si="449"/>
        <v>-2.7548207275747156</v>
      </c>
      <c r="AT577">
        <f t="shared" si="470"/>
        <v>-1320.5280522775151</v>
      </c>
      <c r="AU577">
        <f t="shared" si="471"/>
        <v>-168.32249062821654</v>
      </c>
      <c r="AV577">
        <f t="shared" si="459"/>
        <v>-3.0148102928453668</v>
      </c>
      <c r="AW577">
        <f t="shared" si="460"/>
        <v>379.14514658353971</v>
      </c>
      <c r="AX577">
        <f t="shared" si="461"/>
        <v>-2023.3123703122544</v>
      </c>
      <c r="AY577">
        <f t="shared" si="469"/>
        <v>-1.3855562466541442</v>
      </c>
      <c r="BA577">
        <f t="shared" si="450"/>
        <v>0.6466812760961872</v>
      </c>
      <c r="BB577">
        <f t="shared" si="462"/>
        <v>-3.7861942672437241</v>
      </c>
      <c r="BC577">
        <f t="shared" si="463"/>
        <v>-1.6292540461912226</v>
      </c>
      <c r="BD577">
        <f t="shared" si="451"/>
        <v>-273.34938070803673</v>
      </c>
      <c r="BF577">
        <f t="shared" si="452"/>
        <v>-70.979155730128213</v>
      </c>
      <c r="BG577">
        <f t="shared" si="453"/>
        <v>-249.58865457629889</v>
      </c>
      <c r="BH577">
        <f t="shared" si="464"/>
        <v>-69.588654576298893</v>
      </c>
      <c r="BI577">
        <f t="shared" si="465"/>
        <v>-69.588654576298893</v>
      </c>
      <c r="BJ577">
        <f t="shared" si="454"/>
        <v>0</v>
      </c>
      <c r="BK577">
        <f t="shared" si="466"/>
        <v>0</v>
      </c>
      <c r="BM577">
        <f t="shared" si="467"/>
        <v>-67.192961462884483</v>
      </c>
      <c r="BN577">
        <f t="shared" si="455"/>
        <v>-156.23927386826216</v>
      </c>
      <c r="BQ577" s="56">
        <f t="shared" si="468"/>
        <v>13.115766533041413</v>
      </c>
    </row>
    <row r="578" spans="1:69" x14ac:dyDescent="0.2">
      <c r="A578">
        <f t="shared" si="472"/>
        <v>1820000</v>
      </c>
      <c r="B578">
        <f t="shared" si="456"/>
        <v>1820</v>
      </c>
      <c r="C578">
        <f t="shared" si="425"/>
        <v>1.0921656099007671</v>
      </c>
      <c r="D578">
        <f t="shared" si="426"/>
        <v>0.41376874485985354</v>
      </c>
      <c r="F578">
        <f t="shared" si="427"/>
        <v>2.6532323681239925E-5</v>
      </c>
      <c r="G578">
        <f t="shared" si="428"/>
        <v>1.9406171148773151E-3</v>
      </c>
      <c r="H578">
        <f t="shared" si="429"/>
        <v>-3.139652032885123</v>
      </c>
      <c r="J578">
        <f t="shared" si="430"/>
        <v>15</v>
      </c>
      <c r="M578">
        <f t="shared" si="431"/>
        <v>1.2399717972539346E-4</v>
      </c>
      <c r="N578">
        <f t="shared" si="432"/>
        <v>-1.5707963250000001</v>
      </c>
      <c r="O578">
        <f t="shared" si="433"/>
        <v>1708.1055793569972</v>
      </c>
      <c r="P578">
        <f t="shared" si="434"/>
        <v>1.5702108828567645</v>
      </c>
      <c r="Q578">
        <f t="shared" si="435"/>
        <v>254.18340291638827</v>
      </c>
      <c r="R578">
        <f t="shared" si="436"/>
        <v>1.5668621494719233</v>
      </c>
      <c r="S578">
        <f t="shared" si="437"/>
        <v>0.13800358053543935</v>
      </c>
      <c r="T578">
        <f t="shared" si="438"/>
        <v>-1.4323509028847126</v>
      </c>
      <c r="U578">
        <f t="shared" si="439"/>
        <v>0.12640940828358196</v>
      </c>
      <c r="V578">
        <f t="shared" si="440"/>
        <v>-1.4440478179820084</v>
      </c>
      <c r="X578">
        <f t="shared" si="457"/>
        <v>-67.782029913433405</v>
      </c>
      <c r="Y578">
        <f t="shared" si="441"/>
        <v>-231.2460701362395</v>
      </c>
      <c r="Z578">
        <f t="shared" si="458"/>
        <v>-51.246070136239496</v>
      </c>
      <c r="AC578">
        <v>1</v>
      </c>
      <c r="AD578">
        <f t="shared" si="442"/>
        <v>1708.1052866350199</v>
      </c>
      <c r="AE578">
        <f t="shared" si="443"/>
        <v>-3.5159152483195468</v>
      </c>
      <c r="AF578">
        <f t="shared" si="444"/>
        <v>0.44803886409828003</v>
      </c>
      <c r="AG578">
        <f t="shared" si="473"/>
        <v>60.639822521225803</v>
      </c>
      <c r="AH578">
        <f t="shared" si="474"/>
        <v>-478.09351782210973</v>
      </c>
      <c r="AJ578">
        <f t="shared" si="445"/>
        <v>18000</v>
      </c>
      <c r="AK578">
        <f t="shared" si="446"/>
        <v>129183.3956086128</v>
      </c>
      <c r="AL578">
        <v>1</v>
      </c>
      <c r="AM578">
        <f t="shared" si="447"/>
        <v>254.1814358251896</v>
      </c>
      <c r="AN578">
        <f t="shared" si="475"/>
        <v>508.50373943308722</v>
      </c>
      <c r="AO578">
        <f t="shared" si="476"/>
        <v>-68.815002967394094</v>
      </c>
      <c r="AQ578">
        <f t="shared" si="448"/>
        <v>7.547397087655696E-4</v>
      </c>
      <c r="AR578">
        <f t="shared" si="449"/>
        <v>-2.7472525399066736</v>
      </c>
      <c r="AT578">
        <f t="shared" si="470"/>
        <v>-1313.3978638677181</v>
      </c>
      <c r="AU578">
        <f t="shared" si="471"/>
        <v>-166.95374260333125</v>
      </c>
      <c r="AV578">
        <f t="shared" si="459"/>
        <v>-3.0151548634472234</v>
      </c>
      <c r="AW578">
        <f t="shared" si="460"/>
        <v>379.85869639591169</v>
      </c>
      <c r="AX578">
        <f t="shared" si="461"/>
        <v>-2017.7907775022682</v>
      </c>
      <c r="AY578">
        <f t="shared" si="469"/>
        <v>-1.3847193605560961</v>
      </c>
      <c r="BA578">
        <f t="shared" si="450"/>
        <v>0.64481992936775079</v>
      </c>
      <c r="BB578">
        <f t="shared" si="462"/>
        <v>-3.8112309662216042</v>
      </c>
      <c r="BC578">
        <f t="shared" si="463"/>
        <v>-1.6304355028911273</v>
      </c>
      <c r="BD578">
        <f t="shared" si="451"/>
        <v>-273.4170731906961</v>
      </c>
      <c r="BF578">
        <f t="shared" si="452"/>
        <v>-71.048130101277877</v>
      </c>
      <c r="BG578">
        <f t="shared" si="453"/>
        <v>-249.59868121825133</v>
      </c>
      <c r="BH578">
        <f t="shared" si="464"/>
        <v>-69.598681218251329</v>
      </c>
      <c r="BI578">
        <f t="shared" si="465"/>
        <v>-69.598681218251329</v>
      </c>
      <c r="BJ578">
        <f t="shared" si="454"/>
        <v>0</v>
      </c>
      <c r="BK578">
        <f t="shared" si="466"/>
        <v>0</v>
      </c>
      <c r="BM578">
        <f t="shared" si="467"/>
        <v>-67.236899135056277</v>
      </c>
      <c r="BN578">
        <f t="shared" si="455"/>
        <v>-156.18160802755523</v>
      </c>
      <c r="BQ578" s="56">
        <f t="shared" si="468"/>
        <v>13.090729834063533</v>
      </c>
    </row>
    <row r="579" spans="1:69" x14ac:dyDescent="0.2">
      <c r="A579">
        <f t="shared" si="472"/>
        <v>1825000</v>
      </c>
      <c r="B579">
        <f t="shared" si="456"/>
        <v>1825</v>
      </c>
      <c r="C579">
        <f t="shared" si="425"/>
        <v>1.0926512054435749</v>
      </c>
      <c r="D579">
        <f t="shared" si="426"/>
        <v>0.41477965167400122</v>
      </c>
      <c r="F579">
        <f t="shared" si="427"/>
        <v>2.638713664377008E-5</v>
      </c>
      <c r="G579">
        <f t="shared" si="428"/>
        <v>1.9353000852569838E-3</v>
      </c>
      <c r="H579">
        <f t="shared" si="429"/>
        <v>-3.1396573499147431</v>
      </c>
      <c r="J579">
        <f t="shared" si="430"/>
        <v>15</v>
      </c>
      <c r="M579">
        <f t="shared" si="431"/>
        <v>1.2365746142477594E-4</v>
      </c>
      <c r="N579">
        <f t="shared" si="432"/>
        <v>-1.5707963250000001</v>
      </c>
      <c r="O579">
        <f t="shared" si="433"/>
        <v>1712.7981754963243</v>
      </c>
      <c r="P579">
        <f t="shared" si="434"/>
        <v>1.5702124868123946</v>
      </c>
      <c r="Q579">
        <f t="shared" si="435"/>
        <v>254.88169817501029</v>
      </c>
      <c r="R579">
        <f t="shared" si="436"/>
        <v>1.5668729279291698</v>
      </c>
      <c r="S579">
        <f t="shared" si="437"/>
        <v>0.13763266028711207</v>
      </c>
      <c r="T579">
        <f t="shared" si="438"/>
        <v>-1.4327253967226707</v>
      </c>
      <c r="U579">
        <f t="shared" si="439"/>
        <v>0.12606859285573149</v>
      </c>
      <c r="V579">
        <f t="shared" si="440"/>
        <v>-1.4443913819729426</v>
      </c>
      <c r="X579">
        <f t="shared" si="457"/>
        <v>-67.84882691365668</v>
      </c>
      <c r="Y579">
        <f t="shared" si="441"/>
        <v>-231.22888630868877</v>
      </c>
      <c r="Z579">
        <f t="shared" si="458"/>
        <v>-51.228886308688772</v>
      </c>
      <c r="AC579">
        <v>1</v>
      </c>
      <c r="AD579">
        <f t="shared" si="442"/>
        <v>1712.7978835763249</v>
      </c>
      <c r="AE579">
        <f t="shared" si="443"/>
        <v>-3.535259999980163</v>
      </c>
      <c r="AF579">
        <f t="shared" si="444"/>
        <v>0.44926974009855003</v>
      </c>
      <c r="AG579">
        <f t="shared" si="473"/>
        <v>60.313278366662658</v>
      </c>
      <c r="AH579">
        <f t="shared" si="474"/>
        <v>-476.82517062097315</v>
      </c>
      <c r="AJ579">
        <f t="shared" si="445"/>
        <v>18000</v>
      </c>
      <c r="AK579">
        <f t="shared" si="446"/>
        <v>129538.29504709801</v>
      </c>
      <c r="AL579">
        <v>1</v>
      </c>
      <c r="AM579">
        <f t="shared" si="447"/>
        <v>254.87973647306103</v>
      </c>
      <c r="AN579">
        <f t="shared" si="475"/>
        <v>508.50225802599812</v>
      </c>
      <c r="AO579">
        <f t="shared" si="476"/>
        <v>-68.626474524869607</v>
      </c>
      <c r="AQ579">
        <f t="shared" si="448"/>
        <v>7.5060981417828378E-4</v>
      </c>
      <c r="AR579">
        <f t="shared" si="449"/>
        <v>-2.7397258217507359</v>
      </c>
      <c r="AT579">
        <f t="shared" si="470"/>
        <v>-1306.3249606723132</v>
      </c>
      <c r="AU579">
        <f t="shared" si="471"/>
        <v>-165.59975578830105</v>
      </c>
      <c r="AV579">
        <f t="shared" si="459"/>
        <v>-3.0154975761544565</v>
      </c>
      <c r="AW579">
        <f t="shared" si="460"/>
        <v>380.56633314434282</v>
      </c>
      <c r="AX579">
        <f t="shared" si="461"/>
        <v>-2012.2991446602296</v>
      </c>
      <c r="AY579">
        <f t="shared" si="469"/>
        <v>-1.3838837030214881</v>
      </c>
      <c r="BA579">
        <f t="shared" si="450"/>
        <v>0.64296834044697859</v>
      </c>
      <c r="BB579">
        <f t="shared" si="462"/>
        <v>-3.836208221381292</v>
      </c>
      <c r="BC579">
        <f t="shared" si="463"/>
        <v>-1.6316138731329684</v>
      </c>
      <c r="BD579">
        <f t="shared" si="451"/>
        <v>-273.48458883233457</v>
      </c>
      <c r="BF579">
        <f t="shared" si="452"/>
        <v>-71.116906735424209</v>
      </c>
      <c r="BG579">
        <f t="shared" si="453"/>
        <v>-249.60858080924902</v>
      </c>
      <c r="BH579">
        <f t="shared" si="464"/>
        <v>-69.60858080924902</v>
      </c>
      <c r="BI579">
        <f t="shared" si="465"/>
        <v>-69.60858080924902</v>
      </c>
      <c r="BJ579">
        <f t="shared" si="454"/>
        <v>0</v>
      </c>
      <c r="BK579">
        <f t="shared" si="466"/>
        <v>0</v>
      </c>
      <c r="BM579">
        <f t="shared" si="467"/>
        <v>-67.280698514042925</v>
      </c>
      <c r="BN579">
        <f t="shared" si="455"/>
        <v>-156.12399197691448</v>
      </c>
      <c r="BQ579" s="56">
        <f t="shared" si="468"/>
        <v>13.065752578903844</v>
      </c>
    </row>
    <row r="580" spans="1:69" x14ac:dyDescent="0.2">
      <c r="A580">
        <f t="shared" si="472"/>
        <v>1830000</v>
      </c>
      <c r="B580">
        <f t="shared" si="456"/>
        <v>1830</v>
      </c>
      <c r="C580">
        <f t="shared" si="425"/>
        <v>1.0931379166095405</v>
      </c>
      <c r="D580">
        <f t="shared" si="426"/>
        <v>0.41578965932273088</v>
      </c>
      <c r="F580">
        <f t="shared" si="427"/>
        <v>2.6243138076568434E-5</v>
      </c>
      <c r="G580">
        <f t="shared" si="428"/>
        <v>1.9300121126507208E-3</v>
      </c>
      <c r="H580">
        <f t="shared" si="429"/>
        <v>-3.1396626378873496</v>
      </c>
      <c r="J580">
        <f t="shared" si="430"/>
        <v>15</v>
      </c>
      <c r="M580">
        <f t="shared" si="431"/>
        <v>1.2331959950831481E-4</v>
      </c>
      <c r="N580">
        <f t="shared" si="432"/>
        <v>-1.5707963250000001</v>
      </c>
      <c r="O580">
        <f t="shared" si="433"/>
        <v>1717.4907716400342</v>
      </c>
      <c r="P580">
        <f t="shared" si="434"/>
        <v>1.5702140820032424</v>
      </c>
      <c r="Q580">
        <f t="shared" si="435"/>
        <v>255.57999346308137</v>
      </c>
      <c r="R580">
        <f t="shared" si="436"/>
        <v>1.5668836474886469</v>
      </c>
      <c r="S580">
        <f t="shared" si="437"/>
        <v>0.13726370948579869</v>
      </c>
      <c r="T580">
        <f t="shared" si="438"/>
        <v>-1.4330978828072014</v>
      </c>
      <c r="U580">
        <f t="shared" si="439"/>
        <v>0.12572959552647292</v>
      </c>
      <c r="V580">
        <f t="shared" si="440"/>
        <v>-1.4447330983229756</v>
      </c>
      <c r="X580">
        <f t="shared" si="457"/>
        <v>-67.915427893911001</v>
      </c>
      <c r="Y580">
        <f t="shared" si="441"/>
        <v>-231.21153531363242</v>
      </c>
      <c r="Z580">
        <f t="shared" si="458"/>
        <v>-51.211535313632425</v>
      </c>
      <c r="AC580">
        <v>1</v>
      </c>
      <c r="AD580">
        <f t="shared" si="442"/>
        <v>1717.4904805176297</v>
      </c>
      <c r="AE580">
        <f t="shared" si="443"/>
        <v>-3.5546578236617954</v>
      </c>
      <c r="AF580">
        <f t="shared" si="444"/>
        <v>0.45050061609882003</v>
      </c>
      <c r="AG580">
        <f t="shared" si="473"/>
        <v>59.989350729937094</v>
      </c>
      <c r="AH580">
        <f t="shared" si="474"/>
        <v>-475.5634226736932</v>
      </c>
      <c r="AJ580">
        <f t="shared" si="445"/>
        <v>18000</v>
      </c>
      <c r="AK580">
        <f t="shared" si="446"/>
        <v>129893.19448558321</v>
      </c>
      <c r="AL580">
        <v>1</v>
      </c>
      <c r="AM580">
        <f t="shared" si="447"/>
        <v>255.57803712093241</v>
      </c>
      <c r="AN580">
        <f t="shared" si="475"/>
        <v>508.50078874474627</v>
      </c>
      <c r="AO580">
        <f t="shared" si="476"/>
        <v>-68.438976244968813</v>
      </c>
      <c r="AQ580">
        <f t="shared" si="448"/>
        <v>7.4651372491611235E-4</v>
      </c>
      <c r="AR580">
        <f t="shared" si="449"/>
        <v>-2.7322402331929712</v>
      </c>
      <c r="AT580">
        <f t="shared" si="470"/>
        <v>-1299.3087339903502</v>
      </c>
      <c r="AU580">
        <f t="shared" si="471"/>
        <v>-164.26033224955225</v>
      </c>
      <c r="AV580">
        <f t="shared" si="459"/>
        <v>-3.0158384458726091</v>
      </c>
      <c r="AW580">
        <f t="shared" si="460"/>
        <v>381.26812211458434</v>
      </c>
      <c r="AX580">
        <f t="shared" si="461"/>
        <v>-2006.8372293316916</v>
      </c>
      <c r="AY580">
        <f t="shared" si="469"/>
        <v>-1.3830492659559781</v>
      </c>
      <c r="BA580">
        <f t="shared" si="450"/>
        <v>0.64112643191212693</v>
      </c>
      <c r="BB580">
        <f t="shared" si="462"/>
        <v>-3.8611263591604676</v>
      </c>
      <c r="BC580">
        <f t="shared" si="463"/>
        <v>-1.632789179916631</v>
      </c>
      <c r="BD580">
        <f t="shared" si="451"/>
        <v>-273.55192895074845</v>
      </c>
      <c r="BF580">
        <f t="shared" si="452"/>
        <v>-71.185486698701922</v>
      </c>
      <c r="BG580">
        <f t="shared" si="453"/>
        <v>-249.61835473056152</v>
      </c>
      <c r="BH580">
        <f t="shared" si="464"/>
        <v>-69.618354730561521</v>
      </c>
      <c r="BI580">
        <f t="shared" si="465"/>
        <v>-69.618354730561521</v>
      </c>
      <c r="BJ580">
        <f t="shared" si="454"/>
        <v>0</v>
      </c>
      <c r="BK580">
        <f t="shared" si="466"/>
        <v>0</v>
      </c>
      <c r="BM580">
        <f t="shared" si="467"/>
        <v>-67.324360339541457</v>
      </c>
      <c r="BN580">
        <f t="shared" si="455"/>
        <v>-156.0664257798131</v>
      </c>
      <c r="BQ580" s="56">
        <f t="shared" si="468"/>
        <v>13.040834441124669</v>
      </c>
    </row>
    <row r="581" spans="1:69" x14ac:dyDescent="0.2">
      <c r="A581">
        <f t="shared" si="472"/>
        <v>1835000</v>
      </c>
      <c r="B581">
        <f t="shared" si="456"/>
        <v>1835</v>
      </c>
      <c r="C581">
        <f t="shared" si="425"/>
        <v>1.0936257419091606</v>
      </c>
      <c r="D581">
        <f t="shared" si="426"/>
        <v>0.41679876694727425</v>
      </c>
      <c r="F581">
        <f t="shared" si="427"/>
        <v>2.6100315043414636E-5</v>
      </c>
      <c r="G581">
        <f t="shared" si="428"/>
        <v>1.9247529595112888E-3</v>
      </c>
      <c r="H581">
        <f t="shared" si="429"/>
        <v>-3.1396678970404888</v>
      </c>
      <c r="J581">
        <f t="shared" si="430"/>
        <v>15</v>
      </c>
      <c r="M581">
        <f t="shared" si="431"/>
        <v>1.2298357880120768E-4</v>
      </c>
      <c r="N581">
        <f t="shared" si="432"/>
        <v>-1.5707963250000001</v>
      </c>
      <c r="O581">
        <f t="shared" si="433"/>
        <v>1722.1833677880902</v>
      </c>
      <c r="P581">
        <f t="shared" si="434"/>
        <v>1.5702156685009552</v>
      </c>
      <c r="Q581">
        <f t="shared" si="435"/>
        <v>256.27828878036087</v>
      </c>
      <c r="R581">
        <f t="shared" si="436"/>
        <v>1.5668943086317979</v>
      </c>
      <c r="S581">
        <f t="shared" si="437"/>
        <v>0.13689671264131925</v>
      </c>
      <c r="T581">
        <f t="shared" si="438"/>
        <v>-1.4334683771386918</v>
      </c>
      <c r="U581">
        <f t="shared" si="439"/>
        <v>0.1253924019051455</v>
      </c>
      <c r="V581">
        <f t="shared" si="440"/>
        <v>-1.445072981817519</v>
      </c>
      <c r="X581">
        <f t="shared" si="457"/>
        <v>-67.981833871596379</v>
      </c>
      <c r="Y581">
        <f t="shared" si="441"/>
        <v>-231.19401894609121</v>
      </c>
      <c r="Z581">
        <f t="shared" si="458"/>
        <v>-51.194018946091205</v>
      </c>
      <c r="AC581">
        <v>1</v>
      </c>
      <c r="AD581">
        <f t="shared" si="442"/>
        <v>1722.1830774589348</v>
      </c>
      <c r="AE581">
        <f t="shared" si="443"/>
        <v>-3.5741087193644447</v>
      </c>
      <c r="AF581">
        <f t="shared" si="444"/>
        <v>0.45173149209909003</v>
      </c>
      <c r="AG581">
        <f t="shared" si="473"/>
        <v>59.668011882009836</v>
      </c>
      <c r="AH581">
        <f t="shared" si="474"/>
        <v>-474.30822354008791</v>
      </c>
      <c r="AJ581">
        <f t="shared" si="445"/>
        <v>18000</v>
      </c>
      <c r="AK581">
        <f t="shared" si="446"/>
        <v>130248.09392406839</v>
      </c>
      <c r="AL581">
        <v>1</v>
      </c>
      <c r="AM581">
        <f t="shared" si="447"/>
        <v>256.27633776880384</v>
      </c>
      <c r="AN581">
        <f t="shared" si="475"/>
        <v>508.49933145735343</v>
      </c>
      <c r="AO581">
        <f t="shared" si="476"/>
        <v>-68.252499707258821</v>
      </c>
      <c r="AQ581">
        <f t="shared" si="448"/>
        <v>7.4245107303112551E-4</v>
      </c>
      <c r="AR581">
        <f t="shared" si="449"/>
        <v>-2.724795438024231</v>
      </c>
      <c r="AT581">
        <f t="shared" si="470"/>
        <v>-1292.3485831399612</v>
      </c>
      <c r="AU581">
        <f t="shared" si="471"/>
        <v>-162.93527722159081</v>
      </c>
      <c r="AV581">
        <f t="shared" si="459"/>
        <v>-3.0161774873490677</v>
      </c>
      <c r="AW581">
        <f t="shared" si="460"/>
        <v>381.96412769221757</v>
      </c>
      <c r="AX581">
        <f t="shared" si="461"/>
        <v>-2001.4047916639556</v>
      </c>
      <c r="AY581">
        <f t="shared" si="469"/>
        <v>-1.3822160413611682</v>
      </c>
      <c r="BA581">
        <f t="shared" si="450"/>
        <v>0.63929412715647294</v>
      </c>
      <c r="BB581">
        <f t="shared" si="462"/>
        <v>-3.8859857034469747</v>
      </c>
      <c r="BC581">
        <f t="shared" si="463"/>
        <v>-1.6339614459878995</v>
      </c>
      <c r="BD581">
        <f t="shared" si="451"/>
        <v>-273.61909484917527</v>
      </c>
      <c r="BF581">
        <f t="shared" si="452"/>
        <v>-71.253871048814929</v>
      </c>
      <c r="BG581">
        <f t="shared" si="453"/>
        <v>-249.62800434824049</v>
      </c>
      <c r="BH581">
        <f t="shared" si="464"/>
        <v>-69.628004348240495</v>
      </c>
      <c r="BI581">
        <f t="shared" si="465"/>
        <v>-69.628004348240495</v>
      </c>
      <c r="BJ581">
        <f t="shared" si="454"/>
        <v>0</v>
      </c>
      <c r="BK581">
        <f t="shared" si="466"/>
        <v>0</v>
      </c>
      <c r="BM581">
        <f t="shared" si="467"/>
        <v>-67.367885345367952</v>
      </c>
      <c r="BN581">
        <f t="shared" si="455"/>
        <v>-156.00890949906525</v>
      </c>
      <c r="BQ581" s="56">
        <f t="shared" si="468"/>
        <v>13.015975096838162</v>
      </c>
    </row>
    <row r="582" spans="1:69" x14ac:dyDescent="0.2">
      <c r="A582">
        <f t="shared" si="472"/>
        <v>1840000</v>
      </c>
      <c r="B582">
        <f t="shared" si="456"/>
        <v>1840</v>
      </c>
      <c r="C582">
        <f t="shared" si="425"/>
        <v>1.0941146798521828</v>
      </c>
      <c r="D582">
        <f t="shared" si="426"/>
        <v>0.41780697369772479</v>
      </c>
      <c r="F582">
        <f t="shared" si="427"/>
        <v>2.5958654783621638E-5</v>
      </c>
      <c r="G582">
        <f t="shared" si="428"/>
        <v>1.9195223908738093E-3</v>
      </c>
      <c r="H582">
        <f t="shared" si="429"/>
        <v>-3.1396731276091265</v>
      </c>
      <c r="J582">
        <f t="shared" si="430"/>
        <v>15</v>
      </c>
      <c r="M582">
        <f t="shared" si="431"/>
        <v>1.2264938429359571E-4</v>
      </c>
      <c r="N582">
        <f t="shared" si="432"/>
        <v>-1.5707963250000001</v>
      </c>
      <c r="O582">
        <f t="shared" si="433"/>
        <v>1726.8759639404575</v>
      </c>
      <c r="P582">
        <f t="shared" si="434"/>
        <v>1.5702172463764008</v>
      </c>
      <c r="Q582">
        <f t="shared" si="435"/>
        <v>256.97658412661065</v>
      </c>
      <c r="R582">
        <f t="shared" si="436"/>
        <v>1.5669049118348335</v>
      </c>
      <c r="S582">
        <f t="shared" si="437"/>
        <v>0.13653165442385837</v>
      </c>
      <c r="T582">
        <f t="shared" si="438"/>
        <v>-1.4338368955490584</v>
      </c>
      <c r="U582">
        <f t="shared" si="439"/>
        <v>0.12505699775128326</v>
      </c>
      <c r="V582">
        <f t="shared" si="440"/>
        <v>-1.4454110470854942</v>
      </c>
      <c r="X582">
        <f t="shared" si="457"/>
        <v>-68.048045856353909</v>
      </c>
      <c r="Y582">
        <f t="shared" si="441"/>
        <v>-231.17633898215593</v>
      </c>
      <c r="Z582">
        <f t="shared" si="458"/>
        <v>-51.176338982155926</v>
      </c>
      <c r="AC582">
        <v>1</v>
      </c>
      <c r="AD582">
        <f t="shared" si="442"/>
        <v>1726.8756744002401</v>
      </c>
      <c r="AE582">
        <f t="shared" si="443"/>
        <v>-3.5936126870881111</v>
      </c>
      <c r="AF582">
        <f t="shared" si="444"/>
        <v>0.45296236809935997</v>
      </c>
      <c r="AG582">
        <f t="shared" si="473"/>
        <v>59.349234458187922</v>
      </c>
      <c r="AH582">
        <f t="shared" si="474"/>
        <v>-473.05952328231342</v>
      </c>
      <c r="AJ582">
        <f t="shared" si="445"/>
        <v>18000</v>
      </c>
      <c r="AK582">
        <f t="shared" si="446"/>
        <v>130602.99336255359</v>
      </c>
      <c r="AL582">
        <v>1</v>
      </c>
      <c r="AM582">
        <f t="shared" si="447"/>
        <v>256.97463841667519</v>
      </c>
      <c r="AN582">
        <f t="shared" si="475"/>
        <v>508.49788603363248</v>
      </c>
      <c r="AO582">
        <f t="shared" si="476"/>
        <v>-68.067036582826205</v>
      </c>
      <c r="AQ582">
        <f t="shared" si="448"/>
        <v>7.3842149556788345E-4</v>
      </c>
      <c r="AR582">
        <f t="shared" si="449"/>
        <v>-2.7173911036898111</v>
      </c>
      <c r="AT582">
        <f t="shared" si="470"/>
        <v>-1285.4439153326321</v>
      </c>
      <c r="AU582">
        <f t="shared" si="471"/>
        <v>-161.6243990481554</v>
      </c>
      <c r="AV582">
        <f t="shared" si="459"/>
        <v>-3.0165147151751404</v>
      </c>
      <c r="AW582">
        <f t="shared" si="460"/>
        <v>382.65441337753037</v>
      </c>
      <c r="AX582">
        <f t="shared" si="461"/>
        <v>-1996.0015943713561</v>
      </c>
      <c r="AY582">
        <f t="shared" si="469"/>
        <v>-1.3813840213332282</v>
      </c>
      <c r="BA582">
        <f t="shared" si="450"/>
        <v>0.63747135037771441</v>
      </c>
      <c r="BB582">
        <f t="shared" si="462"/>
        <v>-3.9107865756043605</v>
      </c>
      <c r="BC582">
        <f t="shared" si="463"/>
        <v>-1.6351306938419121</v>
      </c>
      <c r="BD582">
        <f t="shared" si="451"/>
        <v>-273.68608781649147</v>
      </c>
      <c r="BF582">
        <f t="shared" si="452"/>
        <v>-71.322060835125569</v>
      </c>
      <c r="BG582">
        <f t="shared" si="453"/>
        <v>-249.637531013321</v>
      </c>
      <c r="BH582">
        <f t="shared" si="464"/>
        <v>-69.637531013320995</v>
      </c>
      <c r="BI582">
        <f t="shared" si="465"/>
        <v>-69.637531013320995</v>
      </c>
      <c r="BJ582">
        <f t="shared" si="454"/>
        <v>0</v>
      </c>
      <c r="BK582">
        <f t="shared" si="466"/>
        <v>0</v>
      </c>
      <c r="BM582">
        <f t="shared" si="467"/>
        <v>-67.411274259521207</v>
      </c>
      <c r="BN582">
        <f t="shared" si="455"/>
        <v>-155.95144319682959</v>
      </c>
      <c r="BQ582" s="56">
        <f t="shared" si="468"/>
        <v>12.991174224680776</v>
      </c>
    </row>
    <row r="583" spans="1:69" x14ac:dyDescent="0.2">
      <c r="A583">
        <f t="shared" si="472"/>
        <v>1845000</v>
      </c>
      <c r="B583">
        <f t="shared" si="456"/>
        <v>1845</v>
      </c>
      <c r="C583">
        <f t="shared" si="425"/>
        <v>1.0946047289476202</v>
      </c>
      <c r="D583">
        <f t="shared" si="426"/>
        <v>0.41881427873301863</v>
      </c>
      <c r="F583">
        <f t="shared" si="427"/>
        <v>2.5818144709185236E-5</v>
      </c>
      <c r="G583">
        <f t="shared" si="428"/>
        <v>1.9143201743207683E-3</v>
      </c>
      <c r="H583">
        <f t="shared" si="429"/>
        <v>-3.1396783298256796</v>
      </c>
      <c r="J583">
        <f t="shared" si="430"/>
        <v>15</v>
      </c>
      <c r="M583">
        <f t="shared" si="431"/>
        <v>1.2231700113832849E-4</v>
      </c>
      <c r="N583">
        <f t="shared" si="432"/>
        <v>-1.5707963250000001</v>
      </c>
      <c r="O583">
        <f t="shared" si="433"/>
        <v>1731.5685600971005</v>
      </c>
      <c r="P583">
        <f t="shared" si="434"/>
        <v>1.5702188156996788</v>
      </c>
      <c r="Q583">
        <f t="shared" si="435"/>
        <v>257.67487950159511</v>
      </c>
      <c r="R583">
        <f t="shared" si="436"/>
        <v>1.566915457568802</v>
      </c>
      <c r="S583">
        <f t="shared" si="437"/>
        <v>0.13616851966191768</v>
      </c>
      <c r="T583">
        <f t="shared" si="438"/>
        <v>-1.4342034537039441</v>
      </c>
      <c r="U583">
        <f t="shared" si="439"/>
        <v>0.12472336897267786</v>
      </c>
      <c r="V583">
        <f t="shared" si="440"/>
        <v>-1.4457473086013861</v>
      </c>
      <c r="X583">
        <f t="shared" si="457"/>
        <v>-68.114064850144715</v>
      </c>
      <c r="Y583">
        <f t="shared" si="441"/>
        <v>-231.1584971792291</v>
      </c>
      <c r="Z583">
        <f t="shared" si="458"/>
        <v>-51.158497179229101</v>
      </c>
      <c r="AC583">
        <v>1</v>
      </c>
      <c r="AD583">
        <f t="shared" si="442"/>
        <v>1731.5682713415451</v>
      </c>
      <c r="AE583">
        <f t="shared" si="443"/>
        <v>-3.613169726832794</v>
      </c>
      <c r="AF583">
        <f t="shared" si="444"/>
        <v>0.45419324409962997</v>
      </c>
      <c r="AG583">
        <f t="shared" si="473"/>
        <v>59.032991452427304</v>
      </c>
      <c r="AH583">
        <f t="shared" si="474"/>
        <v>-471.81727245877374</v>
      </c>
      <c r="AJ583">
        <f t="shared" si="445"/>
        <v>18000</v>
      </c>
      <c r="AK583">
        <f t="shared" si="446"/>
        <v>130957.89280103879</v>
      </c>
      <c r="AL583">
        <v>1</v>
      </c>
      <c r="AM583">
        <f t="shared" si="447"/>
        <v>257.67293906454665</v>
      </c>
      <c r="AN583">
        <f t="shared" si="475"/>
        <v>508.49645234515714</v>
      </c>
      <c r="AO583">
        <f t="shared" si="476"/>
        <v>-67.882578633037014</v>
      </c>
      <c r="AQ583">
        <f t="shared" si="448"/>
        <v>7.3442463448236759E-4</v>
      </c>
      <c r="AR583">
        <f t="shared" si="449"/>
        <v>-2.7100269012399365</v>
      </c>
      <c r="AT583">
        <f t="shared" si="470"/>
        <v>-1278.5941455497596</v>
      </c>
      <c r="AU583">
        <f t="shared" si="471"/>
        <v>-160.32750912461321</v>
      </c>
      <c r="AV583">
        <f t="shared" si="459"/>
        <v>-3.0168501437881079</v>
      </c>
      <c r="AW583">
        <f t="shared" si="460"/>
        <v>383.33904180010728</v>
      </c>
      <c r="AX583">
        <f t="shared" si="461"/>
        <v>-1990.6274027010966</v>
      </c>
      <c r="AY583">
        <f t="shared" si="469"/>
        <v>-1.38055319806154</v>
      </c>
      <c r="BA583">
        <f t="shared" si="450"/>
        <v>0.6356580265675349</v>
      </c>
      <c r="BB583">
        <f t="shared" si="462"/>
        <v>-3.9355292944970759</v>
      </c>
      <c r="BC583">
        <f t="shared" si="463"/>
        <v>-1.6362969457265679</v>
      </c>
      <c r="BD583">
        <f t="shared" si="451"/>
        <v>-273.7529091274078</v>
      </c>
      <c r="BF583">
        <f t="shared" si="452"/>
        <v>-71.390057098742574</v>
      </c>
      <c r="BG583">
        <f t="shared" si="453"/>
        <v>-249.64693606201971</v>
      </c>
      <c r="BH583">
        <f t="shared" si="464"/>
        <v>-69.646936062019705</v>
      </c>
      <c r="BI583">
        <f t="shared" si="465"/>
        <v>-69.646936062019705</v>
      </c>
      <c r="BJ583">
        <f t="shared" si="454"/>
        <v>0</v>
      </c>
      <c r="BK583">
        <f t="shared" si="466"/>
        <v>0</v>
      </c>
      <c r="BM583">
        <f t="shared" si="467"/>
        <v>-67.454527804245501</v>
      </c>
      <c r="BN583">
        <f t="shared" si="455"/>
        <v>-155.89402693461196</v>
      </c>
      <c r="BQ583" s="56">
        <f t="shared" si="468"/>
        <v>12.96643150578806</v>
      </c>
    </row>
    <row r="584" spans="1:69" x14ac:dyDescent="0.2">
      <c r="A584">
        <f t="shared" si="472"/>
        <v>1850000</v>
      </c>
      <c r="B584">
        <f t="shared" si="456"/>
        <v>1850</v>
      </c>
      <c r="C584">
        <f t="shared" si="425"/>
        <v>1.0950958877037702</v>
      </c>
      <c r="D584">
        <f t="shared" si="426"/>
        <v>0.41982068122091498</v>
      </c>
      <c r="F584">
        <f t="shared" si="427"/>
        <v>2.5678772401987436E-5</v>
      </c>
      <c r="G584">
        <f t="shared" si="428"/>
        <v>1.9091460799475842E-3</v>
      </c>
      <c r="H584">
        <f t="shared" si="429"/>
        <v>-3.1396835039200526</v>
      </c>
      <c r="J584">
        <f t="shared" si="430"/>
        <v>15</v>
      </c>
      <c r="M584">
        <f t="shared" si="431"/>
        <v>1.2198641464876544E-4</v>
      </c>
      <c r="N584">
        <f t="shared" si="432"/>
        <v>-1.5707963250000001</v>
      </c>
      <c r="O584">
        <f t="shared" si="433"/>
        <v>1736.2611562579855</v>
      </c>
      <c r="P584">
        <f t="shared" si="434"/>
        <v>1.570220376540131</v>
      </c>
      <c r="Q584">
        <f t="shared" si="435"/>
        <v>258.37317490508144</v>
      </c>
      <c r="R584">
        <f t="shared" si="436"/>
        <v>1.566925946299659</v>
      </c>
      <c r="S584">
        <f t="shared" si="437"/>
        <v>0.13580729334029926</v>
      </c>
      <c r="T584">
        <f t="shared" si="438"/>
        <v>-1.4345680671048813</v>
      </c>
      <c r="U584">
        <f t="shared" si="439"/>
        <v>0.12439150162347122</v>
      </c>
      <c r="V584">
        <f t="shared" si="440"/>
        <v>-1.4460817806872652</v>
      </c>
      <c r="X584">
        <f t="shared" si="457"/>
        <v>-68.179891847327966</v>
      </c>
      <c r="Y584">
        <f t="shared" si="441"/>
        <v>-231.14049527626344</v>
      </c>
      <c r="Z584">
        <f t="shared" si="458"/>
        <v>-51.140495276263437</v>
      </c>
      <c r="AC584">
        <v>1</v>
      </c>
      <c r="AD584">
        <f t="shared" si="442"/>
        <v>1736.26086828285</v>
      </c>
      <c r="AE584">
        <f t="shared" si="443"/>
        <v>-3.6327798385984935</v>
      </c>
      <c r="AF584">
        <f t="shared" si="444"/>
        <v>0.45542412009989997</v>
      </c>
      <c r="AG584">
        <f t="shared" si="473"/>
        <v>58.719256211738369</v>
      </c>
      <c r="AH584">
        <f t="shared" si="474"/>
        <v>-470.58142211811588</v>
      </c>
      <c r="AJ584">
        <f t="shared" si="445"/>
        <v>18000</v>
      </c>
      <c r="AK584">
        <f t="shared" si="446"/>
        <v>131312.79223952399</v>
      </c>
      <c r="AL584">
        <v>1</v>
      </c>
      <c r="AM584">
        <f t="shared" si="447"/>
        <v>258.371239712418</v>
      </c>
      <c r="AN584">
        <f t="shared" si="475"/>
        <v>508.49503026523502</v>
      </c>
      <c r="AO584">
        <f t="shared" si="476"/>
        <v>-67.699117708316962</v>
      </c>
      <c r="AQ584">
        <f t="shared" si="448"/>
        <v>7.3046013656244435E-4</v>
      </c>
      <c r="AR584">
        <f t="shared" si="449"/>
        <v>-2.7027025052810441</v>
      </c>
      <c r="AT584">
        <f t="shared" si="470"/>
        <v>-1271.7986964214369</v>
      </c>
      <c r="AU584">
        <f t="shared" si="471"/>
        <v>-159.04442184156895</v>
      </c>
      <c r="AV584">
        <f t="shared" si="459"/>
        <v>-3.0171837874732379</v>
      </c>
      <c r="AW584">
        <f t="shared" si="460"/>
        <v>384.01807473314045</v>
      </c>
      <c r="AX584">
        <f t="shared" si="461"/>
        <v>-1985.2819843996349</v>
      </c>
      <c r="AY584">
        <f t="shared" si="469"/>
        <v>-1.3797235638273651</v>
      </c>
      <c r="BA584">
        <f t="shared" si="450"/>
        <v>0.63385408150132627</v>
      </c>
      <c r="BB584">
        <f t="shared" si="462"/>
        <v>-3.9602141765154202</v>
      </c>
      <c r="BC584">
        <f t="shared" si="463"/>
        <v>-1.6374602236458728</v>
      </c>
      <c r="BD584">
        <f t="shared" si="451"/>
        <v>-273.8195600426609</v>
      </c>
      <c r="BF584">
        <f t="shared" si="452"/>
        <v>-71.457860872607895</v>
      </c>
      <c r="BG584">
        <f t="shared" si="453"/>
        <v>-249.65622081592971</v>
      </c>
      <c r="BH584">
        <f t="shared" si="464"/>
        <v>-69.656220815929714</v>
      </c>
      <c r="BI584">
        <f t="shared" si="465"/>
        <v>-69.656220815929714</v>
      </c>
      <c r="BJ584">
        <f t="shared" si="454"/>
        <v>0</v>
      </c>
      <c r="BK584">
        <f t="shared" si="466"/>
        <v>0</v>
      </c>
      <c r="BM584">
        <f t="shared" si="467"/>
        <v>-67.497646696092474</v>
      </c>
      <c r="BN584">
        <f t="shared" si="455"/>
        <v>-155.83666077326885</v>
      </c>
      <c r="BQ584" s="56">
        <f t="shared" si="468"/>
        <v>12.941746623769717</v>
      </c>
    </row>
    <row r="585" spans="1:69" x14ac:dyDescent="0.2">
      <c r="A585">
        <f t="shared" si="472"/>
        <v>1855000</v>
      </c>
      <c r="B585">
        <f t="shared" si="456"/>
        <v>1855</v>
      </c>
      <c r="C585">
        <f t="shared" ref="C585:C626" si="477">SQRT((A585/Fesr)^2+1)</f>
        <v>1.0955881546282298</v>
      </c>
      <c r="D585">
        <f t="shared" ref="D585:D614" si="478">ATAN(A585/Fesr)</f>
        <v>0.42082618033797697</v>
      </c>
      <c r="F585">
        <f t="shared" ref="F585:F626" si="479">(Ro/(Ro+Rdcr))/SQRT((A585/(Q*Fo))^2+(1-(A585^2/Fo^2))^2)</f>
        <v>2.5540525611052484E-5</v>
      </c>
      <c r="G585">
        <f t="shared" ref="G585:G614" si="480">-ATAN(A585*Fo/(Q*(Fo^2-A585^2)))</f>
        <v>1.9039998803287374E-3</v>
      </c>
      <c r="H585">
        <f t="shared" ref="H585:H648" si="481">IF(G585&gt;0,G585-Pi,G585)</f>
        <v>-3.1396886501196715</v>
      </c>
      <c r="J585">
        <f t="shared" ref="J585:J648" si="482">Vin/Vramp</f>
        <v>15</v>
      </c>
      <c r="M585">
        <f t="shared" ref="M585:M614" si="483">1/(2*Pi*_Rfb1*(Cc1ea_u+Cc2ea_u)*A585)</f>
        <v>1.2165761029661246E-4</v>
      </c>
      <c r="N585">
        <f t="shared" ref="N585:N648" si="484">-Pi/2</f>
        <v>-1.5707963250000001</v>
      </c>
      <c r="O585">
        <f t="shared" ref="O585:O614" si="485">SQRT(1+(A585/Fz1_u)^2)</f>
        <v>1740.953752423077</v>
      </c>
      <c r="P585">
        <f t="shared" ref="P585:P648" si="486">ATAN2(Fz1_u,A585)</f>
        <v>1.5702219289663517</v>
      </c>
      <c r="Q585">
        <f t="shared" ref="Q585:Q614" si="487">SQRT(1+(A585/Fz2_u)^2)</f>
        <v>259.07147033683896</v>
      </c>
      <c r="R585">
        <f t="shared" ref="R585:R648" si="488">ATAN2(Fz2_u,A585)</f>
        <v>1.5669363784883374</v>
      </c>
      <c r="S585">
        <f t="shared" ref="S585:S614" si="489">1/SQRT(1+(A585/Fp1_u)^2)</f>
        <v>0.13544796059811939</v>
      </c>
      <c r="T585">
        <f t="shared" ref="T585:T648" si="490">-ATAN2(Fp1_u,A585)</f>
        <v>-1.4349307510914204</v>
      </c>
      <c r="U585">
        <f t="shared" ref="U585:U626" si="491">1/SQRT(1+(A585/Fp2_u)^2)</f>
        <v>0.12406138190227696</v>
      </c>
      <c r="V585">
        <f t="shared" ref="V585:V648" si="492">-ATAN2(Fp2_u,A585)</f>
        <v>-1.4464144775147763</v>
      </c>
      <c r="X585">
        <f t="shared" si="457"/>
        <v>-68.245527834737857</v>
      </c>
      <c r="Y585">
        <f t="shared" ref="Y585:Y614" si="493">(180/Pi)*(D585+H585+N585+P585+R585+T585+V585)</f>
        <v>-231.12233499399619</v>
      </c>
      <c r="Z585">
        <f t="shared" si="458"/>
        <v>-51.122334993996191</v>
      </c>
      <c r="AC585">
        <v>1</v>
      </c>
      <c r="AD585">
        <f t="shared" ref="AD585:AD626" si="494">Rcea1_u*Cc1ea_u*A585*2*Pi</f>
        <v>1740.953465224155</v>
      </c>
      <c r="AE585">
        <f t="shared" ref="AE585:AE626" si="495">-Rcea1_u*Cc1ea_u*Cc2ea_u*(A585*2*Pi)^2</f>
        <v>-3.65244302238521</v>
      </c>
      <c r="AF585">
        <f t="shared" ref="AF585:AF626" si="496">(Cc2ea_u+Cc1ea_u)*A585*2*Pi</f>
        <v>0.45665499610016996</v>
      </c>
      <c r="AG585">
        <f t="shared" si="473"/>
        <v>58.408002430692463</v>
      </c>
      <c r="AH585">
        <f t="shared" si="474"/>
        <v>-469.3519237933096</v>
      </c>
      <c r="AJ585">
        <f t="shared" ref="AJ585:AJ648" si="497">_Rfb1</f>
        <v>18000</v>
      </c>
      <c r="AK585">
        <f t="shared" ref="AK585:AK626" si="498">_Rfb1*Rcea2_u*Cc3ea_u*A585*2*Pi</f>
        <v>131667.6916780092</v>
      </c>
      <c r="AL585">
        <v>1</v>
      </c>
      <c r="AM585">
        <f t="shared" ref="AM585:AM626" si="499">(_Rfb1+Rcea2_u)*Cc3ea_u*A585*2*Pi</f>
        <v>259.06954036028947</v>
      </c>
      <c r="AN585">
        <f t="shared" si="475"/>
        <v>508.4936196688783</v>
      </c>
      <c r="AO585">
        <f t="shared" si="476"/>
        <v>-67.516645746951127</v>
      </c>
      <c r="AQ585">
        <f t="shared" ref="AQ585:AQ626" si="500">Eadcg/(1+(Eadcg*A585/GBP)^2)</f>
        <v>7.2652765334982653E-4</v>
      </c>
      <c r="AR585">
        <f t="shared" ref="AR585:AR626" si="501">-(A585*Eadcg*Eadcg/GBP)/(1+(Eadcg*A585/GBP)^2)</f>
        <v>-2.6954175939278562</v>
      </c>
      <c r="AT585">
        <f t="shared" si="470"/>
        <v>-1265.0569981074302</v>
      </c>
      <c r="AU585">
        <f t="shared" si="471"/>
        <v>-157.77495452965823</v>
      </c>
      <c r="AV585">
        <f t="shared" si="459"/>
        <v>-3.0175156603657696</v>
      </c>
      <c r="AW585">
        <f t="shared" si="460"/>
        <v>384.69157310746471</v>
      </c>
      <c r="AX585">
        <f t="shared" si="461"/>
        <v>-1979.9651096795938</v>
      </c>
      <c r="AY585">
        <f t="shared" si="469"/>
        <v>-1.3788951110025369</v>
      </c>
      <c r="BA585">
        <f t="shared" ref="BA585:BA648" si="502">SQRT(AT585^2+AU585^2)/SQRT(AW585^2+AX585^2)</f>
        <v>0.6320594417280716</v>
      </c>
      <c r="BB585">
        <f t="shared" si="462"/>
        <v>-3.9848415356001325</v>
      </c>
      <c r="BC585">
        <f t="shared" si="463"/>
        <v>-1.6386205493632326</v>
      </c>
      <c r="BD585">
        <f t="shared" ref="BD585:BD648" si="503">BC585*180/Pi-180</f>
        <v>-273.88604180920203</v>
      </c>
      <c r="BF585">
        <f t="shared" ref="BF585:BF648" si="504">20*LOG(BA585*J585*F585*C585)</f>
        <v>-71.525473181582441</v>
      </c>
      <c r="BG585">
        <f t="shared" ref="BG585:BG648" si="505">(180/Pi)*(D585+H585+BC585)</f>
        <v>-249.66538658221234</v>
      </c>
      <c r="BH585">
        <f t="shared" si="464"/>
        <v>-69.665386582212335</v>
      </c>
      <c r="BI585">
        <f t="shared" si="465"/>
        <v>-69.665386582212335</v>
      </c>
      <c r="BJ585">
        <f t="shared" ref="BJ585:BJ648" si="506">SUM((BF586&lt;0)*(BF585&gt;0))*A585</f>
        <v>0</v>
      </c>
      <c r="BK585">
        <f t="shared" si="466"/>
        <v>0</v>
      </c>
      <c r="BM585">
        <f t="shared" si="467"/>
        <v>-67.540631645982316</v>
      </c>
      <c r="BN585">
        <f t="shared" ref="BN585:BN648" si="507">(H585+D585)*180/Pi</f>
        <v>-155.77934477301028</v>
      </c>
      <c r="BQ585" s="56">
        <f t="shared" si="468"/>
        <v>12.917119264685004</v>
      </c>
    </row>
    <row r="586" spans="1:69" x14ac:dyDescent="0.2">
      <c r="A586">
        <f t="shared" si="472"/>
        <v>1860000</v>
      </c>
      <c r="B586">
        <f t="shared" ref="B586:B649" si="508">A586/1000</f>
        <v>1860</v>
      </c>
      <c r="C586">
        <f t="shared" si="477"/>
        <v>1.0960815282279135</v>
      </c>
      <c r="D586">
        <f t="shared" si="478"/>
        <v>0.42183077526955209</v>
      </c>
      <c r="F586">
        <f t="shared" si="479"/>
        <v>2.5403392249854556E-5</v>
      </c>
      <c r="G586">
        <f t="shared" si="480"/>
        <v>1.8988813504844456E-3</v>
      </c>
      <c r="H586">
        <f t="shared" si="481"/>
        <v>-3.1396937686495159</v>
      </c>
      <c r="J586">
        <f t="shared" si="482"/>
        <v>15</v>
      </c>
      <c r="M586">
        <f t="shared" si="483"/>
        <v>1.213305737097936E-4</v>
      </c>
      <c r="N586">
        <f t="shared" si="484"/>
        <v>-1.5707963250000001</v>
      </c>
      <c r="O586">
        <f t="shared" si="485"/>
        <v>1745.6463485923423</v>
      </c>
      <c r="P586">
        <f t="shared" si="486"/>
        <v>1.5702234730461977</v>
      </c>
      <c r="Q586">
        <f t="shared" si="487"/>
        <v>259.76976579663983</v>
      </c>
      <c r="R586">
        <f t="shared" si="488"/>
        <v>1.5669467545908133</v>
      </c>
      <c r="S586">
        <f t="shared" si="489"/>
        <v>0.13509050672685227</v>
      </c>
      <c r="T586">
        <f t="shared" si="490"/>
        <v>-1.4352915208432275</v>
      </c>
      <c r="U586">
        <f t="shared" si="491"/>
        <v>0.12373299615033073</v>
      </c>
      <c r="V586">
        <f t="shared" si="492"/>
        <v>-1.4467454131070985</v>
      </c>
      <c r="X586">
        <f t="shared" ref="X586:X614" si="509">20*LOG(C586*J586*O586*Q586*F586*M586*S586*U586)</f>
        <v>-68.310973791759665</v>
      </c>
      <c r="Y586">
        <f t="shared" si="493"/>
        <v>-231.10401803518042</v>
      </c>
      <c r="Z586">
        <f t="shared" ref="Z586:Z649" si="510">Y586+180</f>
        <v>-51.104018035180417</v>
      </c>
      <c r="AC586">
        <v>1</v>
      </c>
      <c r="AD586">
        <f t="shared" si="494"/>
        <v>1745.6460621654601</v>
      </c>
      <c r="AE586">
        <f t="shared" si="495"/>
        <v>-3.6721592781929431</v>
      </c>
      <c r="AF586">
        <f t="shared" si="496"/>
        <v>0.45788587210043996</v>
      </c>
      <c r="AG586">
        <f t="shared" si="473"/>
        <v>58.099204146027319</v>
      </c>
      <c r="AH586">
        <f t="shared" si="474"/>
        <v>-468.12872949581043</v>
      </c>
      <c r="AJ586">
        <f t="shared" si="497"/>
        <v>18000</v>
      </c>
      <c r="AK586">
        <f t="shared" si="498"/>
        <v>132022.59111649441</v>
      </c>
      <c r="AL586">
        <v>1</v>
      </c>
      <c r="AM586">
        <f t="shared" si="499"/>
        <v>259.76784100816081</v>
      </c>
      <c r="AN586">
        <f t="shared" si="475"/>
        <v>508.49222043277712</v>
      </c>
      <c r="AO586">
        <f t="shared" si="476"/>
        <v>-67.335154773903341</v>
      </c>
      <c r="AQ586">
        <f t="shared" si="500"/>
        <v>7.2262684106350148E-4</v>
      </c>
      <c r="AR586">
        <f t="shared" si="501"/>
        <v>-2.6881718487562254</v>
      </c>
      <c r="AT586">
        <f t="shared" si="470"/>
        <v>-1258.3684881802953</v>
      </c>
      <c r="AU586">
        <f t="shared" si="471"/>
        <v>-156.51892740549826</v>
      </c>
      <c r="AV586">
        <f t="shared" ref="AV586:AV649" si="511">ATAN2(AT586,AU586)</f>
        <v>-3.0178457764528677</v>
      </c>
      <c r="AW586">
        <f t="shared" ref="AW586:AW649" si="512">AG586-AH586*AO586/_Rfb2+AG586*AN586/_Rfb2+AN586-AO586*AR586+AQ586*AN586</f>
        <v>385.35959702532625</v>
      </c>
      <c r="AX586">
        <f t="shared" ref="AX586:AX649" si="513">AH586+AH586*AN586/_Rfb2+AG586*AO586/_Rfb2+AO586+AO586*AQ586+AN586*AR586</f>
        <v>-1974.6765511871972</v>
      </c>
      <c r="AY586">
        <f t="shared" si="469"/>
        <v>-1.378067832048173</v>
      </c>
      <c r="BA586">
        <f t="shared" si="502"/>
        <v>0.63027403456038134</v>
      </c>
      <c r="BB586">
        <f t="shared" ref="BB586:BB649" si="514">20*LOG(BA586)</f>
        <v>-4.0094116832667179</v>
      </c>
      <c r="BC586">
        <f t="shared" ref="BC586:BC649" si="515">AV586-AY586</f>
        <v>-1.6397779444046947</v>
      </c>
      <c r="BD586">
        <f t="shared" si="503"/>
        <v>-273.95235566038298</v>
      </c>
      <c r="BF586">
        <f t="shared" si="504"/>
        <v>-71.592895042530643</v>
      </c>
      <c r="BG586">
        <f t="shared" si="505"/>
        <v>-249.67443465378571</v>
      </c>
      <c r="BH586">
        <f t="shared" ref="BH586:BH649" si="516">IF(BG586&gt;180,BG586-180,BG586+180)</f>
        <v>-69.67443465378571</v>
      </c>
      <c r="BI586">
        <f t="shared" ref="BI586:BI649" si="517">IF(BH586&gt;180,BH586-360,BH586)</f>
        <v>-69.67443465378571</v>
      </c>
      <c r="BJ586">
        <f t="shared" si="506"/>
        <v>0</v>
      </c>
      <c r="BK586">
        <f t="shared" ref="BK586:BK649" si="518">IF(BJ586&gt;0,BI586,0)</f>
        <v>0</v>
      </c>
      <c r="BM586">
        <f t="shared" ref="BM586:BM649" si="519">20*LOG(J586*F586*C586)</f>
        <v>-67.583483359263923</v>
      </c>
      <c r="BN586">
        <f t="shared" si="507"/>
        <v>-155.72207899340273</v>
      </c>
      <c r="BQ586" s="56">
        <f t="shared" ref="BQ586:BQ649" si="520">20*LOG(BA586*7)</f>
        <v>12.892549117018419</v>
      </c>
    </row>
    <row r="587" spans="1:69" x14ac:dyDescent="0.2">
      <c r="A587">
        <f t="shared" si="472"/>
        <v>1865000</v>
      </c>
      <c r="B587">
        <f t="shared" si="508"/>
        <v>1865</v>
      </c>
      <c r="C587">
        <f t="shared" si="477"/>
        <v>1.0965760070090687</v>
      </c>
      <c r="D587">
        <f t="shared" si="478"/>
        <v>0.42283446520975221</v>
      </c>
      <c r="F587">
        <f t="shared" si="479"/>
        <v>2.5267360393675813E-5</v>
      </c>
      <c r="G587">
        <f t="shared" si="480"/>
        <v>1.8937902678478719E-3</v>
      </c>
      <c r="H587">
        <f t="shared" si="481"/>
        <v>-3.1396988597321522</v>
      </c>
      <c r="J587">
        <f t="shared" si="482"/>
        <v>15</v>
      </c>
      <c r="M587">
        <f t="shared" si="483"/>
        <v>1.2100529067035717E-4</v>
      </c>
      <c r="N587">
        <f t="shared" si="484"/>
        <v>-1.5707963250000001</v>
      </c>
      <c r="O587">
        <f t="shared" si="485"/>
        <v>1750.3389447657466</v>
      </c>
      <c r="P587">
        <f t="shared" si="486"/>
        <v>1.5702250088467979</v>
      </c>
      <c r="Q587">
        <f t="shared" si="487"/>
        <v>260.46806128425851</v>
      </c>
      <c r="R587">
        <f t="shared" si="488"/>
        <v>1.5669570750581734</v>
      </c>
      <c r="S587">
        <f t="shared" si="489"/>
        <v>0.13473491716840277</v>
      </c>
      <c r="T587">
        <f t="shared" si="490"/>
        <v>-1.4356503913821481</v>
      </c>
      <c r="U587">
        <f t="shared" si="491"/>
        <v>0.12340633084966851</v>
      </c>
      <c r="V587">
        <f t="shared" si="492"/>
        <v>-1.4470746013408744</v>
      </c>
      <c r="X587">
        <f t="shared" si="509"/>
        <v>-68.376230690404881</v>
      </c>
      <c r="Y587">
        <f t="shared" si="493"/>
        <v>-231.08554608481182</v>
      </c>
      <c r="Z587">
        <f t="shared" si="510"/>
        <v>-51.085546084811824</v>
      </c>
      <c r="AC587">
        <v>1</v>
      </c>
      <c r="AD587">
        <f t="shared" si="494"/>
        <v>1750.3386591067649</v>
      </c>
      <c r="AE587">
        <f t="shared" si="495"/>
        <v>-3.6919286060216923</v>
      </c>
      <c r="AF587">
        <f t="shared" si="496"/>
        <v>0.45911674810070996</v>
      </c>
      <c r="AG587">
        <f t="shared" si="473"/>
        <v>57.792835731349399</v>
      </c>
      <c r="AH587">
        <f t="shared" si="474"/>
        <v>-466.91179170980445</v>
      </c>
      <c r="AJ587">
        <f t="shared" si="497"/>
        <v>18000</v>
      </c>
      <c r="AK587">
        <f t="shared" si="498"/>
        <v>132377.49055497959</v>
      </c>
      <c r="AL587">
        <v>1</v>
      </c>
      <c r="AM587">
        <f t="shared" si="499"/>
        <v>260.46614165603222</v>
      </c>
      <c r="AN587">
        <f t="shared" si="475"/>
        <v>508.49083243527173</v>
      </c>
      <c r="AO587">
        <f t="shared" si="476"/>
        <v>-67.154636899654164</v>
      </c>
      <c r="AQ587">
        <f t="shared" si="500"/>
        <v>7.1875736052459508E-4</v>
      </c>
      <c r="AR587">
        <f t="shared" si="501"/>
        <v>-2.6809649547567398</v>
      </c>
      <c r="AT587">
        <f t="shared" si="470"/>
        <v>-1251.7326115105966</v>
      </c>
      <c r="AU587">
        <f t="shared" si="471"/>
        <v>-155.27616351876799</v>
      </c>
      <c r="AV587">
        <f t="shared" si="511"/>
        <v>-3.0181741495755472</v>
      </c>
      <c r="AW587">
        <f t="shared" si="512"/>
        <v>386.02220577388834</v>
      </c>
      <c r="AX587">
        <f t="shared" si="513"/>
        <v>-1969.4160839702217</v>
      </c>
      <c r="AY587">
        <f t="shared" ref="AY587:AY650" si="521">ATAN2(AW587,AX587)</f>
        <v>-1.3772417195134088</v>
      </c>
      <c r="BA587">
        <f t="shared" si="502"/>
        <v>0.62849778806468171</v>
      </c>
      <c r="BB587">
        <f t="shared" si="514"/>
        <v>-4.0339249286294736</v>
      </c>
      <c r="BC587">
        <f t="shared" si="515"/>
        <v>-1.6409324300621384</v>
      </c>
      <c r="BD587">
        <f t="shared" si="503"/>
        <v>-274.01850281613844</v>
      </c>
      <c r="BF587">
        <f t="shared" si="504"/>
        <v>-71.660127464403899</v>
      </c>
      <c r="BG587">
        <f t="shared" si="505"/>
        <v>-249.6833663095108</v>
      </c>
      <c r="BH587">
        <f t="shared" si="516"/>
        <v>-69.683366309510802</v>
      </c>
      <c r="BI587">
        <f t="shared" si="517"/>
        <v>-69.683366309510802</v>
      </c>
      <c r="BJ587">
        <f t="shared" si="506"/>
        <v>0</v>
      </c>
      <c r="BK587">
        <f t="shared" si="518"/>
        <v>0</v>
      </c>
      <c r="BM587">
        <f t="shared" si="519"/>
        <v>-67.626202535774439</v>
      </c>
      <c r="BN587">
        <f t="shared" si="507"/>
        <v>-155.66486349337237</v>
      </c>
      <c r="BQ587" s="56">
        <f t="shared" si="520"/>
        <v>12.868035871655664</v>
      </c>
    </row>
    <row r="588" spans="1:69" x14ac:dyDescent="0.2">
      <c r="A588">
        <f t="shared" si="472"/>
        <v>1870000</v>
      </c>
      <c r="B588">
        <f t="shared" si="508"/>
        <v>1870</v>
      </c>
      <c r="C588">
        <f t="shared" si="477"/>
        <v>1.0970715894772929</v>
      </c>
      <c r="D588">
        <f t="shared" si="478"/>
        <v>0.42383724936143413</v>
      </c>
      <c r="F588">
        <f t="shared" si="479"/>
        <v>2.5132418277013925E-5</v>
      </c>
      <c r="G588">
        <f t="shared" si="480"/>
        <v>1.8887264122328638E-3</v>
      </c>
      <c r="H588">
        <f t="shared" si="481"/>
        <v>-3.1397039235877675</v>
      </c>
      <c r="J588">
        <f t="shared" si="482"/>
        <v>15</v>
      </c>
      <c r="M588">
        <f t="shared" si="483"/>
        <v>1.2068174711241502E-4</v>
      </c>
      <c r="N588">
        <f t="shared" si="484"/>
        <v>-1.5707963250000001</v>
      </c>
      <c r="O588">
        <f t="shared" si="485"/>
        <v>1755.0315409432578</v>
      </c>
      <c r="P588">
        <f t="shared" si="486"/>
        <v>1.5702265364345633</v>
      </c>
      <c r="Q588">
        <f t="shared" si="487"/>
        <v>261.16635679947177</v>
      </c>
      <c r="R588">
        <f t="shared" si="488"/>
        <v>1.5669673403366795</v>
      </c>
      <c r="S588">
        <f t="shared" si="489"/>
        <v>0.13438117751320852</v>
      </c>
      <c r="T588">
        <f t="shared" si="490"/>
        <v>-1.4360073775742395</v>
      </c>
      <c r="U588">
        <f t="shared" si="491"/>
        <v>0.12308137262133229</v>
      </c>
      <c r="V588">
        <f t="shared" si="492"/>
        <v>-1.447402055948108</v>
      </c>
      <c r="X588">
        <f t="shared" si="509"/>
        <v>-68.441299495385266</v>
      </c>
      <c r="Y588">
        <f t="shared" si="493"/>
        <v>-231.06692081035354</v>
      </c>
      <c r="Z588">
        <f t="shared" si="510"/>
        <v>-51.066920810353537</v>
      </c>
      <c r="AC588">
        <v>1</v>
      </c>
      <c r="AD588">
        <f t="shared" si="494"/>
        <v>1755.03125604807</v>
      </c>
      <c r="AE588">
        <f t="shared" si="495"/>
        <v>-3.7117510058714589</v>
      </c>
      <c r="AF588">
        <f t="shared" si="496"/>
        <v>0.46034762410098001</v>
      </c>
      <c r="AG588">
        <f t="shared" si="473"/>
        <v>57.488871891931076</v>
      </c>
      <c r="AH588">
        <f t="shared" si="474"/>
        <v>-465.70106338653352</v>
      </c>
      <c r="AJ588">
        <f t="shared" si="497"/>
        <v>18000</v>
      </c>
      <c r="AK588">
        <f t="shared" si="498"/>
        <v>132732.38999346481</v>
      </c>
      <c r="AL588">
        <v>1</v>
      </c>
      <c r="AM588">
        <f t="shared" si="499"/>
        <v>261.16444230390363</v>
      </c>
      <c r="AN588">
        <f t="shared" si="475"/>
        <v>508.48945555632747</v>
      </c>
      <c r="AO588">
        <f t="shared" si="476"/>
        <v>-66.975084319057885</v>
      </c>
      <c r="AQ588">
        <f t="shared" si="500"/>
        <v>7.1491887708263909E-4</v>
      </c>
      <c r="AR588">
        <f t="shared" si="501"/>
        <v>-2.6737966002890703</v>
      </c>
      <c r="AT588">
        <f t="shared" si="470"/>
        <v>-1245.1488201541804</v>
      </c>
      <c r="AU588">
        <f t="shared" si="471"/>
        <v>-154.04648870039171</v>
      </c>
      <c r="AV588">
        <f t="shared" si="511"/>
        <v>-3.0185007934305652</v>
      </c>
      <c r="AW588">
        <f t="shared" si="512"/>
        <v>386.67945783848165</v>
      </c>
      <c r="AX588">
        <f t="shared" si="513"/>
        <v>-1964.1834854464514</v>
      </c>
      <c r="AY588">
        <f t="shared" si="521"/>
        <v>-1.3764167660341546</v>
      </c>
      <c r="BA588">
        <f t="shared" si="502"/>
        <v>0.6267306310515528</v>
      </c>
      <c r="BB588">
        <f t="shared" si="514"/>
        <v>-4.058381578425224</v>
      </c>
      <c r="BC588">
        <f t="shared" si="515"/>
        <v>-1.6420840273964106</v>
      </c>
      <c r="BD588">
        <f t="shared" si="503"/>
        <v>-274.08448448316619</v>
      </c>
      <c r="BF588">
        <f t="shared" si="504"/>
        <v>-71.727171448323048</v>
      </c>
      <c r="BG588">
        <f t="shared" si="505"/>
        <v>-249.69218281437409</v>
      </c>
      <c r="BH588">
        <f t="shared" si="516"/>
        <v>-69.692182814374092</v>
      </c>
      <c r="BI588">
        <f t="shared" si="517"/>
        <v>-69.692182814374092</v>
      </c>
      <c r="BJ588">
        <f t="shared" si="506"/>
        <v>0</v>
      </c>
      <c r="BK588">
        <f t="shared" si="518"/>
        <v>0</v>
      </c>
      <c r="BM588">
        <f t="shared" si="519"/>
        <v>-67.668789869897822</v>
      </c>
      <c r="BN588">
        <f t="shared" si="507"/>
        <v>-155.6076983312079</v>
      </c>
      <c r="BQ588" s="56">
        <f t="shared" si="520"/>
        <v>12.843579221859914</v>
      </c>
    </row>
    <row r="589" spans="1:69" x14ac:dyDescent="0.2">
      <c r="A589">
        <f t="shared" si="472"/>
        <v>1875000</v>
      </c>
      <c r="B589">
        <f t="shared" si="508"/>
        <v>1875</v>
      </c>
      <c r="C589">
        <f t="shared" si="477"/>
        <v>1.0975682741375505</v>
      </c>
      <c r="D589">
        <f t="shared" si="478"/>
        <v>0.42483912693617937</v>
      </c>
      <c r="F589">
        <f t="shared" si="479"/>
        <v>2.4998554291037846E-5</v>
      </c>
      <c r="G589">
        <f t="shared" si="480"/>
        <v>1.8836895658022044E-3</v>
      </c>
      <c r="H589">
        <f t="shared" si="481"/>
        <v>-3.1397089604341981</v>
      </c>
      <c r="J589">
        <f t="shared" si="482"/>
        <v>15</v>
      </c>
      <c r="M589">
        <f t="shared" si="483"/>
        <v>1.2035992912011525E-4</v>
      </c>
      <c r="N589">
        <f t="shared" si="484"/>
        <v>-1.5707963250000001</v>
      </c>
      <c r="O589">
        <f t="shared" si="485"/>
        <v>1759.7241371248424</v>
      </c>
      <c r="P589">
        <f t="shared" si="486"/>
        <v>1.5702280558751969</v>
      </c>
      <c r="Q589">
        <f t="shared" si="487"/>
        <v>261.86465234205895</v>
      </c>
      <c r="R589">
        <f t="shared" si="488"/>
        <v>1.5669775508678343</v>
      </c>
      <c r="S589">
        <f t="shared" si="489"/>
        <v>0.13402927349836999</v>
      </c>
      <c r="T589">
        <f t="shared" si="490"/>
        <v>-1.4363624941317723</v>
      </c>
      <c r="U589">
        <f t="shared" si="491"/>
        <v>0.12275810822360331</v>
      </c>
      <c r="V589">
        <f t="shared" si="492"/>
        <v>-1.4477277905180348</v>
      </c>
      <c r="X589">
        <f t="shared" si="509"/>
        <v>-68.506181164186174</v>
      </c>
      <c r="Y589">
        <f t="shared" si="493"/>
        <v>-231.04814386195582</v>
      </c>
      <c r="Z589">
        <f t="shared" si="510"/>
        <v>-51.048143861955822</v>
      </c>
      <c r="AC589">
        <v>1</v>
      </c>
      <c r="AD589">
        <f t="shared" si="494"/>
        <v>1759.7238529893748</v>
      </c>
      <c r="AE589">
        <f t="shared" si="495"/>
        <v>-3.7316264777422425</v>
      </c>
      <c r="AF589">
        <f t="shared" si="496"/>
        <v>0.46157850010125001</v>
      </c>
      <c r="AG589">
        <f t="shared" si="473"/>
        <v>57.187287659600784</v>
      </c>
      <c r="AH589">
        <f t="shared" si="474"/>
        <v>-464.49649793869992</v>
      </c>
      <c r="AJ589">
        <f t="shared" si="497"/>
        <v>18000</v>
      </c>
      <c r="AK589">
        <f t="shared" si="498"/>
        <v>133087.28943195002</v>
      </c>
      <c r="AL589">
        <v>1</v>
      </c>
      <c r="AM589">
        <f t="shared" si="499"/>
        <v>261.86274295177503</v>
      </c>
      <c r="AN589">
        <f t="shared" si="475"/>
        <v>508.48808967750739</v>
      </c>
      <c r="AO589">
        <f t="shared" si="476"/>
        <v>-66.796489310217581</v>
      </c>
      <c r="AQ589">
        <f t="shared" si="500"/>
        <v>7.1111106054321351E-4</v>
      </c>
      <c r="AR589">
        <f t="shared" si="501"/>
        <v>-2.6666664770370505</v>
      </c>
      <c r="AT589">
        <f t="shared" si="470"/>
        <v>-1238.6165732414631</v>
      </c>
      <c r="AU589">
        <f t="shared" si="471"/>
        <v>-152.82973151179979</v>
      </c>
      <c r="AV589">
        <f t="shared" si="511"/>
        <v>-3.0188257215722856</v>
      </c>
      <c r="AW589">
        <f t="shared" si="512"/>
        <v>387.33141091560117</v>
      </c>
      <c r="AX589">
        <f t="shared" si="513"/>
        <v>-1958.9785353726243</v>
      </c>
      <c r="AY589">
        <f t="shared" si="521"/>
        <v>-1.3755929643318716</v>
      </c>
      <c r="BA589">
        <f t="shared" si="502"/>
        <v>0.62497249306621316</v>
      </c>
      <c r="BB589">
        <f t="shared" si="514"/>
        <v>-4.0827819370367706</v>
      </c>
      <c r="BC589">
        <f t="shared" si="515"/>
        <v>-1.643232757240414</v>
      </c>
      <c r="BD589">
        <f t="shared" si="503"/>
        <v>-274.15030185510346</v>
      </c>
      <c r="BF589">
        <f t="shared" si="504"/>
        <v>-71.794027987659589</v>
      </c>
      <c r="BG589">
        <f t="shared" si="505"/>
        <v>-249.70088541966695</v>
      </c>
      <c r="BH589">
        <f t="shared" si="516"/>
        <v>-69.700885419666946</v>
      </c>
      <c r="BI589">
        <f t="shared" si="517"/>
        <v>-69.700885419666946</v>
      </c>
      <c r="BJ589">
        <f t="shared" si="506"/>
        <v>0</v>
      </c>
      <c r="BK589">
        <f t="shared" si="518"/>
        <v>0</v>
      </c>
      <c r="BM589">
        <f t="shared" si="519"/>
        <v>-67.711246050622819</v>
      </c>
      <c r="BN589">
        <f t="shared" si="507"/>
        <v>-155.55058356456345</v>
      </c>
      <c r="BQ589" s="56">
        <f t="shared" si="520"/>
        <v>12.819178863248366</v>
      </c>
    </row>
    <row r="590" spans="1:69" x14ac:dyDescent="0.2">
      <c r="A590">
        <f t="shared" si="472"/>
        <v>1880000</v>
      </c>
      <c r="B590">
        <f t="shared" si="508"/>
        <v>1880</v>
      </c>
      <c r="C590">
        <f t="shared" si="477"/>
        <v>1.0980660594941889</v>
      </c>
      <c r="D590">
        <f t="shared" si="478"/>
        <v>0.42584009715427429</v>
      </c>
      <c r="F590">
        <f t="shared" si="479"/>
        <v>2.4865756981090959E-5</v>
      </c>
      <c r="G590">
        <f t="shared" si="480"/>
        <v>1.8786795130363732E-3</v>
      </c>
      <c r="H590">
        <f t="shared" si="481"/>
        <v>-3.1397139704869637</v>
      </c>
      <c r="J590">
        <f t="shared" si="482"/>
        <v>15</v>
      </c>
      <c r="M590">
        <f t="shared" si="483"/>
        <v>1.2003982292564685E-4</v>
      </c>
      <c r="N590">
        <f t="shared" si="484"/>
        <v>-1.5707963250000001</v>
      </c>
      <c r="O590">
        <f t="shared" si="485"/>
        <v>1764.4167333104683</v>
      </c>
      <c r="P590">
        <f t="shared" si="486"/>
        <v>1.5702295672337017</v>
      </c>
      <c r="Q590">
        <f t="shared" si="487"/>
        <v>262.56294791180159</v>
      </c>
      <c r="R590">
        <f t="shared" si="488"/>
        <v>1.566987707088443</v>
      </c>
      <c r="S590">
        <f t="shared" si="489"/>
        <v>0.1336791910058085</v>
      </c>
      <c r="T590">
        <f t="shared" si="490"/>
        <v>-1.4367157556152022</v>
      </c>
      <c r="U590">
        <f t="shared" si="491"/>
        <v>0.12243652455026169</v>
      </c>
      <c r="V590">
        <f t="shared" si="492"/>
        <v>-1.448051818498963</v>
      </c>
      <c r="X590">
        <f t="shared" si="509"/>
        <v>-68.570876647138817</v>
      </c>
      <c r="Y590">
        <f t="shared" si="493"/>
        <v>-231.02921687267371</v>
      </c>
      <c r="Z590">
        <f t="shared" si="510"/>
        <v>-51.029216872673715</v>
      </c>
      <c r="AC590">
        <v>1</v>
      </c>
      <c r="AD590">
        <f t="shared" si="494"/>
        <v>1764.4164499306798</v>
      </c>
      <c r="AE590">
        <f t="shared" si="495"/>
        <v>-3.7515550216340428</v>
      </c>
      <c r="AF590">
        <f t="shared" si="496"/>
        <v>0.46280937610152001</v>
      </c>
      <c r="AG590">
        <f t="shared" si="473"/>
        <v>56.888058387724442</v>
      </c>
      <c r="AH590">
        <f t="shared" si="474"/>
        <v>-463.29804923494942</v>
      </c>
      <c r="AJ590">
        <f t="shared" si="497"/>
        <v>18000</v>
      </c>
      <c r="AK590">
        <f t="shared" si="498"/>
        <v>133442.1888704352</v>
      </c>
      <c r="AL590">
        <v>1</v>
      </c>
      <c r="AM590">
        <f t="shared" si="499"/>
        <v>262.56104359964644</v>
      </c>
      <c r="AN590">
        <f t="shared" si="475"/>
        <v>508.48673468194721</v>
      </c>
      <c r="AO590">
        <f t="shared" si="476"/>
        <v>-66.618844233378141</v>
      </c>
      <c r="AQ590">
        <f t="shared" si="500"/>
        <v>7.073335850969341E-4</v>
      </c>
      <c r="AR590">
        <f t="shared" si="501"/>
        <v>-2.6595742799644722</v>
      </c>
      <c r="AT590">
        <f t="shared" si="470"/>
        <v>-1232.1353368686966</v>
      </c>
      <c r="AU590">
        <f t="shared" si="471"/>
        <v>-151.62572319524287</v>
      </c>
      <c r="AV590">
        <f t="shared" si="511"/>
        <v>-3.0191489474145166</v>
      </c>
      <c r="AW590">
        <f t="shared" si="512"/>
        <v>387.97812192566022</v>
      </c>
      <c r="AX590">
        <f t="shared" si="513"/>
        <v>-1953.8010158138688</v>
      </c>
      <c r="AY590">
        <f t="shared" si="521"/>
        <v>-1.3747703072123691</v>
      </c>
      <c r="BA590">
        <f t="shared" si="502"/>
        <v>0.62322330437914941</v>
      </c>
      <c r="BB590">
        <f t="shared" si="514"/>
        <v>-4.1071263065160561</v>
      </c>
      <c r="BC590">
        <f t="shared" si="515"/>
        <v>-1.6443786402021474</v>
      </c>
      <c r="BD590">
        <f t="shared" si="503"/>
        <v>-274.2159561127018</v>
      </c>
      <c r="BF590">
        <f t="shared" si="504"/>
        <v>-71.860698068116008</v>
      </c>
      <c r="BG590">
        <f t="shared" si="505"/>
        <v>-249.70947536316348</v>
      </c>
      <c r="BH590">
        <f t="shared" si="516"/>
        <v>-69.709475363163477</v>
      </c>
      <c r="BI590">
        <f t="shared" si="517"/>
        <v>-69.709475363163477</v>
      </c>
      <c r="BJ590">
        <f t="shared" si="506"/>
        <v>0</v>
      </c>
      <c r="BK590">
        <f t="shared" si="518"/>
        <v>0</v>
      </c>
      <c r="BM590">
        <f t="shared" si="519"/>
        <v>-67.753571761599972</v>
      </c>
      <c r="BN590">
        <f t="shared" si="507"/>
        <v>-155.49351925046173</v>
      </c>
      <c r="BQ590" s="56">
        <f t="shared" si="520"/>
        <v>12.794834493769081</v>
      </c>
    </row>
    <row r="591" spans="1:69" x14ac:dyDescent="0.2">
      <c r="A591">
        <f t="shared" si="472"/>
        <v>1885000</v>
      </c>
      <c r="B591">
        <f t="shared" si="508"/>
        <v>1885</v>
      </c>
      <c r="C591">
        <f t="shared" si="477"/>
        <v>1.0985649440509542</v>
      </c>
      <c r="D591">
        <f t="shared" si="478"/>
        <v>0.42684015924468977</v>
      </c>
      <c r="F591">
        <f t="shared" si="479"/>
        <v>2.4734015044240482E-5</v>
      </c>
      <c r="G591">
        <f t="shared" si="480"/>
        <v>1.8736960407028018E-3</v>
      </c>
      <c r="H591">
        <f t="shared" si="481"/>
        <v>-3.1397189539592976</v>
      </c>
      <c r="J591">
        <f t="shared" si="482"/>
        <v>15</v>
      </c>
      <c r="M591">
        <f t="shared" si="483"/>
        <v>1.1972141490727642E-4</v>
      </c>
      <c r="N591">
        <f t="shared" si="484"/>
        <v>-1.5707963250000001</v>
      </c>
      <c r="O591">
        <f t="shared" si="485"/>
        <v>1769.1093295001026</v>
      </c>
      <c r="P591">
        <f t="shared" si="486"/>
        <v>1.570231070574392</v>
      </c>
      <c r="Q591">
        <f t="shared" si="487"/>
        <v>263.26124350848363</v>
      </c>
      <c r="R591">
        <f t="shared" si="488"/>
        <v>1.5669978094306769</v>
      </c>
      <c r="S591">
        <f t="shared" si="489"/>
        <v>0.13333091606045172</v>
      </c>
      <c r="T591">
        <f t="shared" si="490"/>
        <v>-1.4370671764351095</v>
      </c>
      <c r="U591">
        <f t="shared" si="491"/>
        <v>0.12211660862887205</v>
      </c>
      <c r="V591">
        <f t="shared" si="492"/>
        <v>-1.4483741532000851</v>
      </c>
      <c r="X591">
        <f t="shared" si="509"/>
        <v>-68.635386887491691</v>
      </c>
      <c r="Y591">
        <f t="shared" si="493"/>
        <v>-231.01014145868081</v>
      </c>
      <c r="Z591">
        <f t="shared" si="510"/>
        <v>-51.010141458680806</v>
      </c>
      <c r="AC591">
        <v>1</v>
      </c>
      <c r="AD591">
        <f t="shared" si="494"/>
        <v>1769.1090468719849</v>
      </c>
      <c r="AE591">
        <f t="shared" si="495"/>
        <v>-3.7715366375468604</v>
      </c>
      <c r="AF591">
        <f t="shared" si="496"/>
        <v>0.46404025210179001</v>
      </c>
      <c r="AG591">
        <f t="shared" si="473"/>
        <v>56.591159746275814</v>
      </c>
      <c r="AH591">
        <f t="shared" si="474"/>
        <v>-462.10567159443008</v>
      </c>
      <c r="AJ591">
        <f t="shared" si="497"/>
        <v>18000</v>
      </c>
      <c r="AK591">
        <f t="shared" si="498"/>
        <v>133797.08830892039</v>
      </c>
      <c r="AL591">
        <v>1</v>
      </c>
      <c r="AM591">
        <f t="shared" si="499"/>
        <v>263.25934424751779</v>
      </c>
      <c r="AN591">
        <f t="shared" si="475"/>
        <v>508.48539045433097</v>
      </c>
      <c r="AO591">
        <f t="shared" si="476"/>
        <v>-66.442141529837045</v>
      </c>
      <c r="AQ591">
        <f t="shared" si="500"/>
        <v>7.0358612924975692E-4</v>
      </c>
      <c r="AR591">
        <f t="shared" si="501"/>
        <v>-2.6525197072715838</v>
      </c>
      <c r="AT591">
        <f t="shared" si="470"/>
        <v>-1225.7045839911607</v>
      </c>
      <c r="AU591">
        <f t="shared" si="471"/>
        <v>-150.43429762513244</v>
      </c>
      <c r="AV591">
        <f t="shared" si="511"/>
        <v>-3.019470484232317</v>
      </c>
      <c r="AW591">
        <f t="shared" si="512"/>
        <v>388.6196470255037</v>
      </c>
      <c r="AX591">
        <f t="shared" si="513"/>
        <v>-1948.6507111136145</v>
      </c>
      <c r="AY591">
        <f t="shared" si="521"/>
        <v>-1.3739487875646208</v>
      </c>
      <c r="BA591">
        <f t="shared" si="502"/>
        <v>0.62148299597688594</v>
      </c>
      <c r="BB591">
        <f t="shared" si="514"/>
        <v>-4.1314149866070684</v>
      </c>
      <c r="BC591">
        <f t="shared" si="515"/>
        <v>-1.6455216966676962</v>
      </c>
      <c r="BD591">
        <f t="shared" si="503"/>
        <v>-274.28144842399774</v>
      </c>
      <c r="BF591">
        <f t="shared" si="504"/>
        <v>-71.927182667805027</v>
      </c>
      <c r="BG591">
        <f t="shared" si="505"/>
        <v>-249.71795386929449</v>
      </c>
      <c r="BH591">
        <f t="shared" si="516"/>
        <v>-69.71795386929449</v>
      </c>
      <c r="BI591">
        <f t="shared" si="517"/>
        <v>-69.71795386929449</v>
      </c>
      <c r="BJ591">
        <f t="shared" si="506"/>
        <v>0</v>
      </c>
      <c r="BK591">
        <f t="shared" si="518"/>
        <v>0</v>
      </c>
      <c r="BM591">
        <f t="shared" si="519"/>
        <v>-67.795767681197958</v>
      </c>
      <c r="BN591">
        <f t="shared" si="507"/>
        <v>-155.4365054452968</v>
      </c>
      <c r="BQ591" s="56">
        <f t="shared" si="520"/>
        <v>12.770545813678067</v>
      </c>
    </row>
    <row r="592" spans="1:69" x14ac:dyDescent="0.2">
      <c r="A592">
        <f>A591+5000</f>
        <v>1890000</v>
      </c>
      <c r="B592">
        <f t="shared" si="508"/>
        <v>1890</v>
      </c>
      <c r="C592">
        <f t="shared" si="477"/>
        <v>1.0990649263110088</v>
      </c>
      <c r="D592">
        <f t="shared" si="478"/>
        <v>0.42783931244506107</v>
      </c>
      <c r="F592">
        <f t="shared" si="479"/>
        <v>2.4603317326872236E-5</v>
      </c>
      <c r="G592">
        <f t="shared" si="480"/>
        <v>1.8687389378256212E-3</v>
      </c>
      <c r="H592">
        <f t="shared" si="481"/>
        <v>-3.1397239110621746</v>
      </c>
      <c r="J592">
        <f t="shared" si="482"/>
        <v>15</v>
      </c>
      <c r="M592">
        <f t="shared" si="483"/>
        <v>1.1940469158741593E-4</v>
      </c>
      <c r="N592">
        <f t="shared" si="484"/>
        <v>-1.5707963250000001</v>
      </c>
      <c r="O592">
        <f t="shared" si="485"/>
        <v>1773.8019256937146</v>
      </c>
      <c r="P592">
        <f t="shared" si="486"/>
        <v>1.5702325659609015</v>
      </c>
      <c r="Q592">
        <f t="shared" si="487"/>
        <v>263.95953913189123</v>
      </c>
      <c r="R592">
        <f t="shared" si="488"/>
        <v>1.5670078583221336</v>
      </c>
      <c r="S592">
        <f t="shared" si="489"/>
        <v>0.13298443482844594</v>
      </c>
      <c r="T592">
        <f t="shared" si="490"/>
        <v>-1.4374167708541119</v>
      </c>
      <c r="U592">
        <f t="shared" si="491"/>
        <v>0.12179834761909525</v>
      </c>
      <c r="V592">
        <f t="shared" si="492"/>
        <v>-1.4486948077932642</v>
      </c>
      <c r="X592">
        <f t="shared" si="509"/>
        <v>-68.699712821481114</v>
      </c>
      <c r="Y592">
        <f t="shared" si="493"/>
        <v>-230.99091921947988</v>
      </c>
      <c r="Z592">
        <f t="shared" si="510"/>
        <v>-50.990919219479878</v>
      </c>
      <c r="AC592">
        <v>1</v>
      </c>
      <c r="AD592">
        <f t="shared" si="494"/>
        <v>1773.8016438132897</v>
      </c>
      <c r="AE592">
        <f t="shared" si="495"/>
        <v>-3.7915713254806942</v>
      </c>
      <c r="AF592">
        <f t="shared" si="496"/>
        <v>0.46527112810206001</v>
      </c>
      <c r="AG592">
        <f t="shared" si="473"/>
        <v>56.296567716994701</v>
      </c>
      <c r="AH592">
        <f t="shared" si="474"/>
        <v>-460.91931978142827</v>
      </c>
      <c r="AJ592">
        <f t="shared" si="497"/>
        <v>18000</v>
      </c>
      <c r="AK592">
        <f t="shared" si="498"/>
        <v>134151.9877474056</v>
      </c>
      <c r="AL592">
        <v>1</v>
      </c>
      <c r="AM592">
        <f t="shared" si="499"/>
        <v>263.95764489538925</v>
      </c>
      <c r="AN592">
        <f t="shared" si="475"/>
        <v>508.48405688086575</v>
      </c>
      <c r="AO592">
        <f t="shared" si="476"/>
        <v>-66.266373720872181</v>
      </c>
      <c r="AQ592">
        <f t="shared" si="500"/>
        <v>6.9986837575457185E-4</v>
      </c>
      <c r="AR592">
        <f t="shared" si="501"/>
        <v>-2.6455024603522816</v>
      </c>
      <c r="AT592">
        <f t="shared" si="470"/>
        <v>-1219.3237943182601</v>
      </c>
      <c r="AU592">
        <f t="shared" si="471"/>
        <v>-149.25529126038762</v>
      </c>
      <c r="AV592">
        <f t="shared" si="511"/>
        <v>-3.0197903451637771</v>
      </c>
      <c r="AW592">
        <f t="shared" si="512"/>
        <v>389.25604162068458</v>
      </c>
      <c r="AX592">
        <f t="shared" si="513"/>
        <v>-1943.5274078639734</v>
      </c>
      <c r="AY592">
        <f t="shared" si="521"/>
        <v>-1.3731283983596028</v>
      </c>
      <c r="BA592">
        <f t="shared" si="502"/>
        <v>0.61975149955289544</v>
      </c>
      <c r="BB592">
        <f t="shared" si="514"/>
        <v>-4.1556482747684527</v>
      </c>
      <c r="BC592">
        <f t="shared" si="515"/>
        <v>-1.6466619468041743</v>
      </c>
      <c r="BD592">
        <f t="shared" si="503"/>
        <v>-274.3467799444818</v>
      </c>
      <c r="BF592">
        <f t="shared" si="504"/>
        <v>-71.993482757327712</v>
      </c>
      <c r="BG592">
        <f t="shared" si="505"/>
        <v>-249.72632214931869</v>
      </c>
      <c r="BH592">
        <f t="shared" si="516"/>
        <v>-69.72632214931869</v>
      </c>
      <c r="BI592">
        <f t="shared" si="517"/>
        <v>-69.72632214931869</v>
      </c>
      <c r="BJ592">
        <f t="shared" si="506"/>
        <v>0</v>
      </c>
      <c r="BK592">
        <f t="shared" si="518"/>
        <v>0</v>
      </c>
      <c r="BM592">
        <f t="shared" si="519"/>
        <v>-67.837834482559245</v>
      </c>
      <c r="BN592">
        <f t="shared" si="507"/>
        <v>-155.37954220483689</v>
      </c>
      <c r="BQ592" s="56">
        <f t="shared" si="520"/>
        <v>12.746312525516682</v>
      </c>
    </row>
    <row r="593" spans="1:69" x14ac:dyDescent="0.2">
      <c r="A593">
        <f t="shared" ref="A593:A598" si="522">A592+5000</f>
        <v>1895000</v>
      </c>
      <c r="B593">
        <f t="shared" si="508"/>
        <v>1895</v>
      </c>
      <c r="C593">
        <f t="shared" si="477"/>
        <v>1.0995660047769469</v>
      </c>
      <c r="D593">
        <f t="shared" si="478"/>
        <v>0.42883755600166729</v>
      </c>
      <c r="F593">
        <f t="shared" si="479"/>
        <v>2.4473652822329737E-5</v>
      </c>
      <c r="G593">
        <f t="shared" si="480"/>
        <v>1.8638079956558818E-3</v>
      </c>
      <c r="H593">
        <f t="shared" si="481"/>
        <v>-3.1397288420043443</v>
      </c>
      <c r="J593">
        <f t="shared" si="482"/>
        <v>15</v>
      </c>
      <c r="M593">
        <f t="shared" si="483"/>
        <v>1.1908963963072088E-4</v>
      </c>
      <c r="N593">
        <f t="shared" si="484"/>
        <v>-1.5707963250000001</v>
      </c>
      <c r="O593">
        <f t="shared" si="485"/>
        <v>1778.4945218912719</v>
      </c>
      <c r="P593">
        <f t="shared" si="486"/>
        <v>1.5702340534561918</v>
      </c>
      <c r="Q593">
        <f t="shared" si="487"/>
        <v>264.65783478181282</v>
      </c>
      <c r="R593">
        <f t="shared" si="488"/>
        <v>1.5670178541858986</v>
      </c>
      <c r="S593">
        <f t="shared" si="489"/>
        <v>0.13263973361539483</v>
      </c>
      <c r="T593">
        <f t="shared" si="490"/>
        <v>-1.4377645529887453</v>
      </c>
      <c r="U593">
        <f t="shared" si="491"/>
        <v>0.12148172881102516</v>
      </c>
      <c r="V593">
        <f t="shared" si="492"/>
        <v>-1.4490137953147899</v>
      </c>
      <c r="X593">
        <f t="shared" si="509"/>
        <v>-68.763855378400905</v>
      </c>
      <c r="Y593">
        <f t="shared" si="493"/>
        <v>-230.97155173811026</v>
      </c>
      <c r="Z593">
        <f t="shared" si="510"/>
        <v>-50.971551738110264</v>
      </c>
      <c r="AC593">
        <v>1</v>
      </c>
      <c r="AD593">
        <f t="shared" si="494"/>
        <v>1778.4942407545952</v>
      </c>
      <c r="AE593">
        <f t="shared" si="495"/>
        <v>-3.811659085435545</v>
      </c>
      <c r="AF593">
        <f t="shared" si="496"/>
        <v>0.46650200410233</v>
      </c>
      <c r="AG593">
        <f t="shared" si="473"/>
        <v>56.004258588630485</v>
      </c>
      <c r="AH593">
        <f t="shared" si="474"/>
        <v>-459.73894900007753</v>
      </c>
      <c r="AJ593">
        <f t="shared" si="497"/>
        <v>18000</v>
      </c>
      <c r="AK593">
        <f t="shared" si="498"/>
        <v>134506.88718589081</v>
      </c>
      <c r="AL593">
        <v>1</v>
      </c>
      <c r="AM593">
        <f t="shared" si="499"/>
        <v>264.6559455432606</v>
      </c>
      <c r="AN593">
        <f t="shared" si="475"/>
        <v>508.48273384925801</v>
      </c>
      <c r="AO593">
        <f t="shared" si="476"/>
        <v>-66.091533406687006</v>
      </c>
      <c r="AQ593">
        <f t="shared" si="500"/>
        <v>6.9618001154405696E-4</v>
      </c>
      <c r="AR593">
        <f t="shared" si="501"/>
        <v>-2.638522243751976</v>
      </c>
      <c r="AT593">
        <f t="shared" si="470"/>
        <v>-1212.9924542104691</v>
      </c>
      <c r="AU593">
        <f t="shared" si="471"/>
        <v>-148.08854309776129</v>
      </c>
      <c r="AV593">
        <f t="shared" si="511"/>
        <v>-3.0201085432117702</v>
      </c>
      <c r="AW593">
        <f t="shared" si="512"/>
        <v>389.88736037751295</v>
      </c>
      <c r="AX593">
        <f t="shared" si="513"/>
        <v>-1938.4308948765788</v>
      </c>
      <c r="AY593">
        <f t="shared" si="521"/>
        <v>-1.3723091326491479</v>
      </c>
      <c r="BA593">
        <f t="shared" si="502"/>
        <v>0.61802874749864523</v>
      </c>
      <c r="BB593">
        <f t="shared" si="514"/>
        <v>-4.1798264661958635</v>
      </c>
      <c r="BC593">
        <f t="shared" si="515"/>
        <v>-1.6477994105626224</v>
      </c>
      <c r="BD593">
        <f t="shared" si="503"/>
        <v>-274.41195181726442</v>
      </c>
      <c r="BF593">
        <f t="shared" si="504"/>
        <v>-72.05959929985076</v>
      </c>
      <c r="BG593">
        <f t="shared" si="505"/>
        <v>-249.73458140149191</v>
      </c>
      <c r="BH593">
        <f t="shared" si="516"/>
        <v>-69.734581401491909</v>
      </c>
      <c r="BI593">
        <f t="shared" si="517"/>
        <v>-69.734581401491909</v>
      </c>
      <c r="BJ593">
        <f t="shared" si="506"/>
        <v>0</v>
      </c>
      <c r="BK593">
        <f t="shared" si="518"/>
        <v>0</v>
      </c>
      <c r="BM593">
        <f t="shared" si="519"/>
        <v>-67.879772833654897</v>
      </c>
      <c r="BN593">
        <f t="shared" si="507"/>
        <v>-155.32262958422754</v>
      </c>
      <c r="BQ593" s="56">
        <f t="shared" si="520"/>
        <v>12.722134334089274</v>
      </c>
    </row>
    <row r="594" spans="1:69" x14ac:dyDescent="0.2">
      <c r="A594">
        <f t="shared" si="522"/>
        <v>1900000</v>
      </c>
      <c r="B594">
        <f t="shared" si="508"/>
        <v>1900</v>
      </c>
      <c r="C594">
        <f t="shared" si="477"/>
        <v>1.1000681779508108</v>
      </c>
      <c r="D594">
        <f t="shared" si="478"/>
        <v>0.42983488916941098</v>
      </c>
      <c r="F594">
        <f t="shared" si="479"/>
        <v>2.4345010668596752E-5</v>
      </c>
      <c r="G594">
        <f t="shared" si="480"/>
        <v>1.858903007642253E-3</v>
      </c>
      <c r="H594">
        <f t="shared" si="481"/>
        <v>-3.1397337469923579</v>
      </c>
      <c r="J594">
        <f t="shared" si="482"/>
        <v>15</v>
      </c>
      <c r="M594">
        <f t="shared" si="483"/>
        <v>1.1877624584221899E-4</v>
      </c>
      <c r="N594">
        <f t="shared" si="484"/>
        <v>-1.5707963250000001</v>
      </c>
      <c r="O594">
        <f t="shared" si="485"/>
        <v>1783.1871180927435</v>
      </c>
      <c r="P594">
        <f t="shared" si="486"/>
        <v>1.5702355331225621</v>
      </c>
      <c r="Q594">
        <f t="shared" si="487"/>
        <v>265.35613045803916</v>
      </c>
      <c r="R594">
        <f t="shared" si="488"/>
        <v>1.5670277974406033</v>
      </c>
      <c r="S594">
        <f t="shared" si="489"/>
        <v>0.13229679886462445</v>
      </c>
      <c r="T594">
        <f t="shared" si="490"/>
        <v>-1.4381105368113187</v>
      </c>
      <c r="U594">
        <f t="shared" si="491"/>
        <v>0.12116673962355028</v>
      </c>
      <c r="V594">
        <f t="shared" si="492"/>
        <v>-1.4493311286671107</v>
      </c>
      <c r="X594">
        <f t="shared" si="509"/>
        <v>-68.827815480671163</v>
      </c>
      <c r="Y594">
        <f t="shared" si="493"/>
        <v>-230.95204058135218</v>
      </c>
      <c r="Z594">
        <f t="shared" si="510"/>
        <v>-50.952040581352179</v>
      </c>
      <c r="AC594">
        <v>1</v>
      </c>
      <c r="AD594">
        <f t="shared" si="494"/>
        <v>1783.1868376959001</v>
      </c>
      <c r="AE594">
        <f t="shared" si="495"/>
        <v>-3.8317999174114119</v>
      </c>
      <c r="AF594">
        <f t="shared" si="496"/>
        <v>0.4677328801026</v>
      </c>
      <c r="AG594">
        <f t="shared" si="473"/>
        <v>55.714208952269857</v>
      </c>
      <c r="AH594">
        <f t="shared" si="474"/>
        <v>-458.56451488914155</v>
      </c>
      <c r="AJ594">
        <f t="shared" si="497"/>
        <v>18000</v>
      </c>
      <c r="AK594">
        <f t="shared" si="498"/>
        <v>134861.78662437599</v>
      </c>
      <c r="AL594">
        <v>1</v>
      </c>
      <c r="AM594">
        <f t="shared" si="499"/>
        <v>265.35424619113206</v>
      </c>
      <c r="AN594">
        <f t="shared" si="475"/>
        <v>508.48142124868906</v>
      </c>
      <c r="AO594">
        <f t="shared" si="476"/>
        <v>-65.917613265371841</v>
      </c>
      <c r="AQ594">
        <f t="shared" si="500"/>
        <v>6.9252072766476955E-4</v>
      </c>
      <c r="AR594">
        <f t="shared" si="501"/>
        <v>-2.6315787651261244</v>
      </c>
      <c r="AT594">
        <f t="shared" si="470"/>
        <v>-1206.7100565781025</v>
      </c>
      <c r="AU594">
        <f t="shared" si="471"/>
        <v>-146.93389462612544</v>
      </c>
      <c r="AV594">
        <f t="shared" si="511"/>
        <v>-3.0204250912456798</v>
      </c>
      <c r="AW594">
        <f t="shared" si="512"/>
        <v>390.51365723487669</v>
      </c>
      <c r="AX594">
        <f t="shared" si="513"/>
        <v>-1933.3609631538752</v>
      </c>
      <c r="AY594">
        <f t="shared" si="521"/>
        <v>-1.3714909835648226</v>
      </c>
      <c r="BA594">
        <f t="shared" si="502"/>
        <v>0.61631467289477881</v>
      </c>
      <c r="BB594">
        <f t="shared" si="514"/>
        <v>-4.203949853844045</v>
      </c>
      <c r="BC594">
        <f t="shared" si="515"/>
        <v>-1.6489341076808572</v>
      </c>
      <c r="BD594">
        <f t="shared" si="503"/>
        <v>-274.47696517323925</v>
      </c>
      <c r="BF594">
        <f t="shared" si="504"/>
        <v>-72.125533251182688</v>
      </c>
      <c r="BG594">
        <f t="shared" si="505"/>
        <v>-249.7427328112334</v>
      </c>
      <c r="BH594">
        <f t="shared" si="516"/>
        <v>-69.742732811233395</v>
      </c>
      <c r="BI594">
        <f t="shared" si="517"/>
        <v>-69.742732811233395</v>
      </c>
      <c r="BJ594">
        <f t="shared" si="506"/>
        <v>0</v>
      </c>
      <c r="BK594">
        <f t="shared" si="518"/>
        <v>0</v>
      </c>
      <c r="BM594">
        <f t="shared" si="519"/>
        <v>-67.921583397338651</v>
      </c>
      <c r="BN594">
        <f t="shared" si="507"/>
        <v>-155.2657676379942</v>
      </c>
      <c r="BQ594" s="56">
        <f t="shared" si="520"/>
        <v>12.698010946441091</v>
      </c>
    </row>
    <row r="595" spans="1:69" x14ac:dyDescent="0.2">
      <c r="A595">
        <f t="shared" si="522"/>
        <v>1905000</v>
      </c>
      <c r="B595">
        <f t="shared" si="508"/>
        <v>1905</v>
      </c>
      <c r="C595">
        <f t="shared" si="477"/>
        <v>1.1005714443341075</v>
      </c>
      <c r="D595">
        <f t="shared" si="478"/>
        <v>0.43083131121179724</v>
      </c>
      <c r="F595">
        <f t="shared" si="479"/>
        <v>2.4217380146022383E-5</v>
      </c>
      <c r="G595">
        <f t="shared" si="480"/>
        <v>1.8540237694021741E-3</v>
      </c>
      <c r="H595">
        <f t="shared" si="481"/>
        <v>-3.139738626230598</v>
      </c>
      <c r="J595">
        <f t="shared" si="482"/>
        <v>15</v>
      </c>
      <c r="M595">
        <f t="shared" si="483"/>
        <v>1.1846449716546775E-4</v>
      </c>
      <c r="N595">
        <f t="shared" si="484"/>
        <v>-1.5707963250000001</v>
      </c>
      <c r="O595">
        <f t="shared" si="485"/>
        <v>1787.8797142980989</v>
      </c>
      <c r="P595">
        <f t="shared" si="486"/>
        <v>1.5702370050216572</v>
      </c>
      <c r="Q595">
        <f t="shared" si="487"/>
        <v>266.05442616036311</v>
      </c>
      <c r="R595">
        <f t="shared" si="488"/>
        <v>1.5670376885004844</v>
      </c>
      <c r="S595">
        <f t="shared" si="489"/>
        <v>0.13195561715547335</v>
      </c>
      <c r="T595">
        <f t="shared" si="490"/>
        <v>-1.4384547361517406</v>
      </c>
      <c r="U595">
        <f t="shared" si="491"/>
        <v>0.12085336760274001</v>
      </c>
      <c r="V595">
        <f t="shared" si="492"/>
        <v>-1.4496468206205373</v>
      </c>
      <c r="X595">
        <f t="shared" si="509"/>
        <v>-68.891594043906238</v>
      </c>
      <c r="Y595">
        <f t="shared" si="493"/>
        <v>-230.93238729992848</v>
      </c>
      <c r="Z595">
        <f t="shared" si="510"/>
        <v>-50.932387299928479</v>
      </c>
      <c r="AC595">
        <v>1</v>
      </c>
      <c r="AD595">
        <f t="shared" si="494"/>
        <v>1787.8794346372051</v>
      </c>
      <c r="AE595">
        <f t="shared" si="495"/>
        <v>-3.8519938214082963</v>
      </c>
      <c r="AF595">
        <f t="shared" si="496"/>
        <v>0.46896375610287</v>
      </c>
      <c r="AG595">
        <f t="shared" si="473"/>
        <v>55.426395696746802</v>
      </c>
      <c r="AH595">
        <f t="shared" si="474"/>
        <v>-457.39597351686967</v>
      </c>
      <c r="AJ595">
        <f t="shared" si="497"/>
        <v>18000</v>
      </c>
      <c r="AK595">
        <f t="shared" si="498"/>
        <v>135216.6860628612</v>
      </c>
      <c r="AL595">
        <v>1</v>
      </c>
      <c r="AM595">
        <f t="shared" si="499"/>
        <v>266.05254683900341</v>
      </c>
      <c r="AN595">
        <f t="shared" si="475"/>
        <v>508.48011896979386</v>
      </c>
      <c r="AO595">
        <f t="shared" si="476"/>
        <v>-65.744606051882158</v>
      </c>
      <c r="AQ595">
        <f t="shared" si="500"/>
        <v>6.8889021921244556E-4</v>
      </c>
      <c r="AR595">
        <f t="shared" si="501"/>
        <v>-2.6246717351994175</v>
      </c>
      <c r="AT595">
        <f t="shared" si="470"/>
        <v>-1200.4761007818674</v>
      </c>
      <c r="AU595">
        <f t="shared" si="471"/>
        <v>-145.79118978169288</v>
      </c>
      <c r="AV595">
        <f t="shared" si="511"/>
        <v>-3.020740002003099</v>
      </c>
      <c r="AW595">
        <f t="shared" si="512"/>
        <v>391.13498541584715</v>
      </c>
      <c r="AX595">
        <f t="shared" si="513"/>
        <v>-1928.317405860857</v>
      </c>
      <c r="AY595">
        <f t="shared" si="521"/>
        <v>-1.3706739443168172</v>
      </c>
      <c r="BA595">
        <f t="shared" si="502"/>
        <v>0.61460920950242837</v>
      </c>
      <c r="BB595">
        <f t="shared" si="514"/>
        <v>-4.2280187284486646</v>
      </c>
      <c r="BC595">
        <f t="shared" si="515"/>
        <v>-1.6500660576862818</v>
      </c>
      <c r="BD595">
        <f t="shared" si="503"/>
        <v>-274.54182113124398</v>
      </c>
      <c r="BF595">
        <f t="shared" si="504"/>
        <v>-72.191285559849078</v>
      </c>
      <c r="BG595">
        <f t="shared" si="505"/>
        <v>-249.75077755128908</v>
      </c>
      <c r="BH595">
        <f t="shared" si="516"/>
        <v>-69.750777551289076</v>
      </c>
      <c r="BI595">
        <f t="shared" si="517"/>
        <v>-69.750777551289076</v>
      </c>
      <c r="BJ595">
        <f t="shared" si="506"/>
        <v>0</v>
      </c>
      <c r="BK595">
        <f t="shared" si="518"/>
        <v>0</v>
      </c>
      <c r="BM595">
        <f t="shared" si="519"/>
        <v>-67.963266831400404</v>
      </c>
      <c r="BN595">
        <f t="shared" si="507"/>
        <v>-155.20895642004515</v>
      </c>
      <c r="BQ595" s="56">
        <f t="shared" si="520"/>
        <v>12.673942071836473</v>
      </c>
    </row>
    <row r="596" spans="1:69" x14ac:dyDescent="0.2">
      <c r="A596">
        <f t="shared" si="522"/>
        <v>1910000</v>
      </c>
      <c r="B596">
        <f t="shared" si="508"/>
        <v>1910</v>
      </c>
      <c r="C596">
        <f t="shared" si="477"/>
        <v>1.101075802427824</v>
      </c>
      <c r="D596">
        <f t="shared" si="478"/>
        <v>0.43182682140091333</v>
      </c>
      <c r="F596">
        <f t="shared" si="479"/>
        <v>2.4090750675087766E-5</v>
      </c>
      <c r="G596">
        <f t="shared" si="480"/>
        <v>1.8491700786934656E-3</v>
      </c>
      <c r="H596">
        <f t="shared" si="481"/>
        <v>-3.1397434799213069</v>
      </c>
      <c r="J596">
        <f t="shared" si="482"/>
        <v>15</v>
      </c>
      <c r="M596">
        <f t="shared" si="483"/>
        <v>1.1815438068074141E-4</v>
      </c>
      <c r="N596">
        <f t="shared" si="484"/>
        <v>-1.5707963250000001</v>
      </c>
      <c r="O596">
        <f t="shared" si="485"/>
        <v>1792.5723105073075</v>
      </c>
      <c r="P596">
        <f t="shared" si="486"/>
        <v>1.5702384692144766</v>
      </c>
      <c r="Q596">
        <f t="shared" si="487"/>
        <v>266.75272188857969</v>
      </c>
      <c r="R596">
        <f t="shared" si="488"/>
        <v>1.5670475277754417</v>
      </c>
      <c r="S596">
        <f t="shared" si="489"/>
        <v>0.13161617520160832</v>
      </c>
      <c r="T596">
        <f t="shared" si="490"/>
        <v>-1.4387971646993156</v>
      </c>
      <c r="U596">
        <f t="shared" si="491"/>
        <v>0.12054160042025451</v>
      </c>
      <c r="V596">
        <f t="shared" si="492"/>
        <v>-1.4499608838149218</v>
      </c>
      <c r="X596">
        <f t="shared" si="509"/>
        <v>-68.955191976981865</v>
      </c>
      <c r="Y596">
        <f t="shared" si="493"/>
        <v>-230.91259342870188</v>
      </c>
      <c r="Z596">
        <f t="shared" si="510"/>
        <v>-50.912593428701882</v>
      </c>
      <c r="AC596">
        <v>1</v>
      </c>
      <c r="AD596">
        <f t="shared" si="494"/>
        <v>1792.57203157851</v>
      </c>
      <c r="AE596">
        <f t="shared" si="495"/>
        <v>-3.8722407974261976</v>
      </c>
      <c r="AF596">
        <f t="shared" si="496"/>
        <v>0.47019463210314</v>
      </c>
      <c r="AG596">
        <f t="shared" si="473"/>
        <v>55.140796004133229</v>
      </c>
      <c r="AH596">
        <f t="shared" si="474"/>
        <v>-456.23328137592227</v>
      </c>
      <c r="AJ596">
        <f t="shared" si="497"/>
        <v>18000</v>
      </c>
      <c r="AK596">
        <f t="shared" si="498"/>
        <v>135571.58550134642</v>
      </c>
      <c r="AL596">
        <v>1</v>
      </c>
      <c r="AM596">
        <f t="shared" si="499"/>
        <v>266.75084748687482</v>
      </c>
      <c r="AN596">
        <f t="shared" si="475"/>
        <v>508.47882690463547</v>
      </c>
      <c r="AO596">
        <f t="shared" si="476"/>
        <v>-65.572504597032321</v>
      </c>
      <c r="AQ596">
        <f t="shared" si="500"/>
        <v>6.8528818526848322E-4</v>
      </c>
      <c r="AR596">
        <f t="shared" si="501"/>
        <v>-2.6178008677256059</v>
      </c>
      <c r="AT596">
        <f t="shared" si="470"/>
        <v>-1194.2900925351619</v>
      </c>
      <c r="AU596">
        <f t="shared" si="471"/>
        <v>-144.66027490415379</v>
      </c>
      <c r="AV596">
        <f t="shared" si="511"/>
        <v>-3.021053288091506</v>
      </c>
      <c r="AW596">
        <f t="shared" si="512"/>
        <v>391.75139743906141</v>
      </c>
      <c r="AX596">
        <f t="shared" si="513"/>
        <v>-1923.3000182972341</v>
      </c>
      <c r="AY596">
        <f t="shared" si="521"/>
        <v>-1.3698580081928606</v>
      </c>
      <c r="BA596">
        <f t="shared" si="502"/>
        <v>0.612912291754659</v>
      </c>
      <c r="BB596">
        <f t="shared" si="514"/>
        <v>-4.2520333785478588</v>
      </c>
      <c r="BC596">
        <f t="shared" si="515"/>
        <v>-1.6511952798986453</v>
      </c>
      <c r="BD596">
        <f t="shared" si="503"/>
        <v>-274.60652079821875</v>
      </c>
      <c r="BF596">
        <f t="shared" si="504"/>
        <v>-72.256857167166785</v>
      </c>
      <c r="BG596">
        <f t="shared" si="505"/>
        <v>-249.75871678189307</v>
      </c>
      <c r="BH596">
        <f t="shared" si="516"/>
        <v>-69.758716781893071</v>
      </c>
      <c r="BI596">
        <f t="shared" si="517"/>
        <v>-69.758716781893071</v>
      </c>
      <c r="BJ596">
        <f t="shared" si="506"/>
        <v>0</v>
      </c>
      <c r="BK596">
        <f t="shared" si="518"/>
        <v>0</v>
      </c>
      <c r="BM596">
        <f t="shared" si="519"/>
        <v>-68.004823788618921</v>
      </c>
      <c r="BN596">
        <f t="shared" si="507"/>
        <v>-155.15219598367435</v>
      </c>
      <c r="BQ596" s="56">
        <f t="shared" si="520"/>
        <v>12.649927421737278</v>
      </c>
    </row>
    <row r="597" spans="1:69" x14ac:dyDescent="0.2">
      <c r="A597">
        <f t="shared" si="522"/>
        <v>1915000</v>
      </c>
      <c r="B597">
        <f t="shared" si="508"/>
        <v>1915</v>
      </c>
      <c r="C597">
        <f t="shared" si="477"/>
        <v>1.1015812507324441</v>
      </c>
      <c r="D597">
        <f t="shared" si="478"/>
        <v>0.4328214190174075</v>
      </c>
      <c r="F597">
        <f t="shared" si="479"/>
        <v>2.3965111814213543E-5</v>
      </c>
      <c r="G597">
        <f t="shared" si="480"/>
        <v>1.8443417353863829E-3</v>
      </c>
      <c r="H597">
        <f t="shared" si="481"/>
        <v>-3.1397483082646138</v>
      </c>
      <c r="J597">
        <f t="shared" si="482"/>
        <v>15</v>
      </c>
      <c r="M597">
        <f t="shared" si="483"/>
        <v>1.1784588360324599E-4</v>
      </c>
      <c r="N597">
        <f t="shared" si="484"/>
        <v>-1.5707963250000001</v>
      </c>
      <c r="O597">
        <f t="shared" si="485"/>
        <v>1797.264906720339</v>
      </c>
      <c r="P597">
        <f t="shared" si="486"/>
        <v>1.570239925761383</v>
      </c>
      <c r="Q597">
        <f t="shared" si="487"/>
        <v>267.45101764248614</v>
      </c>
      <c r="R597">
        <f t="shared" si="488"/>
        <v>1.5670573156710932</v>
      </c>
      <c r="S597">
        <f t="shared" si="489"/>
        <v>0.13127845984936429</v>
      </c>
      <c r="T597">
        <f t="shared" si="490"/>
        <v>-1.4391378360045177</v>
      </c>
      <c r="U597">
        <f t="shared" si="491"/>
        <v>0.12023142587177853</v>
      </c>
      <c r="V597">
        <f t="shared" si="492"/>
        <v>-1.4502733307613109</v>
      </c>
      <c r="X597">
        <f t="shared" si="509"/>
        <v>-69.018610182101455</v>
      </c>
      <c r="Y597">
        <f t="shared" si="493"/>
        <v>-230.89266048687139</v>
      </c>
      <c r="Z597">
        <f t="shared" si="510"/>
        <v>-50.892660486871392</v>
      </c>
      <c r="AC597">
        <v>1</v>
      </c>
      <c r="AD597">
        <f t="shared" si="494"/>
        <v>1797.264628519815</v>
      </c>
      <c r="AE597">
        <f t="shared" si="495"/>
        <v>-3.8925408454651151</v>
      </c>
      <c r="AF597">
        <f t="shared" si="496"/>
        <v>0.47142550810341</v>
      </c>
      <c r="AG597">
        <f t="shared" si="473"/>
        <v>54.85738734530868</v>
      </c>
      <c r="AH597">
        <f t="shared" si="474"/>
        <v>-455.07639537836741</v>
      </c>
      <c r="AJ597">
        <f t="shared" si="497"/>
        <v>18000</v>
      </c>
      <c r="AK597">
        <f t="shared" si="498"/>
        <v>135926.4849398316</v>
      </c>
      <c r="AL597">
        <v>1</v>
      </c>
      <c r="AM597">
        <f t="shared" si="499"/>
        <v>267.44914813474622</v>
      </c>
      <c r="AN597">
        <f t="shared" si="475"/>
        <v>508.47754494668527</v>
      </c>
      <c r="AO597">
        <f t="shared" si="476"/>
        <v>-65.401301806505415</v>
      </c>
      <c r="AQ597">
        <f t="shared" si="500"/>
        <v>6.8171432883758643E-4</v>
      </c>
      <c r="AR597">
        <f t="shared" si="501"/>
        <v>-2.610965879447956</v>
      </c>
      <c r="AT597">
        <f t="shared" si="470"/>
        <v>-1188.1515438080889</v>
      </c>
      <c r="AU597">
        <f t="shared" si="471"/>
        <v>-143.54099869370623</v>
      </c>
      <c r="AV597">
        <f t="shared" si="511"/>
        <v>-3.0213649619899101</v>
      </c>
      <c r="AW597">
        <f t="shared" si="512"/>
        <v>392.3629451299023</v>
      </c>
      <c r="AX597">
        <f t="shared" si="513"/>
        <v>-1918.3085978700351</v>
      </c>
      <c r="AY597">
        <f t="shared" si="521"/>
        <v>-1.3690431685571476</v>
      </c>
      <c r="BA597">
        <f t="shared" si="502"/>
        <v>0.61122385474803786</v>
      </c>
      <c r="BB597">
        <f t="shared" si="514"/>
        <v>-4.2759940905035645</v>
      </c>
      <c r="BC597">
        <f t="shared" si="515"/>
        <v>-1.6523217934327625</v>
      </c>
      <c r="BD597">
        <f t="shared" si="503"/>
        <v>-274.67106526936175</v>
      </c>
      <c r="BF597">
        <f t="shared" si="504"/>
        <v>-72.322249007317353</v>
      </c>
      <c r="BG597">
        <f t="shared" si="505"/>
        <v>-249.76655165092592</v>
      </c>
      <c r="BH597">
        <f t="shared" si="516"/>
        <v>-69.766551650925919</v>
      </c>
      <c r="BI597">
        <f t="shared" si="517"/>
        <v>-69.766551650925919</v>
      </c>
      <c r="BJ597">
        <f t="shared" si="506"/>
        <v>0</v>
      </c>
      <c r="BK597">
        <f t="shared" si="518"/>
        <v>0</v>
      </c>
      <c r="BM597">
        <f t="shared" si="519"/>
        <v>-68.046254916813794</v>
      </c>
      <c r="BN597">
        <f t="shared" si="507"/>
        <v>-155.09548638156417</v>
      </c>
      <c r="BQ597" s="56">
        <f t="shared" si="520"/>
        <v>12.625966709781572</v>
      </c>
    </row>
    <row r="598" spans="1:69" x14ac:dyDescent="0.2">
      <c r="A598">
        <f t="shared" si="522"/>
        <v>1920000</v>
      </c>
      <c r="B598">
        <f t="shared" si="508"/>
        <v>1920</v>
      </c>
      <c r="C598">
        <f t="shared" si="477"/>
        <v>1.1020877877479642</v>
      </c>
      <c r="D598">
        <f t="shared" si="478"/>
        <v>0.43381510335046825</v>
      </c>
      <c r="F598">
        <f t="shared" si="479"/>
        <v>2.3840453257607264E-5</v>
      </c>
      <c r="G598">
        <f t="shared" si="480"/>
        <v>1.839538541436107E-3</v>
      </c>
      <c r="H598">
        <f t="shared" si="481"/>
        <v>-3.139753111458564</v>
      </c>
      <c r="J598">
        <f t="shared" si="482"/>
        <v>15</v>
      </c>
      <c r="M598">
        <f t="shared" si="483"/>
        <v>1.1753899328136255E-4</v>
      </c>
      <c r="N598">
        <f t="shared" si="484"/>
        <v>-1.5707963250000001</v>
      </c>
      <c r="O598">
        <f t="shared" si="485"/>
        <v>1801.9575029371636</v>
      </c>
      <c r="P598">
        <f t="shared" si="486"/>
        <v>1.5702413747221098</v>
      </c>
      <c r="Q598">
        <f t="shared" si="487"/>
        <v>268.14931342188169</v>
      </c>
      <c r="R598">
        <f t="shared" si="488"/>
        <v>1.5670670525888322</v>
      </c>
      <c r="S598">
        <f t="shared" si="489"/>
        <v>0.13094245807610921</v>
      </c>
      <c r="T598">
        <f t="shared" si="490"/>
        <v>-1.4394767634807344</v>
      </c>
      <c r="U598">
        <f t="shared" si="491"/>
        <v>0.11992283187547823</v>
      </c>
      <c r="V598">
        <f t="shared" si="492"/>
        <v>-1.4505841738435743</v>
      </c>
      <c r="X598">
        <f t="shared" si="509"/>
        <v>-69.081849554861591</v>
      </c>
      <c r="Y598">
        <f t="shared" si="493"/>
        <v>-230.87258997816386</v>
      </c>
      <c r="Z598">
        <f t="shared" si="510"/>
        <v>-50.872589978163859</v>
      </c>
      <c r="AC598">
        <v>1</v>
      </c>
      <c r="AD598">
        <f t="shared" si="494"/>
        <v>1801.9572254611201</v>
      </c>
      <c r="AE598">
        <f t="shared" si="495"/>
        <v>-3.9128939655250496</v>
      </c>
      <c r="AF598">
        <f t="shared" si="496"/>
        <v>0.47265638410367999</v>
      </c>
      <c r="AG598">
        <f t="shared" si="473"/>
        <v>54.576147475607392</v>
      </c>
      <c r="AH598">
        <f t="shared" si="474"/>
        <v>-453.92527285074465</v>
      </c>
      <c r="AJ598">
        <f t="shared" si="497"/>
        <v>18000</v>
      </c>
      <c r="AK598">
        <f t="shared" si="498"/>
        <v>136281.38437831681</v>
      </c>
      <c r="AL598">
        <v>1</v>
      </c>
      <c r="AM598">
        <f t="shared" si="499"/>
        <v>268.14744878261763</v>
      </c>
      <c r="AN598">
        <f t="shared" si="475"/>
        <v>508.47627299079943</v>
      </c>
      <c r="AO598">
        <f t="shared" si="476"/>
        <v>-65.230990659878586</v>
      </c>
      <c r="AQ598">
        <f t="shared" si="500"/>
        <v>6.7816835678654263E-4</v>
      </c>
      <c r="AR598">
        <f t="shared" si="501"/>
        <v>-2.6041664900603236</v>
      </c>
      <c r="AT598">
        <f t="shared" ref="AT598:AT626" si="523">-AR598*AH598+AG598*AQ598</f>
        <v>-1182.0599727331453</v>
      </c>
      <c r="AU598">
        <f t="shared" ref="AU598:AU626" si="524">AQ598*AH598+AG598*AR598</f>
        <v>-142.43321216896015</v>
      </c>
      <c r="AV598">
        <f t="shared" si="511"/>
        <v>-3.0216750360504778</v>
      </c>
      <c r="AW598">
        <f t="shared" si="512"/>
        <v>392.96967963146466</v>
      </c>
      <c r="AX598">
        <f t="shared" si="513"/>
        <v>-1913.34294406662</v>
      </c>
      <c r="AY598">
        <f t="shared" si="521"/>
        <v>-1.3682294188492861</v>
      </c>
      <c r="BA598">
        <f t="shared" si="502"/>
        <v>0.60954383423433134</v>
      </c>
      <c r="BB598">
        <f t="shared" si="514"/>
        <v>-4.2999011485225589</v>
      </c>
      <c r="BC598">
        <f t="shared" si="515"/>
        <v>-1.6534456172011918</v>
      </c>
      <c r="BD598">
        <f t="shared" si="503"/>
        <v>-274.73545562828281</v>
      </c>
      <c r="BF598">
        <f t="shared" si="504"/>
        <v>-72.387462007419359</v>
      </c>
      <c r="BG598">
        <f t="shared" si="505"/>
        <v>-249.77428329407113</v>
      </c>
      <c r="BH598">
        <f t="shared" si="516"/>
        <v>-69.774283294071125</v>
      </c>
      <c r="BI598">
        <f t="shared" si="517"/>
        <v>-69.774283294071125</v>
      </c>
      <c r="BJ598">
        <f t="shared" si="506"/>
        <v>0</v>
      </c>
      <c r="BK598">
        <f t="shared" si="518"/>
        <v>0</v>
      </c>
      <c r="BM598">
        <f t="shared" si="519"/>
        <v>-68.087560858896808</v>
      </c>
      <c r="BN598">
        <f t="shared" si="507"/>
        <v>-155.03882766578832</v>
      </c>
      <c r="BQ598" s="56">
        <f t="shared" si="520"/>
        <v>12.602059651762577</v>
      </c>
    </row>
    <row r="599" spans="1:69" x14ac:dyDescent="0.2">
      <c r="A599">
        <f t="shared" ref="A599:A614" si="525">A598+5000</f>
        <v>1925000</v>
      </c>
      <c r="B599">
        <f t="shared" si="508"/>
        <v>1925</v>
      </c>
      <c r="C599">
        <f t="shared" si="477"/>
        <v>1.102595411973909</v>
      </c>
      <c r="D599">
        <f t="shared" si="478"/>
        <v>0.43480787369780299</v>
      </c>
      <c r="F599">
        <f t="shared" si="479"/>
        <v>2.3716764833149879E-5</v>
      </c>
      <c r="G599">
        <f t="shared" si="480"/>
        <v>1.834760300855663E-3</v>
      </c>
      <c r="H599">
        <f t="shared" si="481"/>
        <v>-3.1397578896991445</v>
      </c>
      <c r="J599">
        <f t="shared" si="482"/>
        <v>15</v>
      </c>
      <c r="M599">
        <f t="shared" si="483"/>
        <v>1.1723369719491743E-4</v>
      </c>
      <c r="N599">
        <f t="shared" si="484"/>
        <v>-1.5707963250000001</v>
      </c>
      <c r="O599">
        <f t="shared" si="485"/>
        <v>1806.6500991577516</v>
      </c>
      <c r="P599">
        <f t="shared" si="486"/>
        <v>1.5702428161557704</v>
      </c>
      <c r="Q599">
        <f t="shared" si="487"/>
        <v>268.84760922656778</v>
      </c>
      <c r="R599">
        <f t="shared" si="488"/>
        <v>1.567076738925882</v>
      </c>
      <c r="S599">
        <f t="shared" si="489"/>
        <v>0.13060815698863212</v>
      </c>
      <c r="T599">
        <f t="shared" si="490"/>
        <v>-1.4398139604059847</v>
      </c>
      <c r="U599">
        <f t="shared" si="491"/>
        <v>0.11961580647048084</v>
      </c>
      <c r="V599">
        <f t="shared" si="492"/>
        <v>-1.4508934253200081</v>
      </c>
      <c r="X599">
        <f t="shared" si="509"/>
        <v>-69.144910984316695</v>
      </c>
      <c r="Y599">
        <f t="shared" si="493"/>
        <v>-230.85238339102389</v>
      </c>
      <c r="Z599">
        <f t="shared" si="510"/>
        <v>-50.852383391023892</v>
      </c>
      <c r="AC599">
        <v>1</v>
      </c>
      <c r="AD599">
        <f t="shared" si="494"/>
        <v>1806.6498224024249</v>
      </c>
      <c r="AE599">
        <f t="shared" si="495"/>
        <v>-3.9333001576060016</v>
      </c>
      <c r="AF599">
        <f t="shared" si="496"/>
        <v>0.47388726010394994</v>
      </c>
      <c r="AG599">
        <f t="shared" si="473"/>
        <v>54.297054430541422</v>
      </c>
      <c r="AH599">
        <f t="shared" si="474"/>
        <v>-452.77987152919826</v>
      </c>
      <c r="AJ599">
        <f t="shared" si="497"/>
        <v>18000</v>
      </c>
      <c r="AK599">
        <f t="shared" si="498"/>
        <v>136636.28381680202</v>
      </c>
      <c r="AL599">
        <v>1</v>
      </c>
      <c r="AM599">
        <f t="shared" si="499"/>
        <v>268.84574943048904</v>
      </c>
      <c r="AN599">
        <f t="shared" si="475"/>
        <v>508.47501093319789</v>
      </c>
      <c r="AO599">
        <f t="shared" si="476"/>
        <v>-65.061564209663274</v>
      </c>
      <c r="AQ599">
        <f t="shared" si="500"/>
        <v>6.7464997978411336E-4</v>
      </c>
      <c r="AR599">
        <f t="shared" si="501"/>
        <v>-2.5974024221688365</v>
      </c>
      <c r="AT599">
        <f t="shared" si="523"/>
        <v>-1176.0149035125603</v>
      </c>
      <c r="AU599">
        <f t="shared" si="524"/>
        <v>-141.33676862569527</v>
      </c>
      <c r="AV599">
        <f t="shared" si="511"/>
        <v>-3.0219835225001317</v>
      </c>
      <c r="AW599">
        <f t="shared" si="512"/>
        <v>393.57165141532329</v>
      </c>
      <c r="AX599">
        <f t="shared" si="513"/>
        <v>-1908.4028584281159</v>
      </c>
      <c r="AY599">
        <f t="shared" si="521"/>
        <v>-1.367416752583261</v>
      </c>
      <c r="BA599">
        <f t="shared" si="502"/>
        <v>0.60787216661232335</v>
      </c>
      <c r="BB599">
        <f t="shared" si="514"/>
        <v>-4.3237548346772865</v>
      </c>
      <c r="BC599">
        <f t="shared" si="515"/>
        <v>-1.6545667699168707</v>
      </c>
      <c r="BD599">
        <f t="shared" si="503"/>
        <v>-274.79969294715431</v>
      </c>
      <c r="BF599">
        <f t="shared" si="504"/>
        <v>-72.45249708759988</v>
      </c>
      <c r="BG599">
        <f t="shared" si="505"/>
        <v>-249.78191283496858</v>
      </c>
      <c r="BH599">
        <f t="shared" si="516"/>
        <v>-69.78191283496858</v>
      </c>
      <c r="BI599">
        <f t="shared" si="517"/>
        <v>-69.78191283496858</v>
      </c>
      <c r="BJ599">
        <f t="shared" si="506"/>
        <v>0</v>
      </c>
      <c r="BK599">
        <f t="shared" si="518"/>
        <v>0</v>
      </c>
      <c r="BM599">
        <f t="shared" si="519"/>
        <v>-68.128742252922592</v>
      </c>
      <c r="BN599">
        <f t="shared" si="507"/>
        <v>-154.98221988781435</v>
      </c>
      <c r="BQ599" s="56">
        <f t="shared" si="520"/>
        <v>12.57820596560785</v>
      </c>
    </row>
    <row r="600" spans="1:69" x14ac:dyDescent="0.2">
      <c r="A600">
        <f t="shared" si="525"/>
        <v>1930000</v>
      </c>
      <c r="B600">
        <f t="shared" si="508"/>
        <v>1930</v>
      </c>
      <c r="C600">
        <f t="shared" si="477"/>
        <v>1.1031041219093476</v>
      </c>
      <c r="D600">
        <f t="shared" si="478"/>
        <v>0.43579972936561712</v>
      </c>
      <c r="F600">
        <f t="shared" si="479"/>
        <v>2.3594036500320468E-5</v>
      </c>
      <c r="G600">
        <f t="shared" si="480"/>
        <v>1.8300068196892606E-3</v>
      </c>
      <c r="H600">
        <f t="shared" si="481"/>
        <v>-3.139762643180311</v>
      </c>
      <c r="J600">
        <f t="shared" si="482"/>
        <v>15</v>
      </c>
      <c r="M600">
        <f t="shared" si="483"/>
        <v>1.1692998295347985E-4</v>
      </c>
      <c r="N600">
        <f t="shared" si="484"/>
        <v>-1.5707963250000001</v>
      </c>
      <c r="O600">
        <f t="shared" si="485"/>
        <v>1811.342695382074</v>
      </c>
      <c r="P600">
        <f t="shared" si="486"/>
        <v>1.5702442501208649</v>
      </c>
      <c r="Q600">
        <f t="shared" si="487"/>
        <v>269.54590505634786</v>
      </c>
      <c r="R600">
        <f t="shared" si="488"/>
        <v>1.5670863750753496</v>
      </c>
      <c r="S600">
        <f t="shared" si="489"/>
        <v>0.1302755438215551</v>
      </c>
      <c r="T600">
        <f t="shared" si="490"/>
        <v>-1.440149439924614</v>
      </c>
      <c r="U600">
        <f t="shared" si="491"/>
        <v>0.11931033781537669</v>
      </c>
      <c r="V600">
        <f t="shared" si="492"/>
        <v>-1.4512010973249148</v>
      </c>
      <c r="X600">
        <f t="shared" si="509"/>
        <v>-69.207795353043025</v>
      </c>
      <c r="Y600">
        <f t="shared" si="493"/>
        <v>-230.83204219880045</v>
      </c>
      <c r="Z600">
        <f t="shared" si="510"/>
        <v>-50.832042198800451</v>
      </c>
      <c r="AC600">
        <v>1</v>
      </c>
      <c r="AD600">
        <f t="shared" si="494"/>
        <v>1811.3424193437299</v>
      </c>
      <c r="AE600">
        <f t="shared" si="495"/>
        <v>-3.9537594217079697</v>
      </c>
      <c r="AF600">
        <f t="shared" si="496"/>
        <v>0.47511813610422005</v>
      </c>
      <c r="AG600">
        <f t="shared" si="473"/>
        <v>54.020086521598351</v>
      </c>
      <c r="AH600">
        <f t="shared" si="474"/>
        <v>-451.64014955467661</v>
      </c>
      <c r="AJ600">
        <f t="shared" si="497"/>
        <v>18000</v>
      </c>
      <c r="AK600">
        <f t="shared" si="498"/>
        <v>136991.18325528718</v>
      </c>
      <c r="AL600">
        <v>1</v>
      </c>
      <c r="AM600">
        <f t="shared" si="499"/>
        <v>269.54405007836039</v>
      </c>
      <c r="AN600">
        <f t="shared" si="475"/>
        <v>508.47375867144291</v>
      </c>
      <c r="AO600">
        <f t="shared" si="476"/>
        <v>-64.893015580360668</v>
      </c>
      <c r="AQ600">
        <f t="shared" si="500"/>
        <v>6.7115891224201244E-4</v>
      </c>
      <c r="AR600">
        <f t="shared" si="501"/>
        <v>-2.5906734012541679</v>
      </c>
      <c r="AT600">
        <f t="shared" si="523"/>
        <v>-1170.0158663272462</v>
      </c>
      <c r="AU600">
        <f t="shared" si="524"/>
        <v>-140.25152359645358</v>
      </c>
      <c r="AV600">
        <f t="shared" si="511"/>
        <v>-3.0222904334421257</v>
      </c>
      <c r="AW600">
        <f t="shared" si="512"/>
        <v>394.16891029210143</v>
      </c>
      <c r="AX600">
        <f t="shared" si="513"/>
        <v>-1903.4881445232477</v>
      </c>
      <c r="AY600">
        <f t="shared" si="521"/>
        <v>-1.3666051633464151</v>
      </c>
      <c r="BA600">
        <f t="shared" si="502"/>
        <v>0.60620878891975827</v>
      </c>
      <c r="BB600">
        <f t="shared" si="514"/>
        <v>-4.3475554289263876</v>
      </c>
      <c r="BC600">
        <f t="shared" si="515"/>
        <v>-1.6556852700957105</v>
      </c>
      <c r="BD600">
        <f t="shared" si="503"/>
        <v>-274.86377828685966</v>
      </c>
      <c r="BF600">
        <f t="shared" si="504"/>
        <v>-72.517355161065097</v>
      </c>
      <c r="BG600">
        <f t="shared" si="505"/>
        <v>-249.78944138536633</v>
      </c>
      <c r="BH600">
        <f t="shared" si="516"/>
        <v>-69.789441385366331</v>
      </c>
      <c r="BI600">
        <f t="shared" si="517"/>
        <v>-69.789441385366331</v>
      </c>
      <c r="BJ600">
        <f t="shared" si="506"/>
        <v>0</v>
      </c>
      <c r="BK600">
        <f t="shared" si="518"/>
        <v>0</v>
      </c>
      <c r="BM600">
        <f t="shared" si="519"/>
        <v>-68.169799732138713</v>
      </c>
      <c r="BN600">
        <f t="shared" si="507"/>
        <v>-154.9256630985067</v>
      </c>
      <c r="BQ600" s="56">
        <f t="shared" si="520"/>
        <v>12.554405371358747</v>
      </c>
    </row>
    <row r="601" spans="1:69" x14ac:dyDescent="0.2">
      <c r="A601">
        <f t="shared" si="525"/>
        <v>1935000</v>
      </c>
      <c r="B601">
        <f t="shared" si="508"/>
        <v>1935</v>
      </c>
      <c r="C601">
        <f t="shared" si="477"/>
        <v>1.1036139160529095</v>
      </c>
      <c r="D601">
        <f t="shared" si="478"/>
        <v>0.43679066966859253</v>
      </c>
      <c r="F601">
        <f t="shared" si="479"/>
        <v>2.3472258348158538E-5</v>
      </c>
      <c r="G601">
        <f t="shared" si="480"/>
        <v>1.8252779059860489E-3</v>
      </c>
      <c r="H601">
        <f t="shared" si="481"/>
        <v>-3.1397673720940142</v>
      </c>
      <c r="J601">
        <f t="shared" si="482"/>
        <v>15</v>
      </c>
      <c r="M601">
        <f t="shared" si="483"/>
        <v>1.1662783829468532E-4</v>
      </c>
      <c r="N601">
        <f t="shared" si="484"/>
        <v>-1.5707963250000001</v>
      </c>
      <c r="O601">
        <f t="shared" si="485"/>
        <v>1816.0352916101017</v>
      </c>
      <c r="P601">
        <f t="shared" si="486"/>
        <v>1.5702456766752895</v>
      </c>
      <c r="Q601">
        <f t="shared" si="487"/>
        <v>270.24420091102729</v>
      </c>
      <c r="R601">
        <f t="shared" si="488"/>
        <v>1.5670959614262787</v>
      </c>
      <c r="S601">
        <f t="shared" si="489"/>
        <v>0.12994460593576823</v>
      </c>
      <c r="T601">
        <f t="shared" si="490"/>
        <v>-1.4404832150489604</v>
      </c>
      <c r="U601">
        <f t="shared" si="491"/>
        <v>0.11900641418674321</v>
      </c>
      <c r="V601">
        <f t="shared" si="492"/>
        <v>-1.4515072018701596</v>
      </c>
      <c r="X601">
        <f t="shared" si="509"/>
        <v>-69.270503537201662</v>
      </c>
      <c r="Y601">
        <f t="shared" si="493"/>
        <v>-230.81156785993096</v>
      </c>
      <c r="Z601">
        <f t="shared" si="510"/>
        <v>-50.81156785993096</v>
      </c>
      <c r="AC601">
        <v>1</v>
      </c>
      <c r="AD601">
        <f t="shared" si="494"/>
        <v>1816.0350162850348</v>
      </c>
      <c r="AE601">
        <f t="shared" si="495"/>
        <v>-3.9742717578309548</v>
      </c>
      <c r="AF601">
        <f t="shared" si="496"/>
        <v>0.47634901210449004</v>
      </c>
      <c r="AG601">
        <f t="shared" si="473"/>
        <v>53.745222332111489</v>
      </c>
      <c r="AH601">
        <f t="shared" si="474"/>
        <v>-450.50606546819665</v>
      </c>
      <c r="AJ601">
        <f t="shared" si="497"/>
        <v>18000</v>
      </c>
      <c r="AK601">
        <f t="shared" si="498"/>
        <v>137346.08269377239</v>
      </c>
      <c r="AL601">
        <v>1</v>
      </c>
      <c r="AM601">
        <f t="shared" si="499"/>
        <v>270.24235072623185</v>
      </c>
      <c r="AN601">
        <f t="shared" si="475"/>
        <v>508.47251610441884</v>
      </c>
      <c r="AO601">
        <f t="shared" si="476"/>
        <v>-64.725337967531658</v>
      </c>
      <c r="AQ601">
        <f t="shared" si="500"/>
        <v>6.6769487225695084E-4</v>
      </c>
      <c r="AR601">
        <f t="shared" si="501"/>
        <v>-2.5839791556343998</v>
      </c>
      <c r="AT601">
        <f t="shared" si="523"/>
        <v>-1164.062397247327</v>
      </c>
      <c r="AU601">
        <f t="shared" si="524"/>
        <v>-139.17733481094629</v>
      </c>
      <c r="AV601">
        <f t="shared" si="511"/>
        <v>-3.0225957808575976</v>
      </c>
      <c r="AW601">
        <f t="shared" si="512"/>
        <v>394.76150542184666</v>
      </c>
      <c r="AX601">
        <f t="shared" si="513"/>
        <v>-1898.5986079225781</v>
      </c>
      <c r="AY601">
        <f t="shared" si="521"/>
        <v>-1.3657946447984461</v>
      </c>
      <c r="BA601">
        <f t="shared" si="502"/>
        <v>0.60455363882539703</v>
      </c>
      <c r="BB601">
        <f t="shared" si="514"/>
        <v>-4.371303209135073</v>
      </c>
      <c r="BC601">
        <f t="shared" si="515"/>
        <v>-1.6568011360591515</v>
      </c>
      <c r="BD601">
        <f t="shared" si="503"/>
        <v>-274.92771269714018</v>
      </c>
      <c r="BF601">
        <f t="shared" si="504"/>
        <v>-72.58203713416998</v>
      </c>
      <c r="BG601">
        <f t="shared" si="505"/>
        <v>-249.79687004526929</v>
      </c>
      <c r="BH601">
        <f t="shared" si="516"/>
        <v>-69.796870045269287</v>
      </c>
      <c r="BI601">
        <f t="shared" si="517"/>
        <v>-69.796870045269287</v>
      </c>
      <c r="BJ601">
        <f t="shared" si="506"/>
        <v>0</v>
      </c>
      <c r="BK601">
        <f t="shared" si="518"/>
        <v>0</v>
      </c>
      <c r="BM601">
        <f t="shared" si="519"/>
        <v>-68.210733925034901</v>
      </c>
      <c r="BN601">
        <f t="shared" si="507"/>
        <v>-154.86915734812911</v>
      </c>
      <c r="BQ601" s="56">
        <f t="shared" si="520"/>
        <v>12.530657591150064</v>
      </c>
    </row>
    <row r="602" spans="1:69" x14ac:dyDescent="0.2">
      <c r="A602">
        <f t="shared" si="525"/>
        <v>1940000</v>
      </c>
      <c r="B602">
        <f t="shared" si="508"/>
        <v>1940</v>
      </c>
      <c r="C602">
        <f t="shared" si="477"/>
        <v>1.1041247929027995</v>
      </c>
      <c r="D602">
        <f t="shared" si="478"/>
        <v>0.43778069392986635</v>
      </c>
      <c r="F602">
        <f t="shared" si="479"/>
        <v>2.3351420593262953E-5</v>
      </c>
      <c r="G602">
        <f t="shared" si="480"/>
        <v>1.8205733697742744E-3</v>
      </c>
      <c r="H602">
        <f t="shared" si="481"/>
        <v>-3.1397720766302259</v>
      </c>
      <c r="J602">
        <f t="shared" si="482"/>
        <v>15</v>
      </c>
      <c r="M602">
        <f t="shared" si="483"/>
        <v>1.1632725108258562E-4</v>
      </c>
      <c r="N602">
        <f t="shared" si="484"/>
        <v>-1.5707963250000001</v>
      </c>
      <c r="O602">
        <f t="shared" si="485"/>
        <v>1820.7278878418063</v>
      </c>
      <c r="P602">
        <f t="shared" si="486"/>
        <v>1.5702470958763428</v>
      </c>
      <c r="Q602">
        <f t="shared" si="487"/>
        <v>270.94249679041377</v>
      </c>
      <c r="R602">
        <f t="shared" si="488"/>
        <v>1.5671054983637027</v>
      </c>
      <c r="S602">
        <f t="shared" si="489"/>
        <v>0.12961533081688731</v>
      </c>
      <c r="T602">
        <f t="shared" si="490"/>
        <v>-1.4408152986609981</v>
      </c>
      <c r="U602">
        <f t="shared" si="491"/>
        <v>0.1187040239776908</v>
      </c>
      <c r="V602">
        <f t="shared" si="492"/>
        <v>-1.4518117508467023</v>
      </c>
      <c r="X602">
        <f t="shared" si="509"/>
        <v>-69.333036406601039</v>
      </c>
      <c r="Y602">
        <f t="shared" si="493"/>
        <v>-230.79096181812193</v>
      </c>
      <c r="Z602">
        <f t="shared" si="510"/>
        <v>-50.790961818121929</v>
      </c>
      <c r="AC602">
        <v>1</v>
      </c>
      <c r="AD602">
        <f t="shared" si="494"/>
        <v>1820.7276132263398</v>
      </c>
      <c r="AE602">
        <f t="shared" si="495"/>
        <v>-3.994837165974956</v>
      </c>
      <c r="AF602">
        <f t="shared" si="496"/>
        <v>0.47757988810476004</v>
      </c>
      <c r="AG602">
        <f t="shared" si="473"/>
        <v>53.472440713202197</v>
      </c>
      <c r="AH602">
        <f t="shared" si="474"/>
        <v>-449.37757820617372</v>
      </c>
      <c r="AJ602">
        <f t="shared" si="497"/>
        <v>18000</v>
      </c>
      <c r="AK602">
        <f t="shared" si="498"/>
        <v>137700.9821322576</v>
      </c>
      <c r="AL602">
        <v>1</v>
      </c>
      <c r="AM602">
        <f t="shared" si="499"/>
        <v>270.9406513741032</v>
      </c>
      <c r="AN602">
        <f t="shared" si="475"/>
        <v>508.47128313231133</v>
      </c>
      <c r="AO602">
        <f t="shared" si="476"/>
        <v>-64.558524636881231</v>
      </c>
      <c r="AQ602">
        <f t="shared" si="500"/>
        <v>6.6425758155372642E-4</v>
      </c>
      <c r="AR602">
        <f t="shared" si="501"/>
        <v>-2.5773194164284585</v>
      </c>
      <c r="AT602">
        <f t="shared" si="523"/>
        <v>-1158.1540381442217</v>
      </c>
      <c r="AU602">
        <f t="shared" si="524"/>
        <v>-138.11406215725933</v>
      </c>
      <c r="AV602">
        <f t="shared" si="511"/>
        <v>-3.0228995766070965</v>
      </c>
      <c r="AW602">
        <f t="shared" si="512"/>
        <v>395.34948532421527</v>
      </c>
      <c r="AX602">
        <f t="shared" si="513"/>
        <v>-1893.7340561731285</v>
      </c>
      <c r="AY602">
        <f t="shared" si="521"/>
        <v>-1.3649851906704202</v>
      </c>
      <c r="BA602">
        <f t="shared" si="502"/>
        <v>0.60290665462119564</v>
      </c>
      <c r="BB602">
        <f t="shared" si="514"/>
        <v>-4.3949984510951792</v>
      </c>
      <c r="BC602">
        <f t="shared" si="515"/>
        <v>-1.6579143859366763</v>
      </c>
      <c r="BD602">
        <f t="shared" si="503"/>
        <v>-274.99149721673871</v>
      </c>
      <c r="BF602">
        <f t="shared" si="504"/>
        <v>-72.646543906487068</v>
      </c>
      <c r="BG602">
        <f t="shared" si="505"/>
        <v>-249.80419990308624</v>
      </c>
      <c r="BH602">
        <f t="shared" si="516"/>
        <v>-69.804199903086243</v>
      </c>
      <c r="BI602">
        <f t="shared" si="517"/>
        <v>-69.804199903086243</v>
      </c>
      <c r="BJ602">
        <f t="shared" si="506"/>
        <v>0</v>
      </c>
      <c r="BK602">
        <f t="shared" si="518"/>
        <v>0</v>
      </c>
      <c r="BM602">
        <f t="shared" si="519"/>
        <v>-68.251545455391891</v>
      </c>
      <c r="BN602">
        <f t="shared" si="507"/>
        <v>-154.81270268634754</v>
      </c>
      <c r="BQ602" s="56">
        <f t="shared" si="520"/>
        <v>12.506962349189958</v>
      </c>
    </row>
    <row r="603" spans="1:69" x14ac:dyDescent="0.2">
      <c r="A603">
        <f t="shared" si="525"/>
        <v>1945000</v>
      </c>
      <c r="B603">
        <f t="shared" si="508"/>
        <v>1945</v>
      </c>
      <c r="C603">
        <f t="shared" si="477"/>
        <v>1.1046367509568149</v>
      </c>
      <c r="D603">
        <f t="shared" si="478"/>
        <v>0.43876980148100925</v>
      </c>
      <c r="F603">
        <f t="shared" si="479"/>
        <v>2.3231513577826908E-5</v>
      </c>
      <c r="G603">
        <f t="shared" si="480"/>
        <v>1.8158930230358409E-3</v>
      </c>
      <c r="H603">
        <f t="shared" si="481"/>
        <v>-3.1397767569769646</v>
      </c>
      <c r="J603">
        <f t="shared" si="482"/>
        <v>15</v>
      </c>
      <c r="M603">
        <f t="shared" si="483"/>
        <v>1.1602820930602369E-4</v>
      </c>
      <c r="N603">
        <f t="shared" si="484"/>
        <v>-1.5707963250000001</v>
      </c>
      <c r="O603">
        <f t="shared" si="485"/>
        <v>1825.4204840771588</v>
      </c>
      <c r="P603">
        <f t="shared" si="486"/>
        <v>1.5702485077807349</v>
      </c>
      <c r="Q603">
        <f t="shared" si="487"/>
        <v>271.64079269431653</v>
      </c>
      <c r="R603">
        <f t="shared" si="488"/>
        <v>1.5671149862686957</v>
      </c>
      <c r="S603">
        <f t="shared" si="489"/>
        <v>0.1292877060737336</v>
      </c>
      <c r="T603">
        <f t="shared" si="490"/>
        <v>-1.4411457035139579</v>
      </c>
      <c r="U603">
        <f t="shared" si="491"/>
        <v>0.11840315569642962</v>
      </c>
      <c r="V603">
        <f t="shared" si="492"/>
        <v>-1.4521147560261087</v>
      </c>
      <c r="X603">
        <f t="shared" si="509"/>
        <v>-69.395394824758455</v>
      </c>
      <c r="Y603">
        <f t="shared" si="493"/>
        <v>-230.77022550252858</v>
      </c>
      <c r="Z603">
        <f t="shared" si="510"/>
        <v>-50.770225502528575</v>
      </c>
      <c r="AC603">
        <v>1</v>
      </c>
      <c r="AD603">
        <f t="shared" si="494"/>
        <v>1825.4202101676449</v>
      </c>
      <c r="AE603">
        <f t="shared" si="495"/>
        <v>-4.0154556461399746</v>
      </c>
      <c r="AF603">
        <f t="shared" si="496"/>
        <v>0.47881076410503004</v>
      </c>
      <c r="AG603">
        <f t="shared" si="473"/>
        <v>53.201720779791842</v>
      </c>
      <c r="AH603">
        <f t="shared" si="474"/>
        <v>-448.25464709581456</v>
      </c>
      <c r="AJ603">
        <f t="shared" si="497"/>
        <v>18000</v>
      </c>
      <c r="AK603">
        <f t="shared" si="498"/>
        <v>138055.88157074279</v>
      </c>
      <c r="AL603">
        <v>1</v>
      </c>
      <c r="AM603">
        <f t="shared" si="499"/>
        <v>271.63895202197466</v>
      </c>
      <c r="AN603">
        <f t="shared" si="475"/>
        <v>508.47005965658673</v>
      </c>
      <c r="AO603">
        <f t="shared" si="476"/>
        <v>-64.392568923356791</v>
      </c>
      <c r="AQ603">
        <f t="shared" si="500"/>
        <v>6.6084676542933459E-4</v>
      </c>
      <c r="AR603">
        <f t="shared" si="501"/>
        <v>-2.5706939175201118</v>
      </c>
      <c r="AT603">
        <f t="shared" si="523"/>
        <v>-1152.2903366042422</v>
      </c>
      <c r="AU603">
        <f t="shared" si="524"/>
        <v>-137.06156764383616</v>
      </c>
      <c r="AV603">
        <f t="shared" si="511"/>
        <v>-3.0232018324320893</v>
      </c>
      <c r="AW603">
        <f t="shared" si="512"/>
        <v>395.93289788847238</v>
      </c>
      <c r="AX603">
        <f t="shared" si="513"/>
        <v>-1888.8942987733872</v>
      </c>
      <c r="AY603">
        <f t="shared" si="521"/>
        <v>-1.3641767947638013</v>
      </c>
      <c r="BA603">
        <f t="shared" si="502"/>
        <v>0.60126777521459751</v>
      </c>
      <c r="BB603">
        <f t="shared" si="514"/>
        <v>-4.4186414285450146</v>
      </c>
      <c r="BC603">
        <f t="shared" si="515"/>
        <v>-1.659025037668288</v>
      </c>
      <c r="BD603">
        <f t="shared" si="503"/>
        <v>-275.05513287354165</v>
      </c>
      <c r="BF603">
        <f t="shared" si="504"/>
        <v>-72.710876370874402</v>
      </c>
      <c r="BG603">
        <f t="shared" si="505"/>
        <v>-249.81143203577452</v>
      </c>
      <c r="BH603">
        <f t="shared" si="516"/>
        <v>-69.811432035774516</v>
      </c>
      <c r="BI603">
        <f t="shared" si="517"/>
        <v>-69.811432035774516</v>
      </c>
      <c r="BJ603">
        <f t="shared" si="506"/>
        <v>0</v>
      </c>
      <c r="BK603">
        <f t="shared" si="518"/>
        <v>0</v>
      </c>
      <c r="BM603">
        <f t="shared" si="519"/>
        <v>-68.292234942329387</v>
      </c>
      <c r="BN603">
        <f t="shared" si="507"/>
        <v>-154.75629916223286</v>
      </c>
      <c r="BQ603" s="56">
        <f t="shared" si="520"/>
        <v>12.483319371740123</v>
      </c>
    </row>
    <row r="604" spans="1:69" x14ac:dyDescent="0.2">
      <c r="A604">
        <f t="shared" si="525"/>
        <v>1950000</v>
      </c>
      <c r="B604">
        <f t="shared" si="508"/>
        <v>1950</v>
      </c>
      <c r="C604">
        <f t="shared" si="477"/>
        <v>1.1051497887123596</v>
      </c>
      <c r="D604">
        <f t="shared" si="478"/>
        <v>0.43975799166200419</v>
      </c>
      <c r="F604">
        <f t="shared" si="479"/>
        <v>2.3112527767708061E-5</v>
      </c>
      <c r="G604">
        <f t="shared" si="480"/>
        <v>1.8112366796812578E-3</v>
      </c>
      <c r="H604">
        <f t="shared" si="481"/>
        <v>-3.139781413320319</v>
      </c>
      <c r="J604">
        <f t="shared" si="482"/>
        <v>15</v>
      </c>
      <c r="M604">
        <f t="shared" si="483"/>
        <v>1.157307010770339E-4</v>
      </c>
      <c r="N604">
        <f t="shared" si="484"/>
        <v>-1.5707963250000001</v>
      </c>
      <c r="O604">
        <f t="shared" si="485"/>
        <v>1830.113080316132</v>
      </c>
      <c r="P604">
        <f t="shared" si="486"/>
        <v>1.5702499124445939</v>
      </c>
      <c r="Q604">
        <f t="shared" si="487"/>
        <v>272.33908862254708</v>
      </c>
      <c r="R604">
        <f t="shared" si="488"/>
        <v>1.5671244255184233</v>
      </c>
      <c r="S604">
        <f t="shared" si="489"/>
        <v>0.12896171943683601</v>
      </c>
      <c r="T604">
        <f t="shared" si="490"/>
        <v>-1.4414744422339194</v>
      </c>
      <c r="U604">
        <f t="shared" si="491"/>
        <v>0.11810379796485772</v>
      </c>
      <c r="V604">
        <f t="shared" si="492"/>
        <v>-1.4524162290620364</v>
      </c>
      <c r="X604">
        <f t="shared" si="509"/>
        <v>-69.45757964896093</v>
      </c>
      <c r="Y604">
        <f t="shared" si="493"/>
        <v>-230.74936032792971</v>
      </c>
      <c r="Z604">
        <f t="shared" si="510"/>
        <v>-50.749360327929708</v>
      </c>
      <c r="AC604">
        <v>1</v>
      </c>
      <c r="AD604">
        <f t="shared" si="494"/>
        <v>1830.1128071089502</v>
      </c>
      <c r="AE604">
        <f t="shared" si="495"/>
        <v>-4.0361271983260103</v>
      </c>
      <c r="AF604">
        <f t="shared" si="496"/>
        <v>0.48004164010530004</v>
      </c>
      <c r="AG604">
        <f t="shared" si="473"/>
        <v>52.933041906682853</v>
      </c>
      <c r="AH604">
        <f t="shared" si="474"/>
        <v>-447.13723185057364</v>
      </c>
      <c r="AJ604">
        <f t="shared" si="497"/>
        <v>18000</v>
      </c>
      <c r="AK604">
        <f t="shared" si="498"/>
        <v>138410.781009228</v>
      </c>
      <c r="AL604">
        <v>1</v>
      </c>
      <c r="AM604">
        <f t="shared" si="499"/>
        <v>272.33725266984601</v>
      </c>
      <c r="AN604">
        <f t="shared" si="475"/>
        <v>508.46884557997384</v>
      </c>
      <c r="AO604">
        <f t="shared" si="476"/>
        <v>-64.227464230260779</v>
      </c>
      <c r="AQ604">
        <f t="shared" si="500"/>
        <v>6.5746215269808328E-4</v>
      </c>
      <c r="AR604">
        <f t="shared" si="501"/>
        <v>-2.5641023955225251</v>
      </c>
      <c r="AT604">
        <f t="shared" si="523"/>
        <v>-1146.4708458436858</v>
      </c>
      <c r="AU604">
        <f t="shared" si="524"/>
        <v>-136.01971536222365</v>
      </c>
      <c r="AV604">
        <f t="shared" si="511"/>
        <v>-3.0235025599564445</v>
      </c>
      <c r="AW604">
        <f t="shared" si="512"/>
        <v>396.51179038330929</v>
      </c>
      <c r="AX604">
        <f t="shared" si="513"/>
        <v>-1884.0791471487018</v>
      </c>
      <c r="AY604">
        <f t="shared" si="521"/>
        <v>-1.3633694509494956</v>
      </c>
      <c r="BA604">
        <f t="shared" si="502"/>
        <v>0.59963694012093616</v>
      </c>
      <c r="BB604">
        <f t="shared" si="514"/>
        <v>-4.4422324131890063</v>
      </c>
      <c r="BC604">
        <f t="shared" si="515"/>
        <v>-1.6601331090069489</v>
      </c>
      <c r="BD604">
        <f t="shared" si="503"/>
        <v>-275.11862068471885</v>
      </c>
      <c r="BF604">
        <f t="shared" si="504"/>
        <v>-72.775035413542696</v>
      </c>
      <c r="BG604">
        <f t="shared" si="505"/>
        <v>-249.81856750898223</v>
      </c>
      <c r="BH604">
        <f t="shared" si="516"/>
        <v>-69.818567508982227</v>
      </c>
      <c r="BI604">
        <f t="shared" si="517"/>
        <v>-69.818567508982227</v>
      </c>
      <c r="BJ604">
        <f t="shared" si="506"/>
        <v>0</v>
      </c>
      <c r="BK604">
        <f t="shared" si="518"/>
        <v>0</v>
      </c>
      <c r="BM604">
        <f t="shared" si="519"/>
        <v>-68.332803000353692</v>
      </c>
      <c r="BN604">
        <f t="shared" si="507"/>
        <v>-154.69994682426338</v>
      </c>
      <c r="BQ604" s="56">
        <f t="shared" si="520"/>
        <v>12.459728387096131</v>
      </c>
    </row>
    <row r="605" spans="1:69" x14ac:dyDescent="0.2">
      <c r="A605">
        <f t="shared" si="525"/>
        <v>1955000</v>
      </c>
      <c r="B605">
        <f t="shared" si="508"/>
        <v>1955</v>
      </c>
      <c r="C605">
        <f t="shared" si="477"/>
        <v>1.1056639046664609</v>
      </c>
      <c r="D605">
        <f t="shared" si="478"/>
        <v>0.44074526382122414</v>
      </c>
      <c r="F605">
        <f t="shared" si="479"/>
        <v>2.2994453750533231E-5</v>
      </c>
      <c r="G605">
        <f t="shared" si="480"/>
        <v>1.8066041555249753E-3</v>
      </c>
      <c r="H605">
        <f t="shared" si="481"/>
        <v>-3.1397860458444753</v>
      </c>
      <c r="J605">
        <f t="shared" si="482"/>
        <v>15</v>
      </c>
      <c r="M605">
        <f t="shared" si="483"/>
        <v>1.1543471462926654E-4</v>
      </c>
      <c r="N605">
        <f t="shared" si="484"/>
        <v>-1.5707963250000001</v>
      </c>
      <c r="O605">
        <f t="shared" si="485"/>
        <v>1834.8056765586975</v>
      </c>
      <c r="P605">
        <f t="shared" si="486"/>
        <v>1.5702513099234736</v>
      </c>
      <c r="Q605">
        <f t="shared" si="487"/>
        <v>273.0373845749188</v>
      </c>
      <c r="R605">
        <f t="shared" si="488"/>
        <v>1.567133816486193</v>
      </c>
      <c r="S605">
        <f t="shared" si="489"/>
        <v>0.12863735875695437</v>
      </c>
      <c r="T605">
        <f t="shared" si="490"/>
        <v>-1.4418015273213851</v>
      </c>
      <c r="U605">
        <f t="shared" si="491"/>
        <v>0.11780593951716929</v>
      </c>
      <c r="V605">
        <f t="shared" si="492"/>
        <v>-1.4527161814917013</v>
      </c>
      <c r="X605">
        <f t="shared" si="509"/>
        <v>-69.519591730325459</v>
      </c>
      <c r="Y605">
        <f t="shared" si="493"/>
        <v>-230.72836769490175</v>
      </c>
      <c r="Z605">
        <f t="shared" si="510"/>
        <v>-50.728367694901749</v>
      </c>
      <c r="AC605">
        <v>1</v>
      </c>
      <c r="AD605">
        <f t="shared" si="494"/>
        <v>1834.8054040502552</v>
      </c>
      <c r="AE605">
        <f t="shared" si="495"/>
        <v>-4.0568518225330621</v>
      </c>
      <c r="AF605">
        <f t="shared" si="496"/>
        <v>0.48127251610556998</v>
      </c>
      <c r="AG605">
        <f t="shared" si="473"/>
        <v>52.666383724707053</v>
      </c>
      <c r="AH605">
        <f t="shared" si="474"/>
        <v>-446.02529256567084</v>
      </c>
      <c r="AJ605">
        <f t="shared" si="497"/>
        <v>18000</v>
      </c>
      <c r="AK605">
        <f t="shared" si="498"/>
        <v>138765.68044771321</v>
      </c>
      <c r="AL605">
        <v>1</v>
      </c>
      <c r="AM605">
        <f t="shared" si="499"/>
        <v>273.03555331771742</v>
      </c>
      <c r="AN605">
        <f t="shared" si="475"/>
        <v>508.46764080644311</v>
      </c>
      <c r="AO605">
        <f t="shared" si="476"/>
        <v>-64.063204028376347</v>
      </c>
      <c r="AQ605">
        <f t="shared" si="500"/>
        <v>6.5410347563768707E-4</v>
      </c>
      <c r="AR605">
        <f t="shared" si="501"/>
        <v>-2.5575445897433564</v>
      </c>
      <c r="AT605">
        <f t="shared" si="523"/>
        <v>-1140.6951246253855</v>
      </c>
      <c r="AU605">
        <f t="shared" si="524"/>
        <v>-134.9883714505616</v>
      </c>
      <c r="AV605">
        <f t="shared" si="511"/>
        <v>-3.0238017706878937</v>
      </c>
      <c r="AW605">
        <f t="shared" si="512"/>
        <v>397.08620946648335</v>
      </c>
      <c r="AX605">
        <f t="shared" si="513"/>
        <v>-1879.2884146270294</v>
      </c>
      <c r="AY605">
        <f t="shared" si="521"/>
        <v>-1.3625631531669125</v>
      </c>
      <c r="BA605">
        <f t="shared" si="502"/>
        <v>0.59801408945595325</v>
      </c>
      <c r="BB605">
        <f t="shared" si="514"/>
        <v>-4.465771674717061</v>
      </c>
      <c r="BC605">
        <f t="shared" si="515"/>
        <v>-1.6612386175209812</v>
      </c>
      <c r="BD605">
        <f t="shared" si="503"/>
        <v>-275.18196165686106</v>
      </c>
      <c r="BF605">
        <f t="shared" si="504"/>
        <v>-72.839021914121489</v>
      </c>
      <c r="BG605">
        <f t="shared" si="505"/>
        <v>-249.8256073771887</v>
      </c>
      <c r="BH605">
        <f t="shared" si="516"/>
        <v>-69.825607377188703</v>
      </c>
      <c r="BI605">
        <f t="shared" si="517"/>
        <v>-69.825607377188703</v>
      </c>
      <c r="BJ605">
        <f t="shared" si="506"/>
        <v>0</v>
      </c>
      <c r="BK605">
        <f t="shared" si="518"/>
        <v>0</v>
      </c>
      <c r="BM605">
        <f t="shared" si="519"/>
        <v>-68.373250239404427</v>
      </c>
      <c r="BN605">
        <f t="shared" si="507"/>
        <v>-154.64364572032761</v>
      </c>
      <c r="BQ605" s="56">
        <f t="shared" si="520"/>
        <v>12.436189125568076</v>
      </c>
    </row>
    <row r="606" spans="1:69" x14ac:dyDescent="0.2">
      <c r="A606">
        <f t="shared" si="525"/>
        <v>1960000</v>
      </c>
      <c r="B606">
        <f t="shared" si="508"/>
        <v>1960</v>
      </c>
      <c r="C606">
        <f t="shared" si="477"/>
        <v>1.1061790973157839</v>
      </c>
      <c r="D606">
        <f t="shared" si="478"/>
        <v>0.441731617315411</v>
      </c>
      <c r="F606">
        <f t="shared" si="479"/>
        <v>2.2877282233836848E-5</v>
      </c>
      <c r="G606">
        <f t="shared" si="480"/>
        <v>1.8019952682610959E-3</v>
      </c>
      <c r="H606">
        <f t="shared" si="481"/>
        <v>-3.1397906547317391</v>
      </c>
      <c r="J606">
        <f t="shared" si="482"/>
        <v>15</v>
      </c>
      <c r="M606">
        <f t="shared" si="483"/>
        <v>1.1514023831643679E-4</v>
      </c>
      <c r="N606">
        <f t="shared" si="484"/>
        <v>-1.5707963250000001</v>
      </c>
      <c r="O606">
        <f t="shared" si="485"/>
        <v>1839.498272804828</v>
      </c>
      <c r="P606">
        <f t="shared" si="486"/>
        <v>1.5702527002723612</v>
      </c>
      <c r="Q606">
        <f t="shared" si="487"/>
        <v>273.7356805512469</v>
      </c>
      <c r="R606">
        <f t="shared" si="488"/>
        <v>1.5671431595415029</v>
      </c>
      <c r="S606">
        <f t="shared" si="489"/>
        <v>0.12831461200362426</v>
      </c>
      <c r="T606">
        <f t="shared" si="490"/>
        <v>-1.4421269711528268</v>
      </c>
      <c r="U606">
        <f t="shared" si="491"/>
        <v>0.11750956919848352</v>
      </c>
      <c r="V606">
        <f t="shared" si="492"/>
        <v>-1.453014624737321</v>
      </c>
      <c r="X606">
        <f t="shared" si="509"/>
        <v>-69.581431913858282</v>
      </c>
      <c r="Y606">
        <f t="shared" si="493"/>
        <v>-230.70724898998927</v>
      </c>
      <c r="Z606">
        <f t="shared" si="510"/>
        <v>-50.707248989989267</v>
      </c>
      <c r="AC606">
        <v>1</v>
      </c>
      <c r="AD606">
        <f t="shared" si="494"/>
        <v>1839.49800099156</v>
      </c>
      <c r="AE606">
        <f t="shared" si="495"/>
        <v>-4.0776295187611309</v>
      </c>
      <c r="AF606">
        <f t="shared" si="496"/>
        <v>0.48250339210583998</v>
      </c>
      <c r="AG606">
        <f t="shared" si="473"/>
        <v>52.401726116939976</v>
      </c>
      <c r="AH606">
        <f t="shared" si="474"/>
        <v>-444.91878971366964</v>
      </c>
      <c r="AJ606">
        <f t="shared" si="497"/>
        <v>18000</v>
      </c>
      <c r="AK606">
        <f t="shared" si="498"/>
        <v>139120.57988619839</v>
      </c>
      <c r="AL606">
        <v>1</v>
      </c>
      <c r="AM606">
        <f t="shared" si="499"/>
        <v>273.73385396558882</v>
      </c>
      <c r="AN606">
        <f t="shared" si="475"/>
        <v>508.4664452411883</v>
      </c>
      <c r="AO606">
        <f t="shared" si="476"/>
        <v>-63.899781855106902</v>
      </c>
      <c r="AQ606">
        <f t="shared" si="500"/>
        <v>6.5077046993632407E-4</v>
      </c>
      <c r="AR606">
        <f t="shared" si="501"/>
        <v>-2.5510202421503902</v>
      </c>
      <c r="AT606">
        <f t="shared" si="523"/>
        <v>-1134.9627371766935</v>
      </c>
      <c r="AU606">
        <f t="shared" si="524"/>
        <v>-133.96740405780011</v>
      </c>
      <c r="AV606">
        <f t="shared" si="511"/>
        <v>-3.0240994760194706</v>
      </c>
      <c r="AW606">
        <f t="shared" si="512"/>
        <v>397.65620119428223</v>
      </c>
      <c r="AX606">
        <f t="shared" si="513"/>
        <v>-1874.521916415064</v>
      </c>
      <c r="AY606">
        <f t="shared" si="521"/>
        <v>-1.3617578954230392</v>
      </c>
      <c r="BA606">
        <f t="shared" si="502"/>
        <v>0.59639916392842274</v>
      </c>
      <c r="BB606">
        <f t="shared" si="514"/>
        <v>-4.4892594808237511</v>
      </c>
      <c r="BC606">
        <f t="shared" si="515"/>
        <v>-1.6623415805964314</v>
      </c>
      <c r="BD606">
        <f t="shared" si="503"/>
        <v>-275.24515678611533</v>
      </c>
      <c r="BF606">
        <f t="shared" si="504"/>
        <v>-72.902836745724628</v>
      </c>
      <c r="BG606">
        <f t="shared" si="505"/>
        <v>-249.83255268384227</v>
      </c>
      <c r="BH606">
        <f t="shared" si="516"/>
        <v>-69.832552683842266</v>
      </c>
      <c r="BI606">
        <f t="shared" si="517"/>
        <v>-69.832552683842266</v>
      </c>
      <c r="BJ606">
        <f t="shared" si="506"/>
        <v>0</v>
      </c>
      <c r="BK606">
        <f t="shared" si="518"/>
        <v>0</v>
      </c>
      <c r="BM606">
        <f t="shared" si="519"/>
        <v>-68.41357726490088</v>
      </c>
      <c r="BN606">
        <f t="shared" si="507"/>
        <v>-154.58739589772691</v>
      </c>
      <c r="BQ606" s="56">
        <f t="shared" si="520"/>
        <v>12.412701319461386</v>
      </c>
    </row>
    <row r="607" spans="1:69" x14ac:dyDescent="0.2">
      <c r="A607">
        <f t="shared" si="525"/>
        <v>1965000</v>
      </c>
      <c r="B607">
        <f t="shared" si="508"/>
        <v>1965</v>
      </c>
      <c r="C607">
        <f t="shared" si="477"/>
        <v>1.106695365156648</v>
      </c>
      <c r="D607">
        <f t="shared" si="478"/>
        <v>0.44271705150965301</v>
      </c>
      <c r="F607">
        <f t="shared" si="479"/>
        <v>2.2761004043232564E-5</v>
      </c>
      <c r="G607">
        <f t="shared" si="480"/>
        <v>1.7974098374394577E-3</v>
      </c>
      <c r="H607">
        <f t="shared" si="481"/>
        <v>-3.1397952401625608</v>
      </c>
      <c r="J607">
        <f t="shared" si="482"/>
        <v>15</v>
      </c>
      <c r="M607">
        <f t="shared" si="483"/>
        <v>1.1484726061079699E-4</v>
      </c>
      <c r="N607">
        <f t="shared" si="484"/>
        <v>-1.5707963250000001</v>
      </c>
      <c r="O607">
        <f t="shared" si="485"/>
        <v>1844.1908690544963</v>
      </c>
      <c r="P607">
        <f t="shared" si="486"/>
        <v>1.5702540835456837</v>
      </c>
      <c r="Q607">
        <f t="shared" si="487"/>
        <v>274.43397655134856</v>
      </c>
      <c r="R607">
        <f t="shared" si="488"/>
        <v>1.5671524550500902</v>
      </c>
      <c r="S607">
        <f t="shared" si="489"/>
        <v>0.12799346726372263</v>
      </c>
      <c r="T607">
        <f t="shared" si="490"/>
        <v>-1.4424507859822122</v>
      </c>
      <c r="U607">
        <f t="shared" si="491"/>
        <v>0.11721467596349307</v>
      </c>
      <c r="V607">
        <f t="shared" si="492"/>
        <v>-1.4533115701075376</v>
      </c>
      <c r="X607">
        <f t="shared" si="509"/>
        <v>-69.643101038513734</v>
      </c>
      <c r="Y607">
        <f t="shared" si="493"/>
        <v>-230.68600558587349</v>
      </c>
      <c r="Z607">
        <f t="shared" si="510"/>
        <v>-50.686005585873488</v>
      </c>
      <c r="AC607">
        <v>1</v>
      </c>
      <c r="AD607">
        <f t="shared" si="494"/>
        <v>1844.1905979328651</v>
      </c>
      <c r="AE607">
        <f t="shared" si="495"/>
        <v>-4.0984602870102167</v>
      </c>
      <c r="AF607">
        <f t="shared" si="496"/>
        <v>0.48373426810610998</v>
      </c>
      <c r="AG607">
        <f t="shared" si="473"/>
        <v>52.139049214980197</v>
      </c>
      <c r="AH607">
        <f t="shared" si="474"/>
        <v>-443.81768414011572</v>
      </c>
      <c r="AJ607">
        <f t="shared" si="497"/>
        <v>18000</v>
      </c>
      <c r="AK607">
        <f t="shared" si="498"/>
        <v>139475.47932468361</v>
      </c>
      <c r="AL607">
        <v>1</v>
      </c>
      <c r="AM607">
        <f t="shared" si="499"/>
        <v>274.43215461346023</v>
      </c>
      <c r="AN607">
        <f t="shared" si="475"/>
        <v>508.46525879060817</v>
      </c>
      <c r="AO607">
        <f t="shared" si="476"/>
        <v>-63.7371913136285</v>
      </c>
      <c r="AQ607">
        <f t="shared" si="500"/>
        <v>6.4746287464063381E-4</v>
      </c>
      <c r="AR607">
        <f t="shared" si="501"/>
        <v>-2.5445290973376911</v>
      </c>
      <c r="AT607">
        <f t="shared" si="523"/>
        <v>-1129.2732531088675</v>
      </c>
      <c r="AU607">
        <f t="shared" si="524"/>
        <v>-132.95668330862873</v>
      </c>
      <c r="AV607">
        <f t="shared" si="511"/>
        <v>-3.0243956872309297</v>
      </c>
      <c r="AW607">
        <f t="shared" si="512"/>
        <v>398.22181103081925</v>
      </c>
      <c r="AX607">
        <f t="shared" si="513"/>
        <v>-1869.7794695747129</v>
      </c>
      <c r="AY607">
        <f t="shared" si="521"/>
        <v>-1.3609536717915305</v>
      </c>
      <c r="BA607">
        <f t="shared" si="502"/>
        <v>0.59479210483288392</v>
      </c>
      <c r="BB607">
        <f t="shared" si="514"/>
        <v>-4.5126960972272547</v>
      </c>
      <c r="BC607">
        <f t="shared" si="515"/>
        <v>-1.6634420154393992</v>
      </c>
      <c r="BD607">
        <f t="shared" si="503"/>
        <v>-275.3082070583186</v>
      </c>
      <c r="BF607">
        <f t="shared" si="504"/>
        <v>-72.966480775014887</v>
      </c>
      <c r="BG607">
        <f t="shared" si="505"/>
        <v>-249.83940446149666</v>
      </c>
      <c r="BH607">
        <f t="shared" si="516"/>
        <v>-69.839404461496656</v>
      </c>
      <c r="BI607">
        <f t="shared" si="517"/>
        <v>-69.839404461496656</v>
      </c>
      <c r="BJ607">
        <f t="shared" si="506"/>
        <v>0</v>
      </c>
      <c r="BK607">
        <f t="shared" si="518"/>
        <v>0</v>
      </c>
      <c r="BM607">
        <f t="shared" si="519"/>
        <v>-68.453784677787638</v>
      </c>
      <c r="BN607">
        <f t="shared" si="507"/>
        <v>-154.53119740317808</v>
      </c>
      <c r="BQ607" s="56">
        <f t="shared" si="520"/>
        <v>12.389264703057883</v>
      </c>
    </row>
    <row r="608" spans="1:69" x14ac:dyDescent="0.2">
      <c r="A608">
        <f t="shared" si="525"/>
        <v>1970000</v>
      </c>
      <c r="B608">
        <f t="shared" si="508"/>
        <v>1970</v>
      </c>
      <c r="C608">
        <f t="shared" si="477"/>
        <v>1.1072127066850421</v>
      </c>
      <c r="D608">
        <f t="shared" si="478"/>
        <v>0.4437015657773633</v>
      </c>
      <c r="F608">
        <f t="shared" si="479"/>
        <v>2.2645610120617254E-5</v>
      </c>
      <c r="G608">
        <f t="shared" si="480"/>
        <v>1.7928476844420792E-3</v>
      </c>
      <c r="H608">
        <f t="shared" si="481"/>
        <v>-3.139799802315558</v>
      </c>
      <c r="J608">
        <f t="shared" si="482"/>
        <v>15</v>
      </c>
      <c r="M608">
        <f t="shared" si="483"/>
        <v>1.1455577010163255E-4</v>
      </c>
      <c r="N608">
        <f t="shared" si="484"/>
        <v>-1.5707963250000001</v>
      </c>
      <c r="O608">
        <f t="shared" si="485"/>
        <v>1848.8834653076754</v>
      </c>
      <c r="P608">
        <f t="shared" si="486"/>
        <v>1.5702554597973166</v>
      </c>
      <c r="Q608">
        <f t="shared" si="487"/>
        <v>275.13227257504275</v>
      </c>
      <c r="R608">
        <f t="shared" si="488"/>
        <v>1.56716170337398</v>
      </c>
      <c r="S608">
        <f t="shared" si="489"/>
        <v>0.1276739127400538</v>
      </c>
      <c r="T608">
        <f t="shared" si="490"/>
        <v>-1.4427729839425079</v>
      </c>
      <c r="U608">
        <f t="shared" si="491"/>
        <v>0.11692124887513233</v>
      </c>
      <c r="V608">
        <f t="shared" si="492"/>
        <v>-1.4536070287988179</v>
      </c>
      <c r="X608">
        <f t="shared" si="509"/>
        <v>-69.704599937252141</v>
      </c>
      <c r="Y608">
        <f t="shared" si="493"/>
        <v>-230.66463884153794</v>
      </c>
      <c r="Z608">
        <f t="shared" si="510"/>
        <v>-50.664638841537936</v>
      </c>
      <c r="AC608">
        <v>1</v>
      </c>
      <c r="AD608">
        <f t="shared" si="494"/>
        <v>1848.8831948741699</v>
      </c>
      <c r="AE608">
        <f t="shared" si="495"/>
        <v>-4.1193441272803195</v>
      </c>
      <c r="AF608">
        <f t="shared" si="496"/>
        <v>0.48496514410637998</v>
      </c>
      <c r="AG608">
        <f t="shared" si="473"/>
        <v>51.878333395292138</v>
      </c>
      <c r="AH608">
        <f t="shared" si="474"/>
        <v>-442.72193705923411</v>
      </c>
      <c r="AJ608">
        <f t="shared" si="497"/>
        <v>18000</v>
      </c>
      <c r="AK608">
        <f t="shared" si="498"/>
        <v>139830.37876316882</v>
      </c>
      <c r="AL608">
        <v>1</v>
      </c>
      <c r="AM608">
        <f t="shared" si="499"/>
        <v>275.13045526133163</v>
      </c>
      <c r="AN608">
        <f t="shared" si="475"/>
        <v>508.46408136228729</v>
      </c>
      <c r="AO608">
        <f t="shared" si="476"/>
        <v>-63.575426072055308</v>
      </c>
      <c r="AQ608">
        <f t="shared" si="500"/>
        <v>6.4418043210463858E-4</v>
      </c>
      <c r="AR608">
        <f t="shared" si="501"/>
        <v>-2.5380709024922763</v>
      </c>
      <c r="AT608">
        <f t="shared" si="523"/>
        <v>-1123.6262473378356</v>
      </c>
      <c r="AU608">
        <f t="shared" si="524"/>
        <v>-131.95608126910133</v>
      </c>
      <c r="AV608">
        <f t="shared" si="511"/>
        <v>-3.0246904154901451</v>
      </c>
      <c r="AW608">
        <f t="shared" si="512"/>
        <v>398.78308385715854</v>
      </c>
      <c r="AX608">
        <f t="shared" si="513"/>
        <v>-1865.0608929999298</v>
      </c>
      <c r="AY608">
        <f t="shared" si="521"/>
        <v>-1.3601504764118137</v>
      </c>
      <c r="BA608">
        <f t="shared" si="502"/>
        <v>0.59319285404247968</v>
      </c>
      <c r="BB608">
        <f t="shared" si="514"/>
        <v>-4.5360817876880786</v>
      </c>
      <c r="BC608">
        <f t="shared" si="515"/>
        <v>-1.6645399390783313</v>
      </c>
      <c r="BD608">
        <f t="shared" si="503"/>
        <v>-275.37111344912893</v>
      </c>
      <c r="BF608">
        <f t="shared" si="504"/>
        <v>-73.029954862267758</v>
      </c>
      <c r="BG608">
        <f t="shared" si="505"/>
        <v>-249.84616373194484</v>
      </c>
      <c r="BH608">
        <f t="shared" si="516"/>
        <v>-69.846163731944841</v>
      </c>
      <c r="BI608">
        <f t="shared" si="517"/>
        <v>-69.846163731944841</v>
      </c>
      <c r="BJ608">
        <f t="shared" si="506"/>
        <v>0</v>
      </c>
      <c r="BK608">
        <f t="shared" si="518"/>
        <v>0</v>
      </c>
      <c r="BM608">
        <f t="shared" si="519"/>
        <v>-68.493873074579668</v>
      </c>
      <c r="BN608">
        <f t="shared" si="507"/>
        <v>-154.47505028281594</v>
      </c>
      <c r="BQ608" s="56">
        <f t="shared" si="520"/>
        <v>12.365879012597059</v>
      </c>
    </row>
    <row r="609" spans="1:69" x14ac:dyDescent="0.2">
      <c r="A609">
        <f t="shared" si="525"/>
        <v>1975000</v>
      </c>
      <c r="B609">
        <f t="shared" si="508"/>
        <v>1975</v>
      </c>
      <c r="C609">
        <f t="shared" si="477"/>
        <v>1.1077311203966398</v>
      </c>
      <c r="D609">
        <f t="shared" si="478"/>
        <v>0.44468515950025744</v>
      </c>
      <c r="F609">
        <f t="shared" si="479"/>
        <v>2.2531091522406903E-5</v>
      </c>
      <c r="G609">
        <f t="shared" si="480"/>
        <v>1.7883086324599678E-3</v>
      </c>
      <c r="H609">
        <f t="shared" si="481"/>
        <v>-3.1398043413675403</v>
      </c>
      <c r="J609">
        <f t="shared" si="482"/>
        <v>15</v>
      </c>
      <c r="M609">
        <f t="shared" si="483"/>
        <v>1.1426575549378029E-4</v>
      </c>
      <c r="N609">
        <f t="shared" si="484"/>
        <v>-1.5707963250000001</v>
      </c>
      <c r="O609">
        <f t="shared" si="485"/>
        <v>1853.5760615643387</v>
      </c>
      <c r="P609">
        <f t="shared" si="486"/>
        <v>1.5702568290805887</v>
      </c>
      <c r="Q609">
        <f t="shared" si="487"/>
        <v>275.83056862215017</v>
      </c>
      <c r="R609">
        <f t="shared" si="488"/>
        <v>1.5671709048715301</v>
      </c>
      <c r="S609">
        <f t="shared" si="489"/>
        <v>0.12735593674995599</v>
      </c>
      <c r="T609">
        <f t="shared" si="490"/>
        <v>-1.4430935770471602</v>
      </c>
      <c r="U609">
        <f t="shared" si="491"/>
        <v>0.11662927710326464</v>
      </c>
      <c r="V609">
        <f t="shared" si="492"/>
        <v>-1.4539010118968358</v>
      </c>
      <c r="X609">
        <f t="shared" si="509"/>
        <v>-69.765929437097171</v>
      </c>
      <c r="Y609">
        <f t="shared" si="493"/>
        <v>-230.64315010243249</v>
      </c>
      <c r="Z609">
        <f t="shared" si="510"/>
        <v>-50.643150102432486</v>
      </c>
      <c r="AC609">
        <v>1</v>
      </c>
      <c r="AD609">
        <f t="shared" si="494"/>
        <v>1853.575791815475</v>
      </c>
      <c r="AE609">
        <f t="shared" si="495"/>
        <v>-4.1402810395714384</v>
      </c>
      <c r="AF609">
        <f t="shared" si="496"/>
        <v>0.48619602010664997</v>
      </c>
      <c r="AG609">
        <f t="shared" si="473"/>
        <v>51.619559275611138</v>
      </c>
      <c r="AH609">
        <f t="shared" si="474"/>
        <v>-441.63151004968489</v>
      </c>
      <c r="AJ609">
        <f t="shared" si="497"/>
        <v>18000</v>
      </c>
      <c r="AK609">
        <f t="shared" si="498"/>
        <v>140185.278201654</v>
      </c>
      <c r="AL609">
        <v>1</v>
      </c>
      <c r="AM609">
        <f t="shared" si="499"/>
        <v>275.82875590920304</v>
      </c>
      <c r="AN609">
        <f t="shared" si="475"/>
        <v>508.46291286497893</v>
      </c>
      <c r="AO609">
        <f t="shared" si="476"/>
        <v>-63.414479862617604</v>
      </c>
      <c r="AQ609">
        <f t="shared" si="500"/>
        <v>6.4092288793956816E-4</v>
      </c>
      <c r="AR609">
        <f t="shared" si="501"/>
        <v>-2.5316454073612942</v>
      </c>
      <c r="AT609">
        <f t="shared" si="523"/>
        <v>-1118.0213000063129</v>
      </c>
      <c r="AU609">
        <f t="shared" si="524"/>
        <v>-130.96547191294118</v>
      </c>
      <c r="AV609">
        <f t="shared" si="511"/>
        <v>-3.0249836718544865</v>
      </c>
      <c r="AW609">
        <f t="shared" si="512"/>
        <v>399.34006398027952</v>
      </c>
      <c r="AX609">
        <f t="shared" si="513"/>
        <v>-1860.36600739389</v>
      </c>
      <c r="AY609">
        <f t="shared" si="521"/>
        <v>-1.3593483034882068</v>
      </c>
      <c r="BA609">
        <f t="shared" si="502"/>
        <v>0.59160135400190006</v>
      </c>
      <c r="BB609">
        <f t="shared" si="514"/>
        <v>-4.5594168140275562</v>
      </c>
      <c r="BC609">
        <f t="shared" si="515"/>
        <v>-1.6656353683662797</v>
      </c>
      <c r="BD609">
        <f t="shared" si="503"/>
        <v>-275.43387692415513</v>
      </c>
      <c r="BF609">
        <f t="shared" si="504"/>
        <v>-73.093259861434447</v>
      </c>
      <c r="BG609">
        <f t="shared" si="505"/>
        <v>-249.85283150635115</v>
      </c>
      <c r="BH609">
        <f t="shared" si="516"/>
        <v>-69.852831506351151</v>
      </c>
      <c r="BI609">
        <f t="shared" si="517"/>
        <v>-69.852831506351151</v>
      </c>
      <c r="BJ609">
        <f t="shared" si="506"/>
        <v>0</v>
      </c>
      <c r="BK609">
        <f t="shared" si="518"/>
        <v>0</v>
      </c>
      <c r="BM609">
        <f t="shared" si="519"/>
        <v>-68.53384304740689</v>
      </c>
      <c r="BN609">
        <f t="shared" si="507"/>
        <v>-154.41895458219605</v>
      </c>
      <c r="BQ609" s="56">
        <f t="shared" si="520"/>
        <v>12.34254398625758</v>
      </c>
    </row>
    <row r="610" spans="1:69" x14ac:dyDescent="0.2">
      <c r="A610">
        <f t="shared" si="525"/>
        <v>1980000</v>
      </c>
      <c r="B610">
        <f t="shared" si="508"/>
        <v>1980</v>
      </c>
      <c r="C610">
        <f t="shared" si="477"/>
        <v>1.1082506047868137</v>
      </c>
      <c r="D610">
        <f t="shared" si="478"/>
        <v>0.44566783206833127</v>
      </c>
      <c r="F610">
        <f t="shared" si="479"/>
        <v>2.2417439417803504E-5</v>
      </c>
      <c r="G610">
        <f t="shared" si="480"/>
        <v>1.7837925064702719E-3</v>
      </c>
      <c r="H610">
        <f t="shared" si="481"/>
        <v>-3.1398088574935299</v>
      </c>
      <c r="J610">
        <f t="shared" si="482"/>
        <v>15</v>
      </c>
      <c r="M610">
        <f t="shared" si="483"/>
        <v>1.1397720560616975E-4</v>
      </c>
      <c r="N610">
        <f t="shared" si="484"/>
        <v>-1.5707963250000001</v>
      </c>
      <c r="O610">
        <f t="shared" si="485"/>
        <v>1858.2686578244598</v>
      </c>
      <c r="P610">
        <f t="shared" si="486"/>
        <v>1.5702581914482909</v>
      </c>
      <c r="Q610">
        <f t="shared" si="487"/>
        <v>276.52886469249364</v>
      </c>
      <c r="R610">
        <f t="shared" si="488"/>
        <v>1.5671800598974799</v>
      </c>
      <c r="S610">
        <f t="shared" si="489"/>
        <v>0.12703952772392729</v>
      </c>
      <c r="T610">
        <f t="shared" si="490"/>
        <v>-1.4434125771915565</v>
      </c>
      <c r="U610">
        <f t="shared" si="491"/>
        <v>0.11633874992338859</v>
      </c>
      <c r="V610">
        <f t="shared" si="492"/>
        <v>-1.4541935303778317</v>
      </c>
      <c r="X610">
        <f t="shared" si="509"/>
        <v>-69.827090359192525</v>
      </c>
      <c r="Y610">
        <f t="shared" si="493"/>
        <v>-230.62154070063374</v>
      </c>
      <c r="Z610">
        <f t="shared" si="510"/>
        <v>-50.621540700633744</v>
      </c>
      <c r="AC610">
        <v>1</v>
      </c>
      <c r="AD610">
        <f t="shared" si="494"/>
        <v>1858.26838875678</v>
      </c>
      <c r="AE610">
        <f t="shared" si="495"/>
        <v>-4.1612710238835744</v>
      </c>
      <c r="AF610">
        <f t="shared" si="496"/>
        <v>0.48742689610691997</v>
      </c>
      <c r="AG610">
        <f t="shared" si="473"/>
        <v>51.362707711409641</v>
      </c>
      <c r="AH610">
        <f t="shared" si="474"/>
        <v>-440.54636505037496</v>
      </c>
      <c r="AJ610">
        <f t="shared" si="497"/>
        <v>18000</v>
      </c>
      <c r="AK610">
        <f t="shared" si="498"/>
        <v>140540.17764013918</v>
      </c>
      <c r="AL610">
        <v>1</v>
      </c>
      <c r="AM610">
        <f t="shared" si="499"/>
        <v>276.52705655707445</v>
      </c>
      <c r="AN610">
        <f t="shared" si="475"/>
        <v>508.46175320858652</v>
      </c>
      <c r="AO610">
        <f t="shared" si="476"/>
        <v>-63.254346480852249</v>
      </c>
      <c r="AQ610">
        <f t="shared" si="500"/>
        <v>6.3768999096457048E-4</v>
      </c>
      <c r="AR610">
        <f t="shared" si="501"/>
        <v>-2.5252523642196993</v>
      </c>
      <c r="AT610">
        <f t="shared" si="523"/>
        <v>-1112.4579964072377</v>
      </c>
      <c r="AU610">
        <f t="shared" si="524"/>
        <v>-129.98473108851101</v>
      </c>
      <c r="AV610">
        <f t="shared" si="511"/>
        <v>-3.0252754672721762</v>
      </c>
      <c r="AW610">
        <f t="shared" si="512"/>
        <v>399.89279514187814</v>
      </c>
      <c r="AX610">
        <f t="shared" si="513"/>
        <v>-1855.6946352465084</v>
      </c>
      <c r="AY610">
        <f t="shared" si="521"/>
        <v>-1.3585471472890516</v>
      </c>
      <c r="BA610">
        <f t="shared" si="502"/>
        <v>0.59001754772042514</v>
      </c>
      <c r="BB610">
        <f t="shared" si="514"/>
        <v>-4.5827014361461611</v>
      </c>
      <c r="BC610">
        <f t="shared" si="515"/>
        <v>-1.6667283199831247</v>
      </c>
      <c r="BD610">
        <f t="shared" si="503"/>
        <v>-275.49649843908389</v>
      </c>
      <c r="BF610">
        <f t="shared" si="504"/>
        <v>-73.15639662020422</v>
      </c>
      <c r="BG610">
        <f t="shared" si="505"/>
        <v>-249.85940878538091</v>
      </c>
      <c r="BH610">
        <f t="shared" si="516"/>
        <v>-69.859408785380907</v>
      </c>
      <c r="BI610">
        <f t="shared" si="517"/>
        <v>-69.859408785380907</v>
      </c>
      <c r="BJ610">
        <f t="shared" si="506"/>
        <v>0</v>
      </c>
      <c r="BK610">
        <f t="shared" si="518"/>
        <v>0</v>
      </c>
      <c r="BM610">
        <f t="shared" si="519"/>
        <v>-68.573695184058053</v>
      </c>
      <c r="BN610">
        <f t="shared" si="507"/>
        <v>-154.36291034629704</v>
      </c>
      <c r="BQ610" s="56">
        <f t="shared" si="520"/>
        <v>12.319259364138976</v>
      </c>
    </row>
    <row r="611" spans="1:69" x14ac:dyDescent="0.2">
      <c r="A611">
        <f t="shared" si="525"/>
        <v>1985000</v>
      </c>
      <c r="B611">
        <f t="shared" si="508"/>
        <v>1985</v>
      </c>
      <c r="C611">
        <f t="shared" si="477"/>
        <v>1.108771158350653</v>
      </c>
      <c r="D611">
        <f t="shared" si="478"/>
        <v>0.44664958287983886</v>
      </c>
      <c r="F611">
        <f t="shared" si="479"/>
        <v>2.2304645087092605E-5</v>
      </c>
      <c r="G611">
        <f t="shared" si="480"/>
        <v>1.7792991332137862E-3</v>
      </c>
      <c r="H611">
        <f t="shared" si="481"/>
        <v>-3.1398133508667865</v>
      </c>
      <c r="J611">
        <f t="shared" si="482"/>
        <v>15</v>
      </c>
      <c r="M611">
        <f t="shared" si="483"/>
        <v>1.1369010937038593E-4</v>
      </c>
      <c r="N611">
        <f t="shared" si="484"/>
        <v>-1.5707963250000001</v>
      </c>
      <c r="O611">
        <f t="shared" si="485"/>
        <v>1862.9612540880123</v>
      </c>
      <c r="P611">
        <f t="shared" si="486"/>
        <v>1.5702595469526817</v>
      </c>
      <c r="Q611">
        <f t="shared" si="487"/>
        <v>277.22716078589741</v>
      </c>
      <c r="R611">
        <f t="shared" si="488"/>
        <v>1.5671891688029937</v>
      </c>
      <c r="S611">
        <f t="shared" si="489"/>
        <v>0.12672467420427155</v>
      </c>
      <c r="T611">
        <f t="shared" si="490"/>
        <v>-1.4437299961544612</v>
      </c>
      <c r="U611">
        <f t="shared" si="491"/>
        <v>0.11604965671536298</v>
      </c>
      <c r="V611">
        <f t="shared" si="492"/>
        <v>-1.4544845951099541</v>
      </c>
      <c r="X611">
        <f t="shared" si="509"/>
        <v>-69.888083518857769</v>
      </c>
      <c r="Y611">
        <f t="shared" si="493"/>
        <v>-230.59981195500436</v>
      </c>
      <c r="Z611">
        <f t="shared" si="510"/>
        <v>-50.599811955004355</v>
      </c>
      <c r="AC611">
        <v>1</v>
      </c>
      <c r="AD611">
        <f t="shared" si="494"/>
        <v>1862.9609856980849</v>
      </c>
      <c r="AE611">
        <f t="shared" si="495"/>
        <v>-4.1823140802167273</v>
      </c>
      <c r="AF611">
        <f t="shared" si="496"/>
        <v>0.48865777210718997</v>
      </c>
      <c r="AG611">
        <f t="shared" si="473"/>
        <v>51.10775979242338</v>
      </c>
      <c r="AH611">
        <f t="shared" si="474"/>
        <v>-439.46646435632715</v>
      </c>
      <c r="AJ611">
        <f t="shared" si="497"/>
        <v>18000</v>
      </c>
      <c r="AK611">
        <f t="shared" si="498"/>
        <v>140895.0770786244</v>
      </c>
      <c r="AL611">
        <v>1</v>
      </c>
      <c r="AM611">
        <f t="shared" si="499"/>
        <v>277.22535720494579</v>
      </c>
      <c r="AN611">
        <f t="shared" si="475"/>
        <v>508.46060230414764</v>
      </c>
      <c r="AO611">
        <f t="shared" si="476"/>
        <v>-63.095019784805608</v>
      </c>
      <c r="AQ611">
        <f t="shared" si="500"/>
        <v>6.344814931582909E-4</v>
      </c>
      <c r="AR611">
        <f t="shared" si="501"/>
        <v>-2.5188915278384147</v>
      </c>
      <c r="AT611">
        <f t="shared" si="523"/>
        <v>-1106.9359269085101</v>
      </c>
      <c r="AU611">
        <f t="shared" si="524"/>
        <v>-129.01373648643383</v>
      </c>
      <c r="AV611">
        <f t="shared" si="511"/>
        <v>-3.0255658125836273</v>
      </c>
      <c r="AW611">
        <f t="shared" si="512"/>
        <v>400.44132052701315</v>
      </c>
      <c r="AX611">
        <f t="shared" si="513"/>
        <v>-1851.0466008122896</v>
      </c>
      <c r="AY611">
        <f t="shared" si="521"/>
        <v>-1.3577470021458586</v>
      </c>
      <c r="BA611">
        <f t="shared" si="502"/>
        <v>0.58844137876507052</v>
      </c>
      <c r="BB611">
        <f t="shared" si="514"/>
        <v>-4.6059359120415886</v>
      </c>
      <c r="BC611">
        <f t="shared" si="515"/>
        <v>-1.6678188104377687</v>
      </c>
      <c r="BD611">
        <f t="shared" si="503"/>
        <v>-275.55897893980568</v>
      </c>
      <c r="BF611">
        <f t="shared" si="504"/>
        <v>-73.21936598006576</v>
      </c>
      <c r="BG611">
        <f t="shared" si="505"/>
        <v>-249.86589655932917</v>
      </c>
      <c r="BH611">
        <f t="shared" si="516"/>
        <v>-69.865896559329173</v>
      </c>
      <c r="BI611">
        <f t="shared" si="517"/>
        <v>-69.865896559329173</v>
      </c>
      <c r="BJ611">
        <f t="shared" si="506"/>
        <v>0</v>
      </c>
      <c r="BK611">
        <f t="shared" si="518"/>
        <v>0</v>
      </c>
      <c r="BM611">
        <f t="shared" si="519"/>
        <v>-68.613430068024172</v>
      </c>
      <c r="BN611">
        <f t="shared" si="507"/>
        <v>-154.30691761952349</v>
      </c>
      <c r="BQ611" s="56">
        <f t="shared" si="520"/>
        <v>12.296024888243549</v>
      </c>
    </row>
    <row r="612" spans="1:69" x14ac:dyDescent="0.2">
      <c r="A612">
        <f t="shared" si="525"/>
        <v>1990000</v>
      </c>
      <c r="B612">
        <f t="shared" si="508"/>
        <v>1990</v>
      </c>
      <c r="C612">
        <f t="shared" si="477"/>
        <v>1.1092927795829761</v>
      </c>
      <c r="D612">
        <f t="shared" si="478"/>
        <v>0.44763041134126985</v>
      </c>
      <c r="F612">
        <f t="shared" si="479"/>
        <v>2.2192699919970689E-5</v>
      </c>
      <c r="G612">
        <f t="shared" si="480"/>
        <v>1.7748283411727892E-3</v>
      </c>
      <c r="H612">
        <f t="shared" si="481"/>
        <v>-3.1398178216588275</v>
      </c>
      <c r="J612">
        <f t="shared" si="482"/>
        <v>15</v>
      </c>
      <c r="M612">
        <f t="shared" si="483"/>
        <v>1.1340445582925432E-4</v>
      </c>
      <c r="N612">
        <f t="shared" si="484"/>
        <v>-1.5707963250000001</v>
      </c>
      <c r="O612">
        <f t="shared" si="485"/>
        <v>1867.6538503549709</v>
      </c>
      <c r="P612">
        <f t="shared" si="486"/>
        <v>1.5702608956454944</v>
      </c>
      <c r="Q612">
        <f t="shared" si="487"/>
        <v>277.92545690218776</v>
      </c>
      <c r="R612">
        <f t="shared" si="488"/>
        <v>1.567198231935707</v>
      </c>
      <c r="S612">
        <f t="shared" si="489"/>
        <v>0.12641136484376311</v>
      </c>
      <c r="T612">
        <f t="shared" si="490"/>
        <v>-1.4440458455994356</v>
      </c>
      <c r="U612">
        <f t="shared" si="491"/>
        <v>0.1157619869621497</v>
      </c>
      <c r="V612">
        <f t="shared" si="492"/>
        <v>-1.4547742168545796</v>
      </c>
      <c r="X612">
        <f t="shared" si="509"/>
        <v>-69.948909725643759</v>
      </c>
      <c r="Y612">
        <f t="shared" si="493"/>
        <v>-230.57796517134926</v>
      </c>
      <c r="Z612">
        <f t="shared" si="510"/>
        <v>-50.577965171349263</v>
      </c>
      <c r="AC612">
        <v>1</v>
      </c>
      <c r="AD612">
        <f t="shared" si="494"/>
        <v>1867.6535826393899</v>
      </c>
      <c r="AE612">
        <f t="shared" si="495"/>
        <v>-4.2034102085708973</v>
      </c>
      <c r="AF612">
        <f t="shared" si="496"/>
        <v>0.48988864810746002</v>
      </c>
      <c r="AG612">
        <f t="shared" si="473"/>
        <v>50.854696839236432</v>
      </c>
      <c r="AH612">
        <f t="shared" si="474"/>
        <v>-438.39177061460498</v>
      </c>
      <c r="AJ612">
        <f t="shared" si="497"/>
        <v>18000</v>
      </c>
      <c r="AK612">
        <f t="shared" si="498"/>
        <v>141249.97651710961</v>
      </c>
      <c r="AL612">
        <v>1</v>
      </c>
      <c r="AM612">
        <f t="shared" si="499"/>
        <v>277.92365785281726</v>
      </c>
      <c r="AN612">
        <f t="shared" si="475"/>
        <v>508.45946006381473</v>
      </c>
      <c r="AO612">
        <f t="shared" si="476"/>
        <v>-62.93649369424805</v>
      </c>
      <c r="AQ612">
        <f t="shared" si="500"/>
        <v>6.3129714961130084E-4</v>
      </c>
      <c r="AR612">
        <f t="shared" si="501"/>
        <v>-2.5125626554529776</v>
      </c>
      <c r="AT612">
        <f t="shared" si="523"/>
        <v>-1101.4546868790057</v>
      </c>
      <c r="AU612">
        <f t="shared" si="524"/>
        <v>-128.05236760785007</v>
      </c>
      <c r="AV612">
        <f t="shared" si="511"/>
        <v>-3.0258547185227584</v>
      </c>
      <c r="AW612">
        <f t="shared" si="512"/>
        <v>400.98568277259557</v>
      </c>
      <c r="AX612">
        <f t="shared" si="513"/>
        <v>-1846.421730088505</v>
      </c>
      <c r="AY612">
        <f t="shared" si="521"/>
        <v>-1.3569478624524678</v>
      </c>
      <c r="BA612">
        <f t="shared" si="502"/>
        <v>0.58687279125383263</v>
      </c>
      <c r="BB612">
        <f t="shared" si="514"/>
        <v>-4.6291204978266078</v>
      </c>
      <c r="BC612">
        <f t="shared" si="515"/>
        <v>-1.6689068560702907</v>
      </c>
      <c r="BD612">
        <f t="shared" si="503"/>
        <v>-275.62131936253809</v>
      </c>
      <c r="BF612">
        <f t="shared" si="504"/>
        <v>-73.282168776367996</v>
      </c>
      <c r="BG612">
        <f t="shared" si="505"/>
        <v>-249.87229580824638</v>
      </c>
      <c r="BH612">
        <f t="shared" si="516"/>
        <v>-69.872295808246378</v>
      </c>
      <c r="BI612">
        <f t="shared" si="517"/>
        <v>-69.872295808246378</v>
      </c>
      <c r="BJ612">
        <f t="shared" si="506"/>
        <v>0</v>
      </c>
      <c r="BK612">
        <f t="shared" si="518"/>
        <v>0</v>
      </c>
      <c r="BM612">
        <f t="shared" si="519"/>
        <v>-68.653048278541391</v>
      </c>
      <c r="BN612">
        <f t="shared" si="507"/>
        <v>-154.25097644570832</v>
      </c>
      <c r="BQ612" s="56">
        <f t="shared" si="520"/>
        <v>12.272840302458528</v>
      </c>
    </row>
    <row r="613" spans="1:69" x14ac:dyDescent="0.2">
      <c r="A613">
        <f t="shared" si="525"/>
        <v>1995000</v>
      </c>
      <c r="B613">
        <f t="shared" si="508"/>
        <v>1995</v>
      </c>
      <c r="C613">
        <f t="shared" si="477"/>
        <v>1.109815466978348</v>
      </c>
      <c r="D613">
        <f t="shared" si="478"/>
        <v>0.44861031686732739</v>
      </c>
      <c r="F613">
        <f t="shared" si="479"/>
        <v>2.2081595413901876E-5</v>
      </c>
      <c r="G613">
        <f t="shared" si="480"/>
        <v>1.7703799605492201E-3</v>
      </c>
      <c r="H613">
        <f t="shared" si="481"/>
        <v>-3.1398222700394509</v>
      </c>
      <c r="J613">
        <f t="shared" si="482"/>
        <v>15</v>
      </c>
      <c r="M613">
        <f t="shared" si="483"/>
        <v>1.1312023413544665E-4</v>
      </c>
      <c r="N613">
        <f t="shared" si="484"/>
        <v>-1.5707963250000001</v>
      </c>
      <c r="O613">
        <f t="shared" si="485"/>
        <v>1872.3464466253099</v>
      </c>
      <c r="P613">
        <f t="shared" si="486"/>
        <v>1.570262237577944</v>
      </c>
      <c r="Q613">
        <f t="shared" si="487"/>
        <v>278.62375304119257</v>
      </c>
      <c r="R613">
        <f t="shared" si="488"/>
        <v>1.5672072496397702</v>
      </c>
      <c r="S613">
        <f t="shared" si="489"/>
        <v>0.12609958840433086</v>
      </c>
      <c r="T613">
        <f t="shared" si="490"/>
        <v>-1.4443601370762345</v>
      </c>
      <c r="U613">
        <f t="shared" si="491"/>
        <v>0.11547573024857513</v>
      </c>
      <c r="V613">
        <f t="shared" si="492"/>
        <v>-1.4550624062676163</v>
      </c>
      <c r="X613">
        <f t="shared" si="509"/>
        <v>-70.009569783387207</v>
      </c>
      <c r="Y613">
        <f t="shared" si="493"/>
        <v>-230.55600164257029</v>
      </c>
      <c r="Z613">
        <f t="shared" si="510"/>
        <v>-50.556001642570294</v>
      </c>
      <c r="AC613">
        <v>1</v>
      </c>
      <c r="AD613">
        <f t="shared" si="494"/>
        <v>1872.3461795806948</v>
      </c>
      <c r="AE613">
        <f t="shared" si="495"/>
        <v>-4.2245594089460834</v>
      </c>
      <c r="AF613">
        <f t="shared" si="496"/>
        <v>0.49111952410773002</v>
      </c>
      <c r="AG613">
        <f t="shared" si="473"/>
        <v>50.603500399923625</v>
      </c>
      <c r="AH613">
        <f t="shared" si="474"/>
        <v>-437.32224682029033</v>
      </c>
      <c r="AJ613">
        <f t="shared" si="497"/>
        <v>18000</v>
      </c>
      <c r="AK613">
        <f t="shared" si="498"/>
        <v>141604.87595559479</v>
      </c>
      <c r="AL613">
        <v>1</v>
      </c>
      <c r="AM613">
        <f t="shared" si="499"/>
        <v>278.62195850068861</v>
      </c>
      <c r="AN613">
        <f t="shared" si="475"/>
        <v>508.45832640084103</v>
      </c>
      <c r="AO613">
        <f t="shared" si="476"/>
        <v>-62.778762189900874</v>
      </c>
      <c r="AQ613">
        <f t="shared" si="500"/>
        <v>6.2813671847936146E-4</v>
      </c>
      <c r="AR613">
        <f t="shared" si="501"/>
        <v>-2.5062655067326518</v>
      </c>
      <c r="AT613">
        <f t="shared" si="523"/>
        <v>-1096.013876615832</v>
      </c>
      <c r="AU613">
        <f t="shared" si="524"/>
        <v>-127.10050573329625</v>
      </c>
      <c r="AV613">
        <f t="shared" si="511"/>
        <v>-3.0261421957182968</v>
      </c>
      <c r="AW613">
        <f t="shared" si="512"/>
        <v>401.52592397573051</v>
      </c>
      <c r="AX613">
        <f t="shared" si="513"/>
        <v>-1841.819850793695</v>
      </c>
      <c r="AY613">
        <f t="shared" si="521"/>
        <v>-1.356149722664221</v>
      </c>
      <c r="BA613">
        <f t="shared" si="502"/>
        <v>0.58531172984902713</v>
      </c>
      <c r="BB613">
        <f t="shared" si="514"/>
        <v>-4.6522554477467724</v>
      </c>
      <c r="BC613">
        <f t="shared" si="515"/>
        <v>-1.6699924730540758</v>
      </c>
      <c r="BD613">
        <f t="shared" si="503"/>
        <v>-275.68352063394775</v>
      </c>
      <c r="BF613">
        <f t="shared" si="504"/>
        <v>-73.344805838379997</v>
      </c>
      <c r="BG613">
        <f t="shared" si="505"/>
        <v>-249.87860750206292</v>
      </c>
      <c r="BH613">
        <f t="shared" si="516"/>
        <v>-69.87860750206292</v>
      </c>
      <c r="BI613">
        <f t="shared" si="517"/>
        <v>-69.87860750206292</v>
      </c>
      <c r="BJ613">
        <f t="shared" si="506"/>
        <v>0</v>
      </c>
      <c r="BK613">
        <f t="shared" si="518"/>
        <v>0</v>
      </c>
      <c r="BM613">
        <f t="shared" si="519"/>
        <v>-68.692550390633215</v>
      </c>
      <c r="BN613">
        <f t="shared" si="507"/>
        <v>-154.1950868681152</v>
      </c>
      <c r="BQ613" s="56">
        <f t="shared" si="520"/>
        <v>12.249705352538363</v>
      </c>
    </row>
    <row r="614" spans="1:69" x14ac:dyDescent="0.2">
      <c r="A614">
        <f t="shared" si="525"/>
        <v>2000000</v>
      </c>
      <c r="B614">
        <f t="shared" si="508"/>
        <v>2000</v>
      </c>
      <c r="C614">
        <f t="shared" si="477"/>
        <v>1.1103392190310932</v>
      </c>
      <c r="D614">
        <f t="shared" si="478"/>
        <v>0.4495892988809051</v>
      </c>
      <c r="F614">
        <f t="shared" si="479"/>
        <v>2.1971323172503356E-5</v>
      </c>
      <c r="G614">
        <f t="shared" si="480"/>
        <v>1.7659538232431796E-3</v>
      </c>
      <c r="H614">
        <f t="shared" si="481"/>
        <v>-3.1398266961767569</v>
      </c>
      <c r="J614">
        <f t="shared" si="482"/>
        <v>15</v>
      </c>
      <c r="M614">
        <f t="shared" si="483"/>
        <v>1.1283743355010805E-4</v>
      </c>
      <c r="N614">
        <f t="shared" si="484"/>
        <v>-1.5707963250000001</v>
      </c>
      <c r="O614">
        <f t="shared" si="485"/>
        <v>1877.0390428990033</v>
      </c>
      <c r="P614">
        <f t="shared" si="486"/>
        <v>1.5702635728007335</v>
      </c>
      <c r="Q614">
        <f t="shared" si="487"/>
        <v>279.32204920274148</v>
      </c>
      <c r="R614">
        <f t="shared" si="488"/>
        <v>1.5672162222558927</v>
      </c>
      <c r="S614">
        <f t="shared" si="489"/>
        <v>0.12578933375576049</v>
      </c>
      <c r="T614">
        <f t="shared" si="490"/>
        <v>-1.4446728820221821</v>
      </c>
      <c r="U614">
        <f t="shared" si="491"/>
        <v>0.11519087626010874</v>
      </c>
      <c r="V614">
        <f t="shared" si="492"/>
        <v>-1.4553491739007851</v>
      </c>
      <c r="X614">
        <f t="shared" si="509"/>
        <v>-70.070064490264741</v>
      </c>
      <c r="Y614">
        <f t="shared" si="493"/>
        <v>-230.53392264881782</v>
      </c>
      <c r="Z614">
        <f t="shared" si="510"/>
        <v>-50.533922648817821</v>
      </c>
      <c r="AC614">
        <v>1</v>
      </c>
      <c r="AD614">
        <f t="shared" si="494"/>
        <v>1877.0387765219998</v>
      </c>
      <c r="AE614">
        <f t="shared" si="495"/>
        <v>-4.2457616813422865</v>
      </c>
      <c r="AF614">
        <f t="shared" si="496"/>
        <v>0.49235040010800002</v>
      </c>
      <c r="AG614">
        <f t="shared" si="473"/>
        <v>50.354152246749841</v>
      </c>
      <c r="AH614">
        <f t="shared" si="474"/>
        <v>-436.25785631251688</v>
      </c>
      <c r="AJ614">
        <f t="shared" si="497"/>
        <v>18000</v>
      </c>
      <c r="AK614">
        <f t="shared" si="498"/>
        <v>141959.77539408</v>
      </c>
      <c r="AL614">
        <v>1</v>
      </c>
      <c r="AM614">
        <f t="shared" si="499"/>
        <v>279.32025914856001</v>
      </c>
      <c r="AN614">
        <f t="shared" si="475"/>
        <v>508.45720122956163</v>
      </c>
      <c r="AO614">
        <f t="shared" si="476"/>
        <v>-62.621819312674134</v>
      </c>
      <c r="AQ614">
        <f t="shared" si="500"/>
        <v>6.2499996093750242E-4</v>
      </c>
      <c r="AR614">
        <f t="shared" si="501"/>
        <v>-2.4999998437500097</v>
      </c>
      <c r="AT614">
        <f t="shared" si="523"/>
        <v>-1090.6131012728192</v>
      </c>
      <c r="AU614">
        <f t="shared" si="524"/>
        <v>-126.1580338921928</v>
      </c>
      <c r="AV614">
        <f t="shared" si="511"/>
        <v>-3.0264282546950532</v>
      </c>
      <c r="AW614">
        <f t="shared" si="512"/>
        <v>402.06208570190768</v>
      </c>
      <c r="AX614">
        <f t="shared" si="513"/>
        <v>-1837.2407923464846</v>
      </c>
      <c r="AY614">
        <f t="shared" si="521"/>
        <v>-1.3553525772971478</v>
      </c>
      <c r="BA614">
        <f t="shared" si="502"/>
        <v>0.58375813975072799</v>
      </c>
      <c r="BB614">
        <f t="shared" si="514"/>
        <v>-4.6753410141978522</v>
      </c>
      <c r="BC614">
        <f t="shared" si="515"/>
        <v>-1.6710756773979054</v>
      </c>
      <c r="BD614">
        <f t="shared" si="503"/>
        <v>-275.74558367127037</v>
      </c>
      <c r="BF614">
        <f t="shared" si="504"/>
        <v>-73.407277989350263</v>
      </c>
      <c r="BG614">
        <f t="shared" si="505"/>
        <v>-249.88483260071172</v>
      </c>
      <c r="BH614">
        <f t="shared" si="516"/>
        <v>-69.884832600711718</v>
      </c>
      <c r="BI614">
        <f t="shared" si="517"/>
        <v>-69.884832600711718</v>
      </c>
      <c r="BJ614">
        <f t="shared" si="506"/>
        <v>0</v>
      </c>
      <c r="BK614">
        <f t="shared" si="518"/>
        <v>0</v>
      </c>
      <c r="BM614">
        <f t="shared" si="519"/>
        <v>-68.731936975152408</v>
      </c>
      <c r="BN614">
        <f t="shared" si="507"/>
        <v>-154.13924892944135</v>
      </c>
      <c r="BQ614" s="56">
        <f t="shared" si="520"/>
        <v>12.226619786087285</v>
      </c>
    </row>
    <row r="615" spans="1:69" x14ac:dyDescent="0.2">
      <c r="A615">
        <f>A614+250000</f>
        <v>2250000</v>
      </c>
      <c r="B615">
        <f t="shared" si="508"/>
        <v>2250</v>
      </c>
      <c r="C615">
        <f t="shared" si="477"/>
        <v>1.1378509601904485</v>
      </c>
      <c r="D615">
        <f t="shared" ref="D615:D626" si="526">ATAN(A615/Fesr)</f>
        <v>0.49735049194577913</v>
      </c>
      <c r="F615">
        <f t="shared" si="479"/>
        <v>1.7359982669649497E-5</v>
      </c>
      <c r="G615">
        <f t="shared" ref="G615:G626" si="527">-ATAN(A615*Fo/(Q*(Fo^2-A615^2)))</f>
        <v>1.5697297656842937E-3</v>
      </c>
      <c r="H615">
        <f t="shared" si="481"/>
        <v>-3.140022920234316</v>
      </c>
      <c r="J615">
        <f t="shared" si="482"/>
        <v>15</v>
      </c>
      <c r="M615">
        <f t="shared" ref="M615:M626" si="528">1/(2*Pi*_Rfb1*(Cc1ea_u+Cc2ea_u)*A615)</f>
        <v>1.0029994093342938E-4</v>
      </c>
      <c r="N615">
        <f t="shared" si="484"/>
        <v>-1.5707963250000001</v>
      </c>
      <c r="O615">
        <f t="shared" ref="O615:O626" si="529">SQRT(1+(A615/Fz1_u)^2)</f>
        <v>2111.6688603668117</v>
      </c>
      <c r="P615">
        <f t="shared" si="486"/>
        <v>1.5703227676795708</v>
      </c>
      <c r="Q615">
        <f t="shared" ref="Q615:Q626" si="530">SQRT(1+(A615/Fz2_u)^2)</f>
        <v>314.23688270247249</v>
      </c>
      <c r="R615">
        <f t="shared" si="488"/>
        <v>1.5676140087956221</v>
      </c>
      <c r="S615">
        <f t="shared" ref="S615:S626" si="531">1/SQRT(1+(A615/Fp1_u)^2)</f>
        <v>0.1119988624519819</v>
      </c>
      <c r="T615">
        <f t="shared" si="490"/>
        <v>-1.4585619851682949</v>
      </c>
      <c r="U615">
        <f t="shared" si="491"/>
        <v>0.10253476093850716</v>
      </c>
      <c r="V615">
        <f t="shared" si="492"/>
        <v>-1.4680810460664735</v>
      </c>
      <c r="X615">
        <f t="shared" ref="X615:X626" si="532">20*LOG(C615*J615*O615*Q615*F615*M615*S615*U615)</f>
        <v>-72.900113754227291</v>
      </c>
      <c r="Y615">
        <f t="shared" ref="Y615:Y626" si="533">(180/Pi)*(D615+H615+N615+P615+R615+T615+V615)</f>
        <v>-229.3077370959154</v>
      </c>
      <c r="Z615">
        <f t="shared" si="510"/>
        <v>-49.3077370959154</v>
      </c>
      <c r="AC615">
        <v>1</v>
      </c>
      <c r="AD615">
        <f t="shared" si="494"/>
        <v>2111.6686235872498</v>
      </c>
      <c r="AE615">
        <f t="shared" si="495"/>
        <v>-5.3735421279488298</v>
      </c>
      <c r="AF615">
        <f t="shared" si="496"/>
        <v>0.55389420012150004</v>
      </c>
      <c r="AG615">
        <f t="shared" si="473"/>
        <v>39.897103841077318</v>
      </c>
      <c r="AH615">
        <f t="shared" si="474"/>
        <v>-388.86265323942951</v>
      </c>
      <c r="AJ615">
        <f t="shared" si="497"/>
        <v>18000</v>
      </c>
      <c r="AK615">
        <f t="shared" si="498"/>
        <v>159704.74731834</v>
      </c>
      <c r="AL615">
        <v>1</v>
      </c>
      <c r="AM615">
        <f t="shared" si="499"/>
        <v>314.23529154213003</v>
      </c>
      <c r="AN615">
        <f t="shared" si="475"/>
        <v>508.41014872464206</v>
      </c>
      <c r="AO615">
        <f t="shared" si="476"/>
        <v>-55.663989125582454</v>
      </c>
      <c r="AQ615">
        <f t="shared" si="500"/>
        <v>4.9382713610730193E-4</v>
      </c>
      <c r="AR615">
        <f t="shared" si="501"/>
        <v>-2.2222221124828585</v>
      </c>
      <c r="AT615">
        <f t="shared" si="523"/>
        <v>-864.11948447488555</v>
      </c>
      <c r="AU615">
        <f t="shared" si="524"/>
        <v>-88.852257310055123</v>
      </c>
      <c r="AV615">
        <f t="shared" si="511"/>
        <v>-3.0391287097581317</v>
      </c>
      <c r="AW615">
        <f t="shared" si="512"/>
        <v>424.45399663566258</v>
      </c>
      <c r="AX615">
        <f t="shared" si="513"/>
        <v>-1634.0535006461569</v>
      </c>
      <c r="AY615">
        <f t="shared" si="521"/>
        <v>-1.3166575223575399</v>
      </c>
      <c r="BA615">
        <f t="shared" si="502"/>
        <v>0.51453262449548554</v>
      </c>
      <c r="BB615">
        <f t="shared" si="514"/>
        <v>-5.7717416623782594</v>
      </c>
      <c r="BC615">
        <f t="shared" si="515"/>
        <v>-1.7224711874005918</v>
      </c>
      <c r="BD615">
        <f t="shared" si="503"/>
        <v>-278.69032948371159</v>
      </c>
      <c r="BF615">
        <f t="shared" si="504"/>
        <v>-76.337223128881362</v>
      </c>
      <c r="BG615">
        <f t="shared" si="505"/>
        <v>-250.10430643324909</v>
      </c>
      <c r="BH615">
        <f t="shared" si="516"/>
        <v>-70.104306433249093</v>
      </c>
      <c r="BI615">
        <f t="shared" si="517"/>
        <v>-70.104306433249093</v>
      </c>
      <c r="BJ615">
        <f t="shared" si="506"/>
        <v>0</v>
      </c>
      <c r="BK615">
        <f t="shared" si="518"/>
        <v>0</v>
      </c>
      <c r="BM615">
        <f t="shared" si="519"/>
        <v>-70.565481466503101</v>
      </c>
      <c r="BN615">
        <f t="shared" si="507"/>
        <v>-151.41397694953756</v>
      </c>
      <c r="BQ615" s="56">
        <f t="shared" si="520"/>
        <v>11.130219137906877</v>
      </c>
    </row>
    <row r="616" spans="1:69" x14ac:dyDescent="0.2">
      <c r="A616">
        <f t="shared" ref="A616:A626" si="534">A615+250000</f>
        <v>2500000</v>
      </c>
      <c r="B616">
        <f t="shared" si="508"/>
        <v>2500</v>
      </c>
      <c r="C616">
        <f t="shared" si="477"/>
        <v>1.1678326488886488</v>
      </c>
      <c r="D616">
        <f t="shared" si="526"/>
        <v>0.54275870002899429</v>
      </c>
      <c r="F616">
        <f t="shared" si="479"/>
        <v>1.4061542424201619E-5</v>
      </c>
      <c r="G616">
        <f t="shared" si="527"/>
        <v>1.4127523046270857E-3</v>
      </c>
      <c r="H616">
        <f t="shared" si="481"/>
        <v>-3.140179897695373</v>
      </c>
      <c r="J616">
        <f t="shared" si="482"/>
        <v>15</v>
      </c>
      <c r="M616">
        <f t="shared" si="528"/>
        <v>9.0269946840086437E-5</v>
      </c>
      <c r="N616">
        <f t="shared" si="484"/>
        <v>-1.5707963250000001</v>
      </c>
      <c r="O616">
        <f t="shared" si="529"/>
        <v>2346.298683754108</v>
      </c>
      <c r="P616">
        <f t="shared" si="486"/>
        <v>1.57037012358505</v>
      </c>
      <c r="Q616">
        <f t="shared" si="530"/>
        <v>349.15175598069715</v>
      </c>
      <c r="R616">
        <f t="shared" si="488"/>
        <v>1.5679322387585664</v>
      </c>
      <c r="S616">
        <f t="shared" si="531"/>
        <v>0.10091930902644208</v>
      </c>
      <c r="T616">
        <f t="shared" si="490"/>
        <v>-1.4697049222640681</v>
      </c>
      <c r="U616">
        <f t="shared" si="491"/>
        <v>9.2373591012594986E-2</v>
      </c>
      <c r="V616">
        <f t="shared" si="492"/>
        <v>-1.4782908599764548</v>
      </c>
      <c r="X616">
        <f t="shared" si="532"/>
        <v>-75.400647144199183</v>
      </c>
      <c r="Y616">
        <f t="shared" si="533"/>
        <v>-227.91750854821717</v>
      </c>
      <c r="Z616">
        <f t="shared" si="510"/>
        <v>-47.917508548217171</v>
      </c>
      <c r="AC616">
        <v>1</v>
      </c>
      <c r="AD616">
        <f t="shared" si="494"/>
        <v>2346.2984706524999</v>
      </c>
      <c r="AE616">
        <f t="shared" si="495"/>
        <v>-6.6340026270973222</v>
      </c>
      <c r="AF616">
        <f t="shared" si="496"/>
        <v>0.61543800013500005</v>
      </c>
      <c r="AG616">
        <f t="shared" ref="AG616:AG626" si="535">AC616*AE616/(AE616^2+AF616^2)+AD616*AF616/(AE616^2+AF616^2)</f>
        <v>32.381337181562756</v>
      </c>
      <c r="AH616">
        <f t="shared" ref="AH616:AH626" si="536">AD616*AE616/(AE616^2+AF616^2)-AC616*AF616/(AE616^2+AF616^2)</f>
        <v>-350.67362737443995</v>
      </c>
      <c r="AJ616">
        <f t="shared" si="497"/>
        <v>18000</v>
      </c>
      <c r="AK616">
        <f t="shared" si="498"/>
        <v>177449.7192426</v>
      </c>
      <c r="AL616">
        <v>1</v>
      </c>
      <c r="AM616">
        <f t="shared" si="499"/>
        <v>349.15032393570004</v>
      </c>
      <c r="AN616">
        <f t="shared" ref="AN616:AN626" si="537">AJ616*AL616/(AL616^2+AM616^2)+AK616*AM616/(AL616^2+AM616^2)</f>
        <v>508.3764921893561</v>
      </c>
      <c r="AO616">
        <f t="shared" ref="AO616:AO626" si="538">AK616*AL616/(AL616^2+AM616^2)-AJ616*AM616/(AL616^2+AM616^2)</f>
        <v>-50.097686608567841</v>
      </c>
      <c r="AQ616">
        <f t="shared" si="500"/>
        <v>3.9999998400000063E-4</v>
      </c>
      <c r="AR616">
        <f t="shared" si="501"/>
        <v>-1.9999999200000032</v>
      </c>
      <c r="AT616">
        <f t="shared" si="523"/>
        <v>-701.33427416063626</v>
      </c>
      <c r="AU616">
        <f t="shared" si="524"/>
        <v>-64.902941217957647</v>
      </c>
      <c r="AV616">
        <f t="shared" si="511"/>
        <v>-3.0493133899838645</v>
      </c>
      <c r="AW616">
        <f t="shared" si="512"/>
        <v>440.43553883558116</v>
      </c>
      <c r="AX616">
        <f t="shared" si="513"/>
        <v>-1471.2633781738539</v>
      </c>
      <c r="AY616">
        <f t="shared" si="521"/>
        <v>-1.279927955676635</v>
      </c>
      <c r="BA616">
        <f t="shared" si="502"/>
        <v>0.45861653814820758</v>
      </c>
      <c r="BB616">
        <f t="shared" si="514"/>
        <v>-6.7710057650390283</v>
      </c>
      <c r="BC616">
        <f t="shared" si="515"/>
        <v>-1.7693854343072295</v>
      </c>
      <c r="BD616">
        <f t="shared" si="503"/>
        <v>-281.37831783356802</v>
      </c>
      <c r="BF616">
        <f t="shared" si="504"/>
        <v>-78.940909102783337</v>
      </c>
      <c r="BG616">
        <f t="shared" si="505"/>
        <v>-250.19959024772018</v>
      </c>
      <c r="BH616">
        <f t="shared" si="516"/>
        <v>-70.199590247720181</v>
      </c>
      <c r="BI616">
        <f t="shared" si="517"/>
        <v>-70.199590247720181</v>
      </c>
      <c r="BJ616">
        <f t="shared" si="506"/>
        <v>0</v>
      </c>
      <c r="BK616">
        <f t="shared" si="518"/>
        <v>0</v>
      </c>
      <c r="BM616">
        <f t="shared" si="519"/>
        <v>-72.169903337744316</v>
      </c>
      <c r="BN616">
        <f t="shared" si="507"/>
        <v>-148.82127241415213</v>
      </c>
      <c r="BQ616" s="56">
        <f t="shared" si="520"/>
        <v>10.130955035246107</v>
      </c>
    </row>
    <row r="617" spans="1:69" x14ac:dyDescent="0.2">
      <c r="A617">
        <f t="shared" si="534"/>
        <v>2750000</v>
      </c>
      <c r="B617">
        <f t="shared" si="508"/>
        <v>2750</v>
      </c>
      <c r="C617">
        <f t="shared" si="477"/>
        <v>1.2000991817055942</v>
      </c>
      <c r="D617">
        <f t="shared" si="526"/>
        <v>0.58581012316697756</v>
      </c>
      <c r="F617">
        <f t="shared" si="479"/>
        <v>1.1621082819013787E-5</v>
      </c>
      <c r="G617">
        <f t="shared" si="527"/>
        <v>1.2843172605726978E-3</v>
      </c>
      <c r="H617">
        <f t="shared" si="481"/>
        <v>-3.1403083327394277</v>
      </c>
      <c r="J617">
        <f t="shared" si="482"/>
        <v>15</v>
      </c>
      <c r="M617">
        <f t="shared" si="528"/>
        <v>8.2063588036442216E-5</v>
      </c>
      <c r="N617">
        <f t="shared" si="484"/>
        <v>-1.5707963250000001</v>
      </c>
      <c r="O617">
        <f t="shared" si="529"/>
        <v>2580.928511446486</v>
      </c>
      <c r="P617">
        <f t="shared" si="486"/>
        <v>1.5704088693273281</v>
      </c>
      <c r="Q617">
        <f t="shared" si="530"/>
        <v>384.06665818882169</v>
      </c>
      <c r="R617">
        <f t="shared" si="488"/>
        <v>1.5681926091626304</v>
      </c>
      <c r="S617">
        <f t="shared" si="531"/>
        <v>9.1826017830227494E-2</v>
      </c>
      <c r="T617">
        <f t="shared" si="490"/>
        <v>-1.4788407704057465</v>
      </c>
      <c r="U617">
        <f t="shared" si="491"/>
        <v>8.4038241551723014E-2</v>
      </c>
      <c r="V617">
        <f t="shared" si="492"/>
        <v>-1.4866588505640079</v>
      </c>
      <c r="X617">
        <f t="shared" si="532"/>
        <v>-77.633384285301219</v>
      </c>
      <c r="Y617">
        <f t="shared" si="533"/>
        <v>-226.44396047635402</v>
      </c>
      <c r="Z617">
        <f t="shared" si="510"/>
        <v>-46.443960476354022</v>
      </c>
      <c r="AC617">
        <v>1</v>
      </c>
      <c r="AD617">
        <f t="shared" si="494"/>
        <v>2580.9283177177499</v>
      </c>
      <c r="AE617">
        <f t="shared" si="495"/>
        <v>-8.0271431787877603</v>
      </c>
      <c r="AF617">
        <f t="shared" si="496"/>
        <v>0.67698180014849996</v>
      </c>
      <c r="AG617">
        <f t="shared" si="535"/>
        <v>26.801125825915118</v>
      </c>
      <c r="AH617">
        <f t="shared" si="536"/>
        <v>-319.26482264355735</v>
      </c>
      <c r="AJ617">
        <f t="shared" si="497"/>
        <v>18000</v>
      </c>
      <c r="AK617">
        <f t="shared" si="498"/>
        <v>195194.69116685999</v>
      </c>
      <c r="AL617">
        <v>1</v>
      </c>
      <c r="AM617">
        <f t="shared" si="499"/>
        <v>384.06535632927006</v>
      </c>
      <c r="AN617">
        <f t="shared" si="537"/>
        <v>508.35159007618375</v>
      </c>
      <c r="AO617">
        <f t="shared" si="538"/>
        <v>-45.543416300552067</v>
      </c>
      <c r="AQ617">
        <f t="shared" si="500"/>
        <v>3.3057850146847931E-4</v>
      </c>
      <c r="AR617">
        <f t="shared" si="501"/>
        <v>-1.8181817580766362</v>
      </c>
      <c r="AT617">
        <f t="shared" si="523"/>
        <v>-580.47261665007534</v>
      </c>
      <c r="AU617">
        <f t="shared" si="524"/>
        <v>-48.834860159236598</v>
      </c>
      <c r="AV617">
        <f t="shared" si="511"/>
        <v>-3.0576608166466581</v>
      </c>
      <c r="AW617">
        <f t="shared" si="512"/>
        <v>452.24102479547338</v>
      </c>
      <c r="AX617">
        <f t="shared" si="513"/>
        <v>-1337.9275906363678</v>
      </c>
      <c r="AY617">
        <f t="shared" si="521"/>
        <v>-1.2448372474017593</v>
      </c>
      <c r="BA617">
        <f t="shared" si="502"/>
        <v>0.41246619739909374</v>
      </c>
      <c r="BB617">
        <f t="shared" si="514"/>
        <v>-7.6922327427452899</v>
      </c>
      <c r="BC617">
        <f t="shared" si="515"/>
        <v>-1.8128235692448988</v>
      </c>
      <c r="BD617">
        <f t="shared" si="503"/>
        <v>-283.86713963826014</v>
      </c>
      <c r="BF617">
        <f t="shared" si="504"/>
        <v>-81.281132844257073</v>
      </c>
      <c r="BG617">
        <f t="shared" si="505"/>
        <v>-250.22910598772972</v>
      </c>
      <c r="BH617">
        <f t="shared" si="516"/>
        <v>-70.229105987729724</v>
      </c>
      <c r="BI617">
        <f t="shared" si="517"/>
        <v>-70.229105987729724</v>
      </c>
      <c r="BJ617">
        <f t="shared" si="506"/>
        <v>0</v>
      </c>
      <c r="BK617">
        <f t="shared" si="518"/>
        <v>0</v>
      </c>
      <c r="BM617">
        <f t="shared" si="519"/>
        <v>-73.588900101511783</v>
      </c>
      <c r="BN617">
        <f t="shared" si="507"/>
        <v>-146.36196634946958</v>
      </c>
      <c r="BQ617" s="56">
        <f t="shared" si="520"/>
        <v>9.2097280575398468</v>
      </c>
    </row>
    <row r="618" spans="1:69" x14ac:dyDescent="0.2">
      <c r="A618">
        <f t="shared" si="534"/>
        <v>3000000</v>
      </c>
      <c r="B618">
        <f t="shared" si="508"/>
        <v>3000</v>
      </c>
      <c r="C618">
        <f t="shared" si="477"/>
        <v>1.2344714083229309</v>
      </c>
      <c r="D618">
        <f t="shared" si="526"/>
        <v>0.62653623851022477</v>
      </c>
      <c r="F618">
        <f t="shared" si="479"/>
        <v>9.7649206321674819E-6</v>
      </c>
      <c r="G618">
        <f t="shared" si="527"/>
        <v>1.1772887191924711E-3</v>
      </c>
      <c r="H618">
        <f t="shared" si="481"/>
        <v>-3.1404153612808079</v>
      </c>
      <c r="J618">
        <f t="shared" si="482"/>
        <v>15</v>
      </c>
      <c r="M618">
        <f t="shared" si="528"/>
        <v>7.5224955700072029E-5</v>
      </c>
      <c r="N618">
        <f t="shared" si="484"/>
        <v>-1.5707963250000001</v>
      </c>
      <c r="O618">
        <f t="shared" si="529"/>
        <v>2815.5583423676758</v>
      </c>
      <c r="P618">
        <f t="shared" si="486"/>
        <v>1.5704411574467867</v>
      </c>
      <c r="Q618">
        <f t="shared" si="530"/>
        <v>418.98158209441874</v>
      </c>
      <c r="R618">
        <f t="shared" si="488"/>
        <v>1.5684095847705224</v>
      </c>
      <c r="S618">
        <f t="shared" si="531"/>
        <v>8.4230588848641846E-2</v>
      </c>
      <c r="T618">
        <f t="shared" si="490"/>
        <v>-1.4864658188563606</v>
      </c>
      <c r="U618">
        <f t="shared" si="491"/>
        <v>7.7078540335914825E-2</v>
      </c>
      <c r="V618">
        <f t="shared" si="492"/>
        <v>-1.4936412597844626</v>
      </c>
      <c r="X618">
        <f t="shared" si="532"/>
        <v>-79.64468530141697</v>
      </c>
      <c r="Y618">
        <f t="shared" si="533"/>
        <v>-224.9393221476175</v>
      </c>
      <c r="Z618">
        <f t="shared" si="510"/>
        <v>-44.939322147617503</v>
      </c>
      <c r="AC618">
        <v>1</v>
      </c>
      <c r="AD618">
        <f t="shared" si="494"/>
        <v>2815.5581647829999</v>
      </c>
      <c r="AE618">
        <f t="shared" si="495"/>
        <v>-9.552963783020143</v>
      </c>
      <c r="AF618">
        <f t="shared" si="496"/>
        <v>0.73852560016199997</v>
      </c>
      <c r="AG618">
        <f t="shared" si="535"/>
        <v>22.545822733787588</v>
      </c>
      <c r="AH618">
        <f t="shared" si="536"/>
        <v>-292.98839198912123</v>
      </c>
      <c r="AJ618">
        <f t="shared" si="497"/>
        <v>18000</v>
      </c>
      <c r="AK618">
        <f t="shared" si="498"/>
        <v>212939.66309111999</v>
      </c>
      <c r="AL618">
        <v>1</v>
      </c>
      <c r="AM618">
        <f t="shared" si="499"/>
        <v>418.98038872284002</v>
      </c>
      <c r="AN618">
        <f t="shared" si="537"/>
        <v>508.33264992940661</v>
      </c>
      <c r="AO618">
        <f t="shared" si="538"/>
        <v>-41.748176814169497</v>
      </c>
      <c r="AQ618">
        <f t="shared" si="500"/>
        <v>2.7777777006172862E-4</v>
      </c>
      <c r="AR618">
        <f t="shared" si="501"/>
        <v>-1.6666666203703717</v>
      </c>
      <c r="AT618">
        <f t="shared" si="523"/>
        <v>-488.30771035589515</v>
      </c>
      <c r="AU618">
        <f t="shared" si="524"/>
        <v>-37.657755841371966</v>
      </c>
      <c r="AV618">
        <f t="shared" si="511"/>
        <v>-3.0646260892623456</v>
      </c>
      <c r="AW618">
        <f t="shared" si="512"/>
        <v>461.20916817077853</v>
      </c>
      <c r="AX618">
        <f t="shared" si="513"/>
        <v>-1226.7241067683483</v>
      </c>
      <c r="AY618">
        <f t="shared" si="521"/>
        <v>-1.2111771554877677</v>
      </c>
      <c r="BA618">
        <f t="shared" si="502"/>
        <v>0.37370120091455716</v>
      </c>
      <c r="BB618">
        <f t="shared" si="514"/>
        <v>-8.5495101302575893</v>
      </c>
      <c r="BC618">
        <f t="shared" si="515"/>
        <v>-1.8534489337745779</v>
      </c>
      <c r="BD618">
        <f t="shared" si="503"/>
        <v>-286.19480156965096</v>
      </c>
      <c r="BF618">
        <f t="shared" si="504"/>
        <v>-83.404689880805321</v>
      </c>
      <c r="BG618">
        <f t="shared" si="505"/>
        <v>-250.22946567503871</v>
      </c>
      <c r="BH618">
        <f t="shared" si="516"/>
        <v>-70.229465675038711</v>
      </c>
      <c r="BI618">
        <f t="shared" si="517"/>
        <v>-70.229465675038711</v>
      </c>
      <c r="BJ618">
        <f t="shared" si="506"/>
        <v>0</v>
      </c>
      <c r="BK618">
        <f t="shared" si="518"/>
        <v>0</v>
      </c>
      <c r="BM618">
        <f t="shared" si="519"/>
        <v>-74.855179750547734</v>
      </c>
      <c r="BN618">
        <f t="shared" si="507"/>
        <v>-144.03466410538775</v>
      </c>
      <c r="BQ618" s="56">
        <f t="shared" si="520"/>
        <v>8.3524506700275474</v>
      </c>
    </row>
    <row r="619" spans="1:69" x14ac:dyDescent="0.2">
      <c r="A619">
        <f t="shared" si="534"/>
        <v>3250000</v>
      </c>
      <c r="B619">
        <f t="shared" si="508"/>
        <v>3250</v>
      </c>
      <c r="C619">
        <f t="shared" si="477"/>
        <v>1.270778474762368</v>
      </c>
      <c r="D619">
        <f t="shared" si="526"/>
        <v>0.66499606190753213</v>
      </c>
      <c r="F619">
        <f t="shared" si="479"/>
        <v>8.3203944633616178E-6</v>
      </c>
      <c r="G619">
        <f t="shared" si="527"/>
        <v>1.0867265377565109E-3</v>
      </c>
      <c r="H619">
        <f t="shared" si="481"/>
        <v>-3.1405059234622437</v>
      </c>
      <c r="J619">
        <f t="shared" si="482"/>
        <v>15</v>
      </c>
      <c r="M619">
        <f t="shared" si="528"/>
        <v>6.9438420646220338E-5</v>
      </c>
      <c r="N619">
        <f t="shared" si="484"/>
        <v>-1.5707963250000001</v>
      </c>
      <c r="O619">
        <f t="shared" si="529"/>
        <v>3050.1881757725673</v>
      </c>
      <c r="P619">
        <f t="shared" si="486"/>
        <v>1.5704684781638327</v>
      </c>
      <c r="Q619">
        <f t="shared" si="530"/>
        <v>453.89652269040704</v>
      </c>
      <c r="R619">
        <f t="shared" si="488"/>
        <v>1.5685931796920078</v>
      </c>
      <c r="S619">
        <f t="shared" si="531"/>
        <v>7.7792145918825065E-2</v>
      </c>
      <c r="T619">
        <f t="shared" si="490"/>
        <v>-1.4929255050436394</v>
      </c>
      <c r="U619">
        <f t="shared" si="491"/>
        <v>7.1180707703376603E-2</v>
      </c>
      <c r="V619">
        <f t="shared" si="492"/>
        <v>-1.4995553731614006</v>
      </c>
      <c r="X619">
        <f t="shared" si="532"/>
        <v>-81.470271963172948</v>
      </c>
      <c r="Y619">
        <f t="shared" si="533"/>
        <v>-223.43780733084662</v>
      </c>
      <c r="Z619">
        <f t="shared" si="510"/>
        <v>-43.437807330846624</v>
      </c>
      <c r="AC619">
        <v>1</v>
      </c>
      <c r="AD619">
        <f t="shared" si="494"/>
        <v>3050.18801184825</v>
      </c>
      <c r="AE619">
        <f t="shared" si="495"/>
        <v>-11.211464439794472</v>
      </c>
      <c r="AF619">
        <f t="shared" si="496"/>
        <v>0.8000694001755001</v>
      </c>
      <c r="AG619">
        <f t="shared" si="535"/>
        <v>19.227540194112997</v>
      </c>
      <c r="AH619">
        <f t="shared" si="536"/>
        <v>-270.68762172820396</v>
      </c>
      <c r="AJ619">
        <f t="shared" si="497"/>
        <v>18000</v>
      </c>
      <c r="AK619">
        <f t="shared" si="498"/>
        <v>230684.63501538002</v>
      </c>
      <c r="AL619">
        <v>1</v>
      </c>
      <c r="AM619">
        <f t="shared" si="499"/>
        <v>453.89542111641003</v>
      </c>
      <c r="AN619">
        <f t="shared" si="537"/>
        <v>508.31791001319374</v>
      </c>
      <c r="AO619">
        <f t="shared" si="538"/>
        <v>-38.536811071951163</v>
      </c>
      <c r="AQ619">
        <f t="shared" si="500"/>
        <v>2.3668638493049978E-4</v>
      </c>
      <c r="AR619">
        <f t="shared" si="501"/>
        <v>-1.5384615020482484</v>
      </c>
      <c r="AT619">
        <f t="shared" si="523"/>
        <v>-416.43793421286108</v>
      </c>
      <c r="AU619">
        <f t="shared" si="524"/>
        <v>-29.644898442360432</v>
      </c>
      <c r="AV619">
        <f t="shared" si="511"/>
        <v>-3.0705257024347286</v>
      </c>
      <c r="AW619">
        <f t="shared" si="512"/>
        <v>468.18195500275829</v>
      </c>
      <c r="AX619">
        <f t="shared" si="513"/>
        <v>-1132.5698557661897</v>
      </c>
      <c r="AY619">
        <f t="shared" si="521"/>
        <v>-1.1788087727584693</v>
      </c>
      <c r="BA619">
        <f t="shared" si="502"/>
        <v>0.34066391133535417</v>
      </c>
      <c r="BB619">
        <f t="shared" si="514"/>
        <v>-9.3534774306712709</v>
      </c>
      <c r="BC619">
        <f t="shared" si="515"/>
        <v>-1.8917169296762593</v>
      </c>
      <c r="BD619">
        <f t="shared" si="503"/>
        <v>-288.38739622774665</v>
      </c>
      <c r="BF619">
        <f t="shared" si="504"/>
        <v>-85.347376925443598</v>
      </c>
      <c r="BG619">
        <f t="shared" si="505"/>
        <v>-250.22366359991793</v>
      </c>
      <c r="BH619">
        <f t="shared" si="516"/>
        <v>-70.223663599917927</v>
      </c>
      <c r="BI619">
        <f t="shared" si="517"/>
        <v>-70.223663599917927</v>
      </c>
      <c r="BJ619">
        <f t="shared" si="506"/>
        <v>0</v>
      </c>
      <c r="BK619">
        <f t="shared" si="518"/>
        <v>0</v>
      </c>
      <c r="BM619">
        <f t="shared" si="519"/>
        <v>-75.993899494772322</v>
      </c>
      <c r="BN619">
        <f t="shared" si="507"/>
        <v>-141.83626737217128</v>
      </c>
      <c r="BQ619" s="56">
        <f t="shared" si="520"/>
        <v>7.5484833696138667</v>
      </c>
    </row>
    <row r="620" spans="1:69" x14ac:dyDescent="0.2">
      <c r="A620">
        <f t="shared" si="534"/>
        <v>3500000</v>
      </c>
      <c r="B620">
        <f t="shared" si="508"/>
        <v>3500</v>
      </c>
      <c r="C620">
        <f t="shared" si="477"/>
        <v>1.3088593766284236</v>
      </c>
      <c r="D620">
        <f t="shared" si="526"/>
        <v>0.70126906411828405</v>
      </c>
      <c r="F620">
        <f t="shared" si="479"/>
        <v>7.1742099560427345E-6</v>
      </c>
      <c r="G620">
        <f t="shared" si="527"/>
        <v>1.0091021005392395E-3</v>
      </c>
      <c r="H620">
        <f t="shared" si="481"/>
        <v>-3.1405835478994608</v>
      </c>
      <c r="J620">
        <f t="shared" si="482"/>
        <v>15</v>
      </c>
      <c r="M620">
        <f t="shared" si="528"/>
        <v>6.44785334572046E-5</v>
      </c>
      <c r="N620">
        <f t="shared" si="484"/>
        <v>-1.5707963250000001</v>
      </c>
      <c r="O620">
        <f t="shared" si="529"/>
        <v>3284.818011128938</v>
      </c>
      <c r="P620">
        <f t="shared" si="486"/>
        <v>1.570491895921692</v>
      </c>
      <c r="Q620">
        <f t="shared" si="530"/>
        <v>488.8114764002911</v>
      </c>
      <c r="R620">
        <f t="shared" si="488"/>
        <v>1.5687505468862486</v>
      </c>
      <c r="S620">
        <f t="shared" si="531"/>
        <v>7.2265692178797067E-2</v>
      </c>
      <c r="T620">
        <f t="shared" si="490"/>
        <v>-1.4984675871201698</v>
      </c>
      <c r="U620">
        <f t="shared" si="491"/>
        <v>6.6119449925786819E-2</v>
      </c>
      <c r="V620">
        <f t="shared" si="492"/>
        <v>-1.5046286052106874</v>
      </c>
      <c r="X620">
        <f t="shared" si="532"/>
        <v>-83.138248263833304</v>
      </c>
      <c r="Y620">
        <f t="shared" si="533"/>
        <v>-221.96181942771503</v>
      </c>
      <c r="Z620">
        <f t="shared" si="510"/>
        <v>-41.961819427715028</v>
      </c>
      <c r="AC620">
        <v>1</v>
      </c>
      <c r="AD620">
        <f t="shared" si="494"/>
        <v>3284.8178589135</v>
      </c>
      <c r="AE620">
        <f t="shared" si="495"/>
        <v>-13.002645149110748</v>
      </c>
      <c r="AF620">
        <f t="shared" si="496"/>
        <v>0.86161320018900012</v>
      </c>
      <c r="AG620">
        <f t="shared" si="535"/>
        <v>16.590427934740692</v>
      </c>
      <c r="AH620">
        <f t="shared" si="536"/>
        <v>-251.52753841258323</v>
      </c>
      <c r="AJ620">
        <f t="shared" si="497"/>
        <v>18000</v>
      </c>
      <c r="AK620">
        <f t="shared" si="498"/>
        <v>248429.60693963998</v>
      </c>
      <c r="AL620">
        <v>1</v>
      </c>
      <c r="AM620">
        <f t="shared" si="499"/>
        <v>488.81045350997999</v>
      </c>
      <c r="AN620">
        <f t="shared" si="537"/>
        <v>508.30621432322454</v>
      </c>
      <c r="AO620">
        <f t="shared" si="538"/>
        <v>-35.784205636509874</v>
      </c>
      <c r="AQ620">
        <f t="shared" si="500"/>
        <v>2.0408162848813003E-4</v>
      </c>
      <c r="AR620">
        <f t="shared" si="501"/>
        <v>-1.4285713994169102</v>
      </c>
      <c r="AT620">
        <f t="shared" si="523"/>
        <v>-359.32166174040447</v>
      </c>
      <c r="AU620">
        <f t="shared" si="524"/>
        <v>-23.75194300130676</v>
      </c>
      <c r="AV620">
        <f t="shared" si="511"/>
        <v>-3.075586505736903</v>
      </c>
      <c r="AW620">
        <f t="shared" si="512"/>
        <v>473.71056529872453</v>
      </c>
      <c r="AX620">
        <f t="shared" si="513"/>
        <v>-1051.8263745409154</v>
      </c>
      <c r="AY620">
        <f t="shared" si="521"/>
        <v>-1.1476351295690319</v>
      </c>
      <c r="BA620">
        <f t="shared" si="502"/>
        <v>0.3121644782312939</v>
      </c>
      <c r="BB620">
        <f t="shared" si="514"/>
        <v>-10.112330352559233</v>
      </c>
      <c r="BC620">
        <f t="shared" si="515"/>
        <v>-1.927951376167871</v>
      </c>
      <c r="BD620">
        <f t="shared" si="503"/>
        <v>-290.46347708708089</v>
      </c>
      <c r="BF620">
        <f t="shared" si="504"/>
        <v>-87.137163752645833</v>
      </c>
      <c r="BG620">
        <f t="shared" si="505"/>
        <v>-250.22590207257727</v>
      </c>
      <c r="BH620">
        <f t="shared" si="516"/>
        <v>-70.22590207257727</v>
      </c>
      <c r="BI620">
        <f t="shared" si="517"/>
        <v>-70.22590207257727</v>
      </c>
      <c r="BJ620">
        <f t="shared" si="506"/>
        <v>0</v>
      </c>
      <c r="BK620">
        <f t="shared" si="518"/>
        <v>0</v>
      </c>
      <c r="BM620">
        <f t="shared" si="519"/>
        <v>-77.024833400086607</v>
      </c>
      <c r="BN620">
        <f t="shared" si="507"/>
        <v>-139.76242498549638</v>
      </c>
      <c r="BQ620" s="56">
        <f t="shared" si="520"/>
        <v>6.7896304477259042</v>
      </c>
    </row>
    <row r="621" spans="1:69" x14ac:dyDescent="0.2">
      <c r="A621">
        <f t="shared" si="534"/>
        <v>3750000</v>
      </c>
      <c r="B621">
        <f t="shared" si="508"/>
        <v>3750</v>
      </c>
      <c r="C621">
        <f t="shared" si="477"/>
        <v>1.3485638529832862</v>
      </c>
      <c r="D621">
        <f t="shared" si="526"/>
        <v>0.73544899364737037</v>
      </c>
      <c r="F621">
        <f t="shared" si="479"/>
        <v>6.2495285814973043E-6</v>
      </c>
      <c r="G621">
        <f t="shared" si="527"/>
        <v>9.418277890515858E-4</v>
      </c>
      <c r="H621">
        <f t="shared" si="481"/>
        <v>-3.1406508222109486</v>
      </c>
      <c r="J621">
        <f t="shared" si="482"/>
        <v>15</v>
      </c>
      <c r="M621">
        <f t="shared" si="528"/>
        <v>6.0179964560057627E-5</v>
      </c>
      <c r="N621">
        <f t="shared" si="484"/>
        <v>-1.5707963250000001</v>
      </c>
      <c r="O621">
        <f t="shared" si="529"/>
        <v>3519.4478480464923</v>
      </c>
      <c r="P621">
        <f t="shared" si="486"/>
        <v>1.5705121913121076</v>
      </c>
      <c r="Q621">
        <f t="shared" si="530"/>
        <v>523.72644060130244</v>
      </c>
      <c r="R621">
        <f t="shared" si="488"/>
        <v>1.5688869318701653</v>
      </c>
      <c r="S621">
        <f t="shared" si="531"/>
        <v>6.7470690461759339E-2</v>
      </c>
      <c r="T621">
        <f t="shared" si="490"/>
        <v>-1.5032743401108368</v>
      </c>
      <c r="U621">
        <f t="shared" si="491"/>
        <v>6.1728880360028229E-2</v>
      </c>
      <c r="V621">
        <f t="shared" si="492"/>
        <v>-1.5090281765445253</v>
      </c>
      <c r="X621">
        <f t="shared" si="532"/>
        <v>-84.671109031750802</v>
      </c>
      <c r="Y621">
        <f t="shared" si="533"/>
        <v>-220.52581465856184</v>
      </c>
      <c r="Z621">
        <f t="shared" si="510"/>
        <v>-40.525814658561842</v>
      </c>
      <c r="AC621">
        <v>1</v>
      </c>
      <c r="AD621">
        <f t="shared" si="494"/>
        <v>3519.4477059787496</v>
      </c>
      <c r="AE621">
        <f t="shared" si="495"/>
        <v>-14.92650591096897</v>
      </c>
      <c r="AF621">
        <f t="shared" si="496"/>
        <v>0.92315700020250002</v>
      </c>
      <c r="AG621">
        <f t="shared" si="535"/>
        <v>14.460254090417125</v>
      </c>
      <c r="AH621">
        <f t="shared" si="536"/>
        <v>-234.89078034089439</v>
      </c>
      <c r="AJ621">
        <f t="shared" si="497"/>
        <v>18000</v>
      </c>
      <c r="AK621">
        <f t="shared" si="498"/>
        <v>266174.57886390004</v>
      </c>
      <c r="AL621">
        <v>1</v>
      </c>
      <c r="AM621">
        <f t="shared" si="499"/>
        <v>523.72548590355007</v>
      </c>
      <c r="AN621">
        <f t="shared" si="537"/>
        <v>508.29677882597599</v>
      </c>
      <c r="AO621">
        <f t="shared" si="538"/>
        <v>-33.398609943521663</v>
      </c>
      <c r="AQ621">
        <f t="shared" si="500"/>
        <v>1.77777774617284E-4</v>
      </c>
      <c r="AR621">
        <f t="shared" si="501"/>
        <v>-1.33333330962963</v>
      </c>
      <c r="AT621">
        <f t="shared" si="523"/>
        <v>-313.18513084161856</v>
      </c>
      <c r="AU621">
        <f t="shared" si="524"/>
        <v>-19.322096804668384</v>
      </c>
      <c r="AV621">
        <f t="shared" si="511"/>
        <v>-3.0799753054896675</v>
      </c>
      <c r="AW621">
        <f t="shared" si="512"/>
        <v>478.16812755632304</v>
      </c>
      <c r="AX621">
        <f t="shared" si="513"/>
        <v>-981.82101194134691</v>
      </c>
      <c r="AY621">
        <f t="shared" si="521"/>
        <v>-1.1175851686150486</v>
      </c>
      <c r="BA621">
        <f t="shared" si="502"/>
        <v>0.28732641533722847</v>
      </c>
      <c r="BB621">
        <f t="shared" si="514"/>
        <v>-10.832488906695035</v>
      </c>
      <c r="BC621">
        <f t="shared" si="515"/>
        <v>-1.9623901368746188</v>
      </c>
      <c r="BD621">
        <f t="shared" si="503"/>
        <v>-292.43667272949324</v>
      </c>
      <c r="BF621">
        <f t="shared" si="504"/>
        <v>-88.796288261032657</v>
      </c>
      <c r="BG621">
        <f t="shared" si="505"/>
        <v>-250.24458654080291</v>
      </c>
      <c r="BH621">
        <f t="shared" si="516"/>
        <v>-70.244586540802914</v>
      </c>
      <c r="BI621">
        <f t="shared" si="517"/>
        <v>-70.244586540802914</v>
      </c>
      <c r="BJ621">
        <f t="shared" si="506"/>
        <v>0</v>
      </c>
      <c r="BK621">
        <f t="shared" si="518"/>
        <v>0</v>
      </c>
      <c r="BM621">
        <f t="shared" si="519"/>
        <v>-77.963799354337624</v>
      </c>
      <c r="BN621">
        <f t="shared" si="507"/>
        <v>-137.8079138113097</v>
      </c>
      <c r="BQ621" s="56">
        <f t="shared" si="520"/>
        <v>6.0694718935901033</v>
      </c>
    </row>
    <row r="622" spans="1:69" x14ac:dyDescent="0.2">
      <c r="A622">
        <f t="shared" si="534"/>
        <v>4000000</v>
      </c>
      <c r="B622">
        <f t="shared" si="508"/>
        <v>4000</v>
      </c>
      <c r="C622">
        <f t="shared" si="477"/>
        <v>1.3897527568867465</v>
      </c>
      <c r="D622">
        <f t="shared" si="526"/>
        <v>0.76763870227914799</v>
      </c>
      <c r="F622">
        <f t="shared" si="479"/>
        <v>5.4927458277721445E-6</v>
      </c>
      <c r="G622">
        <f t="shared" si="527"/>
        <v>8.8296290916953224E-4</v>
      </c>
      <c r="H622">
        <f t="shared" si="481"/>
        <v>-3.1407096870908306</v>
      </c>
      <c r="J622">
        <f t="shared" si="482"/>
        <v>15</v>
      </c>
      <c r="M622">
        <f t="shared" si="528"/>
        <v>5.6418716775054025E-5</v>
      </c>
      <c r="N622">
        <f t="shared" si="484"/>
        <v>-1.5707963250000001</v>
      </c>
      <c r="O622">
        <f t="shared" si="529"/>
        <v>3754.0776862325088</v>
      </c>
      <c r="P622">
        <f t="shared" si="486"/>
        <v>1.5705299497789138</v>
      </c>
      <c r="Q622">
        <f t="shared" si="530"/>
        <v>558.64141332636166</v>
      </c>
      <c r="R622">
        <f t="shared" si="488"/>
        <v>1.5690062687895348</v>
      </c>
      <c r="S622">
        <f t="shared" si="531"/>
        <v>6.327121397822047E-2</v>
      </c>
      <c r="T622">
        <f t="shared" si="490"/>
        <v>-1.5074828215417011</v>
      </c>
      <c r="U622">
        <f t="shared" si="491"/>
        <v>5.7884181402874511E-2</v>
      </c>
      <c r="V622">
        <f t="shared" si="492"/>
        <v>-1.5128797723088481</v>
      </c>
      <c r="X622">
        <f t="shared" si="532"/>
        <v>-86.087120864815716</v>
      </c>
      <c r="Y622">
        <f t="shared" si="533"/>
        <v>-219.13880633661429</v>
      </c>
      <c r="Z622">
        <f t="shared" si="510"/>
        <v>-39.138806336614294</v>
      </c>
      <c r="AC622">
        <v>1</v>
      </c>
      <c r="AD622">
        <f t="shared" si="494"/>
        <v>3754.0775530439996</v>
      </c>
      <c r="AE622">
        <f t="shared" si="495"/>
        <v>-16.983046725369146</v>
      </c>
      <c r="AF622">
        <f t="shared" si="496"/>
        <v>0.98470080021600004</v>
      </c>
      <c r="AG622">
        <f t="shared" si="535"/>
        <v>12.71507471497925</v>
      </c>
      <c r="AH622">
        <f t="shared" si="536"/>
        <v>-220.31129451043924</v>
      </c>
      <c r="AJ622">
        <f t="shared" si="497"/>
        <v>18000</v>
      </c>
      <c r="AK622">
        <f t="shared" si="498"/>
        <v>283919.55078816001</v>
      </c>
      <c r="AL622">
        <v>1</v>
      </c>
      <c r="AM622">
        <f t="shared" si="499"/>
        <v>558.64051829712002</v>
      </c>
      <c r="AN622">
        <f t="shared" si="537"/>
        <v>508.28905655529718</v>
      </c>
      <c r="AO622">
        <f t="shared" si="538"/>
        <v>-31.311210645378779</v>
      </c>
      <c r="AQ622">
        <f t="shared" si="500"/>
        <v>1.562499975585938E-4</v>
      </c>
      <c r="AR622">
        <f t="shared" si="501"/>
        <v>-1.2499999804687503</v>
      </c>
      <c r="AT622">
        <f t="shared" si="523"/>
        <v>-275.38712710470094</v>
      </c>
      <c r="AU622">
        <f t="shared" si="524"/>
        <v>-15.92826678461215</v>
      </c>
      <c r="AV622">
        <f t="shared" si="511"/>
        <v>-3.0838174761203785</v>
      </c>
      <c r="AW622">
        <f t="shared" si="512"/>
        <v>481.8145592888082</v>
      </c>
      <c r="AX622">
        <f t="shared" si="513"/>
        <v>-920.54660836825769</v>
      </c>
      <c r="AY622">
        <f t="shared" si="521"/>
        <v>-1.0886040421176701</v>
      </c>
      <c r="BA622">
        <f t="shared" si="502"/>
        <v>0.26548942219076221</v>
      </c>
      <c r="BB622">
        <f t="shared" si="514"/>
        <v>-11.519055553849693</v>
      </c>
      <c r="BC622">
        <f t="shared" si="515"/>
        <v>-1.9952134340027083</v>
      </c>
      <c r="BD622">
        <f t="shared" si="503"/>
        <v>-294.31730912678557</v>
      </c>
      <c r="BF622">
        <f t="shared" si="504"/>
        <v>-90.342689430659604</v>
      </c>
      <c r="BG622">
        <f t="shared" si="505"/>
        <v>-250.28426119681376</v>
      </c>
      <c r="BH622">
        <f t="shared" si="516"/>
        <v>-70.284261196813759</v>
      </c>
      <c r="BI622">
        <f t="shared" si="517"/>
        <v>-70.284261196813759</v>
      </c>
      <c r="BJ622">
        <f t="shared" si="506"/>
        <v>0</v>
      </c>
      <c r="BK622">
        <f t="shared" si="518"/>
        <v>0</v>
      </c>
      <c r="BM622">
        <f t="shared" si="519"/>
        <v>-78.823633876809907</v>
      </c>
      <c r="BN622">
        <f t="shared" si="507"/>
        <v>-135.96695207002819</v>
      </c>
      <c r="BQ622" s="56">
        <f t="shared" si="520"/>
        <v>5.3829052464354445</v>
      </c>
    </row>
    <row r="623" spans="1:69" x14ac:dyDescent="0.2">
      <c r="A623">
        <f>A622+250000</f>
        <v>4250000</v>
      </c>
      <c r="B623">
        <f t="shared" si="508"/>
        <v>4250</v>
      </c>
      <c r="C623">
        <f t="shared" si="477"/>
        <v>1.4322980300523016</v>
      </c>
      <c r="D623">
        <f t="shared" si="526"/>
        <v>0.7979459605201934</v>
      </c>
      <c r="F623">
        <f t="shared" si="479"/>
        <v>4.8655436125405447E-6</v>
      </c>
      <c r="G623">
        <f t="shared" si="527"/>
        <v>8.310234129059454E-4</v>
      </c>
      <c r="H623">
        <f t="shared" si="481"/>
        <v>-3.1407616265870941</v>
      </c>
      <c r="J623">
        <f t="shared" si="482"/>
        <v>15</v>
      </c>
      <c r="M623">
        <f t="shared" si="528"/>
        <v>5.3099968729462615E-5</v>
      </c>
      <c r="N623">
        <f t="shared" si="484"/>
        <v>-1.5707963250000001</v>
      </c>
      <c r="O623">
        <f t="shared" si="529"/>
        <v>3988.7075254631409</v>
      </c>
      <c r="P623">
        <f t="shared" si="486"/>
        <v>1.5705456190144711</v>
      </c>
      <c r="Q623">
        <f t="shared" si="530"/>
        <v>593.55639307122988</v>
      </c>
      <c r="R623">
        <f t="shared" si="488"/>
        <v>1.5691115661137831</v>
      </c>
      <c r="S623">
        <f t="shared" si="531"/>
        <v>5.9562993079519629E-2</v>
      </c>
      <c r="T623">
        <f t="shared" si="490"/>
        <v>-1.5111980582666074</v>
      </c>
      <c r="U623">
        <f t="shared" si="491"/>
        <v>5.4489654205830816E-2</v>
      </c>
      <c r="V623">
        <f t="shared" si="492"/>
        <v>-1.5162796720890284</v>
      </c>
      <c r="X623">
        <f t="shared" si="532"/>
        <v>-87.401299332315219</v>
      </c>
      <c r="Y623">
        <f t="shared" si="533"/>
        <v>-217.80604068225421</v>
      </c>
      <c r="Z623">
        <f t="shared" si="510"/>
        <v>-37.806040682254206</v>
      </c>
      <c r="AC623">
        <v>1</v>
      </c>
      <c r="AD623">
        <f t="shared" si="494"/>
        <v>3988.7074001092501</v>
      </c>
      <c r="AE623">
        <f t="shared" si="495"/>
        <v>-19.172267592311258</v>
      </c>
      <c r="AF623">
        <f t="shared" si="496"/>
        <v>1.0462446002295001</v>
      </c>
      <c r="AG623">
        <f t="shared" si="535"/>
        <v>11.26749122240575</v>
      </c>
      <c r="AH623">
        <f t="shared" si="536"/>
        <v>-207.43080228311422</v>
      </c>
      <c r="AJ623">
        <f t="shared" si="497"/>
        <v>18000</v>
      </c>
      <c r="AK623">
        <f t="shared" si="498"/>
        <v>301664.52271241997</v>
      </c>
      <c r="AL623">
        <v>1</v>
      </c>
      <c r="AM623">
        <f t="shared" si="499"/>
        <v>593.5555506906901</v>
      </c>
      <c r="AN623">
        <f t="shared" si="537"/>
        <v>508.28265652113231</v>
      </c>
      <c r="AO623">
        <f t="shared" si="538"/>
        <v>-29.469385507598496</v>
      </c>
      <c r="AQ623">
        <f t="shared" si="500"/>
        <v>1.3840830258258404E-4</v>
      </c>
      <c r="AR623">
        <f t="shared" si="501"/>
        <v>-1.1764705719519644</v>
      </c>
      <c r="AT623">
        <f t="shared" si="523"/>
        <v>-244.03467508813577</v>
      </c>
      <c r="AU623">
        <f t="shared" si="524"/>
        <v>-13.28458198813478</v>
      </c>
      <c r="AV623">
        <f t="shared" si="511"/>
        <v>-3.0872090596060695</v>
      </c>
      <c r="AW623">
        <f t="shared" si="512"/>
        <v>484.83543290426701</v>
      </c>
      <c r="AX623">
        <f t="shared" si="513"/>
        <v>-866.46661524753483</v>
      </c>
      <c r="AY623">
        <f t="shared" si="521"/>
        <v>-1.0606470912407024</v>
      </c>
      <c r="BA623">
        <f t="shared" si="502"/>
        <v>0.24614618938422927</v>
      </c>
      <c r="BB623">
        <f t="shared" si="514"/>
        <v>-12.17613766398026</v>
      </c>
      <c r="BC623">
        <f t="shared" si="515"/>
        <v>-2.0265619683653671</v>
      </c>
      <c r="BD623">
        <f t="shared" si="503"/>
        <v>-296.11344784173912</v>
      </c>
      <c r="BF623">
        <f t="shared" si="504"/>
        <v>-91.791017196141041</v>
      </c>
      <c r="BG623">
        <f t="shared" si="505"/>
        <v>-250.34689783788744</v>
      </c>
      <c r="BH623">
        <f t="shared" si="516"/>
        <v>-70.34689783788744</v>
      </c>
      <c r="BI623">
        <f t="shared" si="517"/>
        <v>-70.34689783788744</v>
      </c>
      <c r="BJ623">
        <f t="shared" si="506"/>
        <v>0</v>
      </c>
      <c r="BK623">
        <f t="shared" si="518"/>
        <v>0</v>
      </c>
      <c r="BM623">
        <f t="shared" si="519"/>
        <v>-79.614879532160771</v>
      </c>
      <c r="BN623">
        <f t="shared" si="507"/>
        <v>-134.23344999614832</v>
      </c>
      <c r="BQ623" s="56">
        <f t="shared" si="520"/>
        <v>4.7258231363048768</v>
      </c>
    </row>
    <row r="624" spans="1:69" x14ac:dyDescent="0.2">
      <c r="A624">
        <f t="shared" si="534"/>
        <v>4500000</v>
      </c>
      <c r="B624">
        <f t="shared" si="508"/>
        <v>4500</v>
      </c>
      <c r="C624">
        <f t="shared" si="477"/>
        <v>1.4760823928308684</v>
      </c>
      <c r="D624">
        <f t="shared" si="526"/>
        <v>0.82648018292328718</v>
      </c>
      <c r="F624">
        <f t="shared" si="479"/>
        <v>4.3399426242248392E-6</v>
      </c>
      <c r="G624">
        <f t="shared" si="527"/>
        <v>7.8485504852437071E-4</v>
      </c>
      <c r="H624">
        <f t="shared" si="481"/>
        <v>-3.1408077949514759</v>
      </c>
      <c r="J624">
        <f t="shared" si="482"/>
        <v>15</v>
      </c>
      <c r="M624">
        <f t="shared" si="528"/>
        <v>5.014997046671469E-5</v>
      </c>
      <c r="N624">
        <f t="shared" si="484"/>
        <v>-1.5707963250000001</v>
      </c>
      <c r="O624">
        <f t="shared" si="529"/>
        <v>4223.3373655642854</v>
      </c>
      <c r="P624">
        <f t="shared" si="486"/>
        <v>1.5705595472239589</v>
      </c>
      <c r="Q624">
        <f t="shared" si="530"/>
        <v>628.47137866594198</v>
      </c>
      <c r="R624">
        <f t="shared" si="488"/>
        <v>1.5692051637667737</v>
      </c>
      <c r="S624">
        <f t="shared" si="531"/>
        <v>5.6264720517187422E-2</v>
      </c>
      <c r="T624">
        <f t="shared" si="490"/>
        <v>-1.5145018775270669</v>
      </c>
      <c r="U624">
        <f t="shared" si="491"/>
        <v>5.1470706175755193E-2</v>
      </c>
      <c r="V624">
        <f t="shared" si="492"/>
        <v>-1.5193028671623874</v>
      </c>
      <c r="X624">
        <f t="shared" si="532"/>
        <v>-88.626117994822536</v>
      </c>
      <c r="Y624">
        <f t="shared" si="533"/>
        <v>-216.5301458579755</v>
      </c>
      <c r="Z624">
        <f t="shared" si="510"/>
        <v>-36.530145857975498</v>
      </c>
      <c r="AC624">
        <v>1</v>
      </c>
      <c r="AD624">
        <f t="shared" si="494"/>
        <v>4223.3372471744997</v>
      </c>
      <c r="AE624">
        <f t="shared" si="495"/>
        <v>-21.494168511795319</v>
      </c>
      <c r="AF624">
        <f t="shared" si="496"/>
        <v>1.1077884002430001</v>
      </c>
      <c r="AG624">
        <f t="shared" si="535"/>
        <v>10.053548521125554</v>
      </c>
      <c r="AH624">
        <f t="shared" si="536"/>
        <v>-195.96943424119871</v>
      </c>
      <c r="AJ624">
        <f t="shared" si="497"/>
        <v>18000</v>
      </c>
      <c r="AK624">
        <f t="shared" si="498"/>
        <v>319409.49463668</v>
      </c>
      <c r="AL624">
        <v>1</v>
      </c>
      <c r="AM624">
        <f t="shared" si="499"/>
        <v>628.47058308426006</v>
      </c>
      <c r="AN624">
        <f t="shared" si="537"/>
        <v>508.27729322664294</v>
      </c>
      <c r="AO624">
        <f t="shared" si="538"/>
        <v>-27.832205957726128</v>
      </c>
      <c r="AQ624">
        <f t="shared" si="500"/>
        <v>1.234567885992989E-4</v>
      </c>
      <c r="AR624">
        <f t="shared" si="501"/>
        <v>-1.1111110973936902</v>
      </c>
      <c r="AT624">
        <f t="shared" si="523"/>
        <v>-217.74257195654448</v>
      </c>
      <c r="AU624">
        <f t="shared" si="524"/>
        <v>-11.194803087023566</v>
      </c>
      <c r="AV624">
        <f t="shared" si="511"/>
        <v>-3.0902248624175681</v>
      </c>
      <c r="AW624">
        <f t="shared" si="512"/>
        <v>487.36611591233805</v>
      </c>
      <c r="AX624">
        <f t="shared" si="513"/>
        <v>-818.3848737133037</v>
      </c>
      <c r="AY624">
        <f t="shared" si="521"/>
        <v>-1.0336760523339799</v>
      </c>
      <c r="BA624">
        <f t="shared" si="502"/>
        <v>0.22890011948002509</v>
      </c>
      <c r="BB624">
        <f t="shared" si="514"/>
        <v>-12.80707961269507</v>
      </c>
      <c r="BC624">
        <f t="shared" si="515"/>
        <v>-2.056548810083588</v>
      </c>
      <c r="BD624">
        <f t="shared" si="503"/>
        <v>-297.83156731508325</v>
      </c>
      <c r="BF624">
        <f t="shared" si="504"/>
        <v>-93.153362674159439</v>
      </c>
      <c r="BG624">
        <f t="shared" si="505"/>
        <v>-250.43277204640765</v>
      </c>
      <c r="BH624">
        <f t="shared" si="516"/>
        <v>-70.432772046407649</v>
      </c>
      <c r="BI624">
        <f t="shared" si="517"/>
        <v>-70.432772046407649</v>
      </c>
      <c r="BJ624">
        <f t="shared" si="506"/>
        <v>0</v>
      </c>
      <c r="BK624">
        <f t="shared" si="518"/>
        <v>0</v>
      </c>
      <c r="BM624">
        <f t="shared" si="519"/>
        <v>-80.346283061464362</v>
      </c>
      <c r="BN624">
        <f t="shared" si="507"/>
        <v>-132.60120473132437</v>
      </c>
      <c r="BQ624" s="56">
        <f t="shared" si="520"/>
        <v>4.0948811875900661</v>
      </c>
    </row>
    <row r="625" spans="1:69" x14ac:dyDescent="0.2">
      <c r="A625">
        <f t="shared" si="534"/>
        <v>4750000</v>
      </c>
      <c r="B625">
        <f t="shared" si="508"/>
        <v>4750</v>
      </c>
      <c r="C625">
        <f t="shared" si="477"/>
        <v>1.5209988415101126</v>
      </c>
      <c r="D625">
        <f t="shared" si="526"/>
        <v>0.85334994853169466</v>
      </c>
      <c r="F625">
        <f t="shared" si="479"/>
        <v>3.8951269338151603E-6</v>
      </c>
      <c r="G625">
        <f t="shared" si="527"/>
        <v>7.4354656977980774E-4</v>
      </c>
      <c r="H625">
        <f t="shared" si="481"/>
        <v>-3.1408491034302206</v>
      </c>
      <c r="J625">
        <f t="shared" si="482"/>
        <v>15</v>
      </c>
      <c r="M625">
        <f t="shared" si="528"/>
        <v>4.7510498336887602E-5</v>
      </c>
      <c r="N625">
        <f t="shared" si="484"/>
        <v>-1.5707963250000001</v>
      </c>
      <c r="O625">
        <f t="shared" si="529"/>
        <v>4457.9672063984945</v>
      </c>
      <c r="P625">
        <f t="shared" si="486"/>
        <v>1.5705720093062101</v>
      </c>
      <c r="Q625">
        <f t="shared" si="530"/>
        <v>663.38636918684085</v>
      </c>
      <c r="R625">
        <f t="shared" si="488"/>
        <v>1.5692889090589188</v>
      </c>
      <c r="S625">
        <f t="shared" si="531"/>
        <v>5.331206906930077E-2</v>
      </c>
      <c r="T625">
        <f t="shared" si="490"/>
        <v>-1.517458971651692</v>
      </c>
      <c r="U625">
        <f t="shared" si="491"/>
        <v>4.8768343077388976E-2</v>
      </c>
      <c r="V625">
        <f t="shared" si="492"/>
        <v>-1.5220086316233599</v>
      </c>
      <c r="X625">
        <f t="shared" si="532"/>
        <v>-89.772034105893766</v>
      </c>
      <c r="Y625">
        <f t="shared" si="533"/>
        <v>-215.31193411262936</v>
      </c>
      <c r="Z625">
        <f t="shared" si="510"/>
        <v>-35.311934112629359</v>
      </c>
      <c r="AC625">
        <v>1</v>
      </c>
      <c r="AD625">
        <f t="shared" si="494"/>
        <v>4457.9670942397497</v>
      </c>
      <c r="AE625">
        <f t="shared" si="495"/>
        <v>-23.948749483821327</v>
      </c>
      <c r="AF625">
        <f t="shared" si="496"/>
        <v>1.1693322002565001</v>
      </c>
      <c r="AG625">
        <f t="shared" si="535"/>
        <v>9.0255801192157108</v>
      </c>
      <c r="AH625">
        <f t="shared" si="536"/>
        <v>-185.70544553004001</v>
      </c>
      <c r="AJ625">
        <f t="shared" si="497"/>
        <v>18000</v>
      </c>
      <c r="AK625">
        <f t="shared" si="498"/>
        <v>337154.46656093997</v>
      </c>
      <c r="AL625">
        <v>1</v>
      </c>
      <c r="AM625">
        <f t="shared" si="499"/>
        <v>663.38561547783013</v>
      </c>
      <c r="AN625">
        <f t="shared" si="537"/>
        <v>508.27275426815913</v>
      </c>
      <c r="AO625">
        <f t="shared" si="538"/>
        <v>-26.36735985469435</v>
      </c>
      <c r="AQ625">
        <f t="shared" si="500"/>
        <v>1.1080332287198534E-4</v>
      </c>
      <c r="AR625">
        <f t="shared" si="501"/>
        <v>-1.0526315672838606</v>
      </c>
      <c r="AT625">
        <f t="shared" si="523"/>
        <v>-195.47841411716558</v>
      </c>
      <c r="AU625">
        <f t="shared" si="524"/>
        <v>-9.5211873269762393</v>
      </c>
      <c r="AV625">
        <f t="shared" si="511"/>
        <v>-3.0929240127494371</v>
      </c>
      <c r="AW625">
        <f t="shared" si="512"/>
        <v>489.50723492919815</v>
      </c>
      <c r="AX625">
        <f t="shared" si="513"/>
        <v>-775.35634622161206</v>
      </c>
      <c r="AY625">
        <f t="shared" si="521"/>
        <v>-1.0076566505765518</v>
      </c>
      <c r="BA625">
        <f t="shared" si="502"/>
        <v>0.21343633035806425</v>
      </c>
      <c r="BB625">
        <f t="shared" si="514"/>
        <v>-13.41463309175362</v>
      </c>
      <c r="BC625">
        <f t="shared" si="515"/>
        <v>-2.0852673621728854</v>
      </c>
      <c r="BD625">
        <f t="shared" si="503"/>
        <v>-299.47701914540681</v>
      </c>
      <c r="BF625">
        <f t="shared" si="504"/>
        <v>-94.439797946046994</v>
      </c>
      <c r="BG625">
        <f t="shared" si="505"/>
        <v>-250.54106651059743</v>
      </c>
      <c r="BH625">
        <f t="shared" si="516"/>
        <v>-70.541066510597432</v>
      </c>
      <c r="BI625">
        <f t="shared" si="517"/>
        <v>-70.541066510597432</v>
      </c>
      <c r="BJ625">
        <f t="shared" si="506"/>
        <v>0</v>
      </c>
      <c r="BK625">
        <f t="shared" si="518"/>
        <v>0</v>
      </c>
      <c r="BM625">
        <f t="shared" si="519"/>
        <v>-81.025164854293365</v>
      </c>
      <c r="BN625">
        <f t="shared" si="507"/>
        <v>-131.06404736519062</v>
      </c>
      <c r="BQ625" s="56">
        <f t="shared" si="520"/>
        <v>3.4873277085315162</v>
      </c>
    </row>
    <row r="626" spans="1:69" x14ac:dyDescent="0.2">
      <c r="A626">
        <f t="shared" si="534"/>
        <v>5000000</v>
      </c>
      <c r="B626">
        <f t="shared" si="508"/>
        <v>5000</v>
      </c>
      <c r="C626">
        <f t="shared" si="477"/>
        <v>1.5669500257637807</v>
      </c>
      <c r="D626">
        <f t="shared" si="526"/>
        <v>0.87866118989457753</v>
      </c>
      <c r="F626">
        <f t="shared" si="479"/>
        <v>3.5153508045391874E-6</v>
      </c>
      <c r="G626">
        <f t="shared" si="527"/>
        <v>7.0636898312291822E-4</v>
      </c>
      <c r="H626">
        <f t="shared" si="481"/>
        <v>-3.1408862810168774</v>
      </c>
      <c r="J626">
        <f t="shared" si="482"/>
        <v>15</v>
      </c>
      <c r="M626">
        <f t="shared" si="528"/>
        <v>4.5134973420043219E-5</v>
      </c>
      <c r="N626">
        <f t="shared" si="484"/>
        <v>-1.5707963250000001</v>
      </c>
      <c r="O626">
        <f t="shared" si="529"/>
        <v>4692.5970478558074</v>
      </c>
      <c r="P626">
        <f t="shared" si="486"/>
        <v>1.5705832251802958</v>
      </c>
      <c r="Q626">
        <f t="shared" si="530"/>
        <v>698.30136389499989</v>
      </c>
      <c r="R626">
        <f t="shared" si="488"/>
        <v>1.5693642798399612</v>
      </c>
      <c r="S626">
        <f t="shared" si="531"/>
        <v>5.0653484452114206E-2</v>
      </c>
      <c r="T626">
        <f t="shared" si="490"/>
        <v>-1.5201211563833961</v>
      </c>
      <c r="U626">
        <f t="shared" si="491"/>
        <v>4.6335298563828287E-2</v>
      </c>
      <c r="V626">
        <f t="shared" si="492"/>
        <v>-1.5244444321874875</v>
      </c>
      <c r="X626">
        <f t="shared" si="532"/>
        <v>-90.847885767526989</v>
      </c>
      <c r="Y626">
        <f t="shared" si="533"/>
        <v>-214.15096891735047</v>
      </c>
      <c r="Z626">
        <f t="shared" si="510"/>
        <v>-34.150968917350468</v>
      </c>
      <c r="AC626">
        <v>1</v>
      </c>
      <c r="AD626">
        <f t="shared" si="494"/>
        <v>4692.5969413049997</v>
      </c>
      <c r="AE626">
        <f t="shared" si="495"/>
        <v>-26.536010508389289</v>
      </c>
      <c r="AF626">
        <f t="shared" si="496"/>
        <v>1.2308760002700001</v>
      </c>
      <c r="AG626">
        <f t="shared" si="535"/>
        <v>8.1474753695485624</v>
      </c>
      <c r="AH626">
        <f t="shared" si="536"/>
        <v>-176.46090424668205</v>
      </c>
      <c r="AJ626">
        <f t="shared" si="497"/>
        <v>18000</v>
      </c>
      <c r="AK626">
        <f t="shared" si="498"/>
        <v>354899.43848519999</v>
      </c>
      <c r="AL626">
        <v>1</v>
      </c>
      <c r="AM626">
        <f t="shared" si="499"/>
        <v>698.30064787140009</v>
      </c>
      <c r="AN626">
        <f t="shared" si="537"/>
        <v>508.26887897714636</v>
      </c>
      <c r="AO626">
        <f t="shared" si="538"/>
        <v>-25.048997411562123</v>
      </c>
      <c r="AQ626">
        <f t="shared" si="500"/>
        <v>9.9999999000000009E-5</v>
      </c>
      <c r="AR626">
        <f t="shared" si="501"/>
        <v>-0.99999999000000006</v>
      </c>
      <c r="AT626">
        <f t="shared" si="523"/>
        <v>-176.4600877345442</v>
      </c>
      <c r="AU626">
        <f t="shared" si="524"/>
        <v>-8.1651213783220165</v>
      </c>
      <c r="AV626">
        <f t="shared" si="511"/>
        <v>-3.0953538605973181</v>
      </c>
      <c r="AW626">
        <f t="shared" si="512"/>
        <v>491.33485348878207</v>
      </c>
      <c r="AX626">
        <f t="shared" si="513"/>
        <v>-736.6245297523518</v>
      </c>
      <c r="AY626">
        <f t="shared" si="521"/>
        <v>-0.98255707776520496</v>
      </c>
      <c r="BA626">
        <f t="shared" si="502"/>
        <v>0.19950132804210199</v>
      </c>
      <c r="BB626">
        <f t="shared" si="514"/>
        <v>-14.00108417904973</v>
      </c>
      <c r="BC626">
        <f t="shared" si="515"/>
        <v>-2.1127967828321133</v>
      </c>
      <c r="BD626">
        <f t="shared" si="503"/>
        <v>-301.05433876342317</v>
      </c>
      <c r="BF626">
        <f t="shared" si="504"/>
        <v>-95.658782666170481</v>
      </c>
      <c r="BG626">
        <f t="shared" si="505"/>
        <v>-250.67028894143684</v>
      </c>
      <c r="BH626">
        <f t="shared" si="516"/>
        <v>-70.670288941436837</v>
      </c>
      <c r="BI626">
        <f t="shared" si="517"/>
        <v>-70.670288941436837</v>
      </c>
      <c r="BJ626">
        <f t="shared" si="506"/>
        <v>0</v>
      </c>
      <c r="BK626">
        <f t="shared" si="518"/>
        <v>0</v>
      </c>
      <c r="BM626">
        <f t="shared" si="519"/>
        <v>-81.657698487120754</v>
      </c>
      <c r="BN626">
        <f t="shared" si="507"/>
        <v>-129.61595017801369</v>
      </c>
      <c r="BQ626" s="56">
        <f t="shared" si="520"/>
        <v>2.9008766212354073</v>
      </c>
    </row>
    <row r="627" spans="1:69" x14ac:dyDescent="0.2">
      <c r="A627">
        <f>A626+100000</f>
        <v>5100000</v>
      </c>
      <c r="B627">
        <f t="shared" si="508"/>
        <v>5100</v>
      </c>
      <c r="C627">
        <f t="shared" ref="C627:C676" si="539">SQRT((A627/Fesr)^2+1)</f>
        <v>1.5856001423827049</v>
      </c>
      <c r="D627">
        <f t="shared" ref="D627:D676" si="540">ATAN(A627/Fesr)</f>
        <v>0.88837230487676222</v>
      </c>
      <c r="F627">
        <f t="shared" ref="F627:F676" si="541">(Ro/(Ro+Rdcr))/SQRT((A627/(Q*Fo))^2+(1-(A627^2/Fo^2))^2)</f>
        <v>3.3788450154571823E-6</v>
      </c>
      <c r="G627">
        <f t="shared" ref="G627:G676" si="542">-ATAN(A627*Fo/(Q*(Fo^2-A627^2)))</f>
        <v>6.9251851992910621E-4</v>
      </c>
      <c r="H627">
        <f t="shared" si="481"/>
        <v>-3.1409001314800711</v>
      </c>
      <c r="J627">
        <f t="shared" si="482"/>
        <v>15</v>
      </c>
      <c r="M627">
        <f t="shared" ref="M627:M676" si="543">1/(2*Pi*_Rfb1*(Cc1ea_u+Cc2ea_u)*A627)</f>
        <v>4.4249973941218841E-5</v>
      </c>
      <c r="N627">
        <f t="shared" si="484"/>
        <v>-1.5707963250000001</v>
      </c>
      <c r="O627">
        <f t="shared" ref="O627:O676" si="544">SQRT(1+(A627/Fz1_u)^2)</f>
        <v>4786.4489845926764</v>
      </c>
      <c r="P627">
        <f t="shared" si="486"/>
        <v>1.5705874036432044</v>
      </c>
      <c r="Q627">
        <f t="shared" ref="Q627:Q676" si="545">SQRT(1+(A627/Fz2_u)^2)</f>
        <v>712.26736281276351</v>
      </c>
      <c r="R627">
        <f t="shared" si="488"/>
        <v>1.5693923591547512</v>
      </c>
      <c r="S627">
        <f t="shared" ref="S627:S676" si="546">1/SQRT(1+(A627/Fp1_u)^2)</f>
        <v>4.9662752940646926E-2</v>
      </c>
      <c r="T627">
        <f t="shared" si="490"/>
        <v>-1.5211131365517563</v>
      </c>
      <c r="U627">
        <f t="shared" ref="U627:U676" si="547">1/SQRT(1+(A627/Fp2_u)^2)</f>
        <v>4.5428657009767684E-2</v>
      </c>
      <c r="V627">
        <f t="shared" si="492"/>
        <v>-1.525352029593176</v>
      </c>
      <c r="X627">
        <f t="shared" ref="X627:X676" si="548">20*LOG(C627*J627*O627*Q627*F627*M627*S627*U627)</f>
        <v>-91.260332133431135</v>
      </c>
      <c r="Y627">
        <f t="shared" ref="Y627:Y676" si="549">(180/Pi)*(D627+H627+N627+P627+R627+T627+V627)</f>
        <v>-213.70234613040975</v>
      </c>
      <c r="Z627">
        <f t="shared" si="510"/>
        <v>-33.702346130409751</v>
      </c>
      <c r="AC627">
        <v>1</v>
      </c>
      <c r="AD627">
        <f t="shared" ref="AD627:AD676" si="550">Rcea1_u*Cc1ea_u*A627*2*Pi</f>
        <v>4786.4488801310999</v>
      </c>
      <c r="AE627">
        <f t="shared" ref="AE627:AE676" si="551">-Rcea1_u*Cc1ea_u*Cc2ea_u*(A627*2*Pi)^2</f>
        <v>-27.608065332928209</v>
      </c>
      <c r="AF627">
        <f t="shared" ref="AF627:AF676" si="552">(Cc2ea_u+Cc1ea_u)*A627*2*Pi</f>
        <v>1.2554935202754001</v>
      </c>
      <c r="AG627">
        <f t="shared" ref="AG627:AG676" si="553">AC627*AE627/(AE627^2+AF627^2)+AD627*AF627/(AE627^2+AF627^2)</f>
        <v>7.8317518969819684</v>
      </c>
      <c r="AH627">
        <f t="shared" ref="AH627:AH676" si="554">AD627*AE627/(AE627^2+AF627^2)-AC627*AF627/(AE627^2+AF627^2)</f>
        <v>-173.01524423281307</v>
      </c>
      <c r="AJ627">
        <f t="shared" si="497"/>
        <v>18000</v>
      </c>
      <c r="AK627">
        <f t="shared" ref="AK627:AK676" si="555">_Rfb1*Rcea2_u*Cc3ea_u*A627*2*Pi</f>
        <v>361997.427254904</v>
      </c>
      <c r="AL627">
        <v>2</v>
      </c>
      <c r="AM627">
        <f t="shared" ref="AM627:AM676" si="556">(_Rfb1+Rcea2_u)*Cc3ea_u*A627*2*Pi</f>
        <v>712.26666082882809</v>
      </c>
      <c r="AN627">
        <f t="shared" ref="AN627:AN676" si="557">AJ627*AL627/(AL627^2+AM627^2)+AK627*AM627/(AL627^2+AM627^2)</f>
        <v>508.29996051367186</v>
      </c>
      <c r="AO627">
        <f t="shared" ref="AO627:AO676" si="558">AK627*AL627/(AL627^2+AM627^2)-AJ627*AM627/(AL627^2+AM627^2)</f>
        <v>-23.844159797132644</v>
      </c>
      <c r="AQ627">
        <f t="shared" ref="AQ627:AQ676" si="559">Eadcg/(1+(Eadcg*A627/GBP)^2)</f>
        <v>9.6116877199953123E-5</v>
      </c>
      <c r="AR627">
        <f t="shared" ref="AR627:AR676" si="560">-(A627*Eadcg*Eadcg/GBP)/(1+(Eadcg*A627/GBP)^2)</f>
        <v>-0.98039214743952185</v>
      </c>
      <c r="AT627">
        <f t="shared" ref="AT627:AT676" si="561">-AR627*AH627+AG627*AQ627</f>
        <v>-169.62203406964562</v>
      </c>
      <c r="AU627">
        <f t="shared" ref="AU627:AU676" si="562">AQ627*AH627+AG627*AR627</f>
        <v>-7.6948177454793463</v>
      </c>
      <c r="AV627">
        <f t="shared" si="511"/>
        <v>-3.0962592403243923</v>
      </c>
      <c r="AW627">
        <f t="shared" si="512"/>
        <v>492.76078513059531</v>
      </c>
      <c r="AX627">
        <f t="shared" si="513"/>
        <v>-721.51169738398937</v>
      </c>
      <c r="AY627">
        <f t="shared" si="521"/>
        <v>-0.97160107116860206</v>
      </c>
      <c r="BA627">
        <f t="shared" si="502"/>
        <v>0.19433668471459239</v>
      </c>
      <c r="BB627">
        <f t="shared" si="514"/>
        <v>-14.22890420773742</v>
      </c>
      <c r="BC627">
        <f t="shared" si="515"/>
        <v>-2.12465816915579</v>
      </c>
      <c r="BD627">
        <f t="shared" si="503"/>
        <v>-301.73394613972062</v>
      </c>
      <c r="BF627">
        <f t="shared" si="504"/>
        <v>-96.127840073039792</v>
      </c>
      <c r="BG627">
        <f t="shared" si="505"/>
        <v>-250.79428398733927</v>
      </c>
      <c r="BH627">
        <f t="shared" si="516"/>
        <v>-70.79428398733927</v>
      </c>
      <c r="BI627">
        <f t="shared" si="517"/>
        <v>-70.79428398733927</v>
      </c>
      <c r="BJ627">
        <f t="shared" si="506"/>
        <v>0</v>
      </c>
      <c r="BK627">
        <f t="shared" si="518"/>
        <v>0</v>
      </c>
      <c r="BM627">
        <f t="shared" si="519"/>
        <v>-81.898935865302377</v>
      </c>
      <c r="BN627">
        <f t="shared" si="507"/>
        <v>-129.06033784761865</v>
      </c>
      <c r="BQ627" s="56">
        <f t="shared" si="520"/>
        <v>2.6730565925477157</v>
      </c>
    </row>
    <row r="628" spans="1:69" x14ac:dyDescent="0.2">
      <c r="A628">
        <f t="shared" ref="A628:A676" si="563">A627+100000</f>
        <v>5200000</v>
      </c>
      <c r="B628">
        <f t="shared" si="508"/>
        <v>5200</v>
      </c>
      <c r="C628">
        <f t="shared" si="539"/>
        <v>1.6043963056905821</v>
      </c>
      <c r="D628">
        <f t="shared" si="540"/>
        <v>0.89785675755405803</v>
      </c>
      <c r="F628">
        <f t="shared" si="541"/>
        <v>3.2501386181226331E-6</v>
      </c>
      <c r="G628">
        <f t="shared" si="542"/>
        <v>6.7920077195615777E-4</v>
      </c>
      <c r="H628">
        <f t="shared" si="481"/>
        <v>-3.1409134492280439</v>
      </c>
      <c r="J628">
        <f t="shared" si="482"/>
        <v>15</v>
      </c>
      <c r="M628">
        <f t="shared" si="543"/>
        <v>4.3399012903887705E-5</v>
      </c>
      <c r="N628">
        <f t="shared" si="484"/>
        <v>-1.5707963250000001</v>
      </c>
      <c r="O628">
        <f t="shared" si="544"/>
        <v>4880.3009214099002</v>
      </c>
      <c r="P628">
        <f t="shared" si="486"/>
        <v>1.5705914213960082</v>
      </c>
      <c r="Q628">
        <f t="shared" si="545"/>
        <v>726.23336227051334</v>
      </c>
      <c r="R628">
        <f t="shared" si="488"/>
        <v>1.5694193584979836</v>
      </c>
      <c r="S628">
        <f t="shared" si="546"/>
        <v>4.8709988180331051E-2</v>
      </c>
      <c r="T628">
        <f t="shared" si="490"/>
        <v>-1.5220670559553697</v>
      </c>
      <c r="U628">
        <f t="shared" si="547"/>
        <v>4.4556780379580878E-2</v>
      </c>
      <c r="V628">
        <f t="shared" si="492"/>
        <v>-1.5262247900827755</v>
      </c>
      <c r="X628">
        <f t="shared" si="548"/>
        <v>-91.663214568600353</v>
      </c>
      <c r="Y628">
        <f t="shared" si="549"/>
        <v>-213.26257397096498</v>
      </c>
      <c r="Z628">
        <f t="shared" si="510"/>
        <v>-33.262573970964979</v>
      </c>
      <c r="AC628">
        <v>1</v>
      </c>
      <c r="AD628">
        <f t="shared" si="550"/>
        <v>4880.3008189572001</v>
      </c>
      <c r="AE628">
        <f t="shared" si="551"/>
        <v>-28.701348965873851</v>
      </c>
      <c r="AF628">
        <f t="shared" si="552"/>
        <v>1.2801110402808</v>
      </c>
      <c r="AG628">
        <f t="shared" si="553"/>
        <v>7.5340192944793287</v>
      </c>
      <c r="AH628">
        <f t="shared" si="554"/>
        <v>-169.70130719193375</v>
      </c>
      <c r="AJ628">
        <f t="shared" si="497"/>
        <v>18000</v>
      </c>
      <c r="AK628">
        <f t="shared" si="555"/>
        <v>369095.41602460796</v>
      </c>
      <c r="AL628">
        <v>3</v>
      </c>
      <c r="AM628">
        <f t="shared" si="556"/>
        <v>726.2326737862561</v>
      </c>
      <c r="AN628">
        <f t="shared" si="557"/>
        <v>508.32671970403288</v>
      </c>
      <c r="AO628">
        <f t="shared" si="558"/>
        <v>-22.685594349527726</v>
      </c>
      <c r="AQ628">
        <f t="shared" si="559"/>
        <v>9.2455620446970963E-5</v>
      </c>
      <c r="AR628">
        <f t="shared" si="560"/>
        <v>-0.96153845264849802</v>
      </c>
      <c r="AT628">
        <f t="shared" si="561"/>
        <v>-163.17363576733109</v>
      </c>
      <c r="AU628">
        <f t="shared" si="562"/>
        <v>-7.2599390942846744</v>
      </c>
      <c r="AV628">
        <f t="shared" si="511"/>
        <v>-3.0971298684307031</v>
      </c>
      <c r="AW628">
        <f t="shared" si="512"/>
        <v>494.08868368390591</v>
      </c>
      <c r="AX628">
        <f t="shared" si="513"/>
        <v>-706.97502512540109</v>
      </c>
      <c r="AY628">
        <f t="shared" si="521"/>
        <v>-0.96082435725507942</v>
      </c>
      <c r="BA628">
        <f t="shared" si="502"/>
        <v>0.18937002992674115</v>
      </c>
      <c r="BB628">
        <f t="shared" si="514"/>
        <v>-14.453775043860846</v>
      </c>
      <c r="BC628">
        <f t="shared" si="515"/>
        <v>-2.1363055111756237</v>
      </c>
      <c r="BD628">
        <f t="shared" si="503"/>
        <v>-302.40128968076499</v>
      </c>
      <c r="BF628">
        <f t="shared" si="504"/>
        <v>-96.587679116907708</v>
      </c>
      <c r="BG628">
        <f t="shared" si="505"/>
        <v>-250.91897146911444</v>
      </c>
      <c r="BH628">
        <f t="shared" si="516"/>
        <v>-70.918971469114439</v>
      </c>
      <c r="BI628">
        <f t="shared" si="517"/>
        <v>-70.918971469114439</v>
      </c>
      <c r="BJ628">
        <f t="shared" si="506"/>
        <v>0</v>
      </c>
      <c r="BK628">
        <f t="shared" si="518"/>
        <v>0</v>
      </c>
      <c r="BM628">
        <f t="shared" si="519"/>
        <v>-82.133904073046864</v>
      </c>
      <c r="BN628">
        <f t="shared" si="507"/>
        <v>-128.51768178834942</v>
      </c>
      <c r="BQ628" s="56">
        <f t="shared" si="520"/>
        <v>2.4481857564242908</v>
      </c>
    </row>
    <row r="629" spans="1:69" x14ac:dyDescent="0.2">
      <c r="A629">
        <f t="shared" si="563"/>
        <v>5300000</v>
      </c>
      <c r="B629">
        <f t="shared" si="508"/>
        <v>5300</v>
      </c>
      <c r="C629">
        <f t="shared" si="539"/>
        <v>1.6233334425834129</v>
      </c>
      <c r="D629">
        <f t="shared" si="540"/>
        <v>0.90712074409000076</v>
      </c>
      <c r="F629">
        <f t="shared" si="541"/>
        <v>3.1286485657302846E-6</v>
      </c>
      <c r="G629">
        <f t="shared" si="542"/>
        <v>6.6638558513841171E-4</v>
      </c>
      <c r="H629">
        <f t="shared" si="481"/>
        <v>-3.1409262644148619</v>
      </c>
      <c r="J629">
        <f t="shared" si="482"/>
        <v>15</v>
      </c>
      <c r="M629">
        <f t="shared" si="543"/>
        <v>4.2580163603814357E-5</v>
      </c>
      <c r="N629">
        <f t="shared" si="484"/>
        <v>-1.5707963250000001</v>
      </c>
      <c r="O629">
        <f t="shared" si="544"/>
        <v>4974.1528583029303</v>
      </c>
      <c r="P629">
        <f t="shared" si="486"/>
        <v>1.5705952875355045</v>
      </c>
      <c r="Q629">
        <f t="shared" si="545"/>
        <v>740.19936223768434</v>
      </c>
      <c r="R629">
        <f t="shared" si="488"/>
        <v>1.5694453389999712</v>
      </c>
      <c r="S629">
        <f t="shared" si="546"/>
        <v>4.7793051224312787E-2</v>
      </c>
      <c r="T629">
        <f t="shared" si="490"/>
        <v>-1.5229850622218455</v>
      </c>
      <c r="U629">
        <f t="shared" si="547"/>
        <v>4.3717708596031774E-2</v>
      </c>
      <c r="V629">
        <f t="shared" si="492"/>
        <v>-1.5270646803835661</v>
      </c>
      <c r="X629">
        <f t="shared" si="548"/>
        <v>-92.056938287388903</v>
      </c>
      <c r="Y629">
        <f t="shared" si="549"/>
        <v>-212.83153086415052</v>
      </c>
      <c r="Z629">
        <f t="shared" si="510"/>
        <v>-32.831530864150523</v>
      </c>
      <c r="AC629">
        <v>1</v>
      </c>
      <c r="AD629">
        <f t="shared" si="550"/>
        <v>4974.1527577833003</v>
      </c>
      <c r="AE629">
        <f t="shared" si="551"/>
        <v>-29.815861407226201</v>
      </c>
      <c r="AF629">
        <f t="shared" si="552"/>
        <v>1.3047285602862</v>
      </c>
      <c r="AG629">
        <f t="shared" si="553"/>
        <v>7.2529370235757531</v>
      </c>
      <c r="AH629">
        <f t="shared" si="554"/>
        <v>-166.51169576805978</v>
      </c>
      <c r="AJ629">
        <f t="shared" si="497"/>
        <v>18000</v>
      </c>
      <c r="AK629">
        <f t="shared" si="555"/>
        <v>376193.40479431197</v>
      </c>
      <c r="AL629">
        <v>4</v>
      </c>
      <c r="AM629">
        <f t="shared" si="556"/>
        <v>740.19868674368411</v>
      </c>
      <c r="AN629">
        <f t="shared" si="557"/>
        <v>508.34957467737723</v>
      </c>
      <c r="AO629">
        <f t="shared" si="558"/>
        <v>-21.570697148263658</v>
      </c>
      <c r="AQ629">
        <f t="shared" si="559"/>
        <v>8.8999643209330341E-5</v>
      </c>
      <c r="AR629">
        <f t="shared" si="560"/>
        <v>-0.94339621801890161</v>
      </c>
      <c r="AT629">
        <f t="shared" si="561"/>
        <v>-157.08585853469424</v>
      </c>
      <c r="AU629">
        <f t="shared" si="562"/>
        <v>-6.8572128390841725</v>
      </c>
      <c r="AV629">
        <f t="shared" si="511"/>
        <v>-3.0979677068154929</v>
      </c>
      <c r="AW629">
        <f t="shared" si="512"/>
        <v>495.32648445168655</v>
      </c>
      <c r="AX629">
        <f t="shared" si="513"/>
        <v>-692.98237768220565</v>
      </c>
      <c r="AY629">
        <f t="shared" si="521"/>
        <v>-0.95022292409680709</v>
      </c>
      <c r="BA629">
        <f t="shared" si="502"/>
        <v>0.18459075854559284</v>
      </c>
      <c r="BB629">
        <f t="shared" si="514"/>
        <v>-14.675800910527105</v>
      </c>
      <c r="BC629">
        <f t="shared" si="515"/>
        <v>-2.1477447827186857</v>
      </c>
      <c r="BD629">
        <f t="shared" si="503"/>
        <v>-303.05671166163552</v>
      </c>
      <c r="BF629">
        <f t="shared" si="504"/>
        <v>-97.038685364276887</v>
      </c>
      <c r="BG629">
        <f t="shared" si="505"/>
        <v>-251.04434037552204</v>
      </c>
      <c r="BH629">
        <f t="shared" si="516"/>
        <v>-71.04434037552204</v>
      </c>
      <c r="BI629">
        <f t="shared" si="517"/>
        <v>-71.04434037552204</v>
      </c>
      <c r="BJ629">
        <f t="shared" si="506"/>
        <v>0</v>
      </c>
      <c r="BK629">
        <f t="shared" si="518"/>
        <v>0</v>
      </c>
      <c r="BM629">
        <f t="shared" si="519"/>
        <v>-82.362884453749786</v>
      </c>
      <c r="BN629">
        <f t="shared" si="507"/>
        <v>-127.98762871388656</v>
      </c>
      <c r="BQ629" s="56">
        <f t="shared" si="520"/>
        <v>2.2261598897580317</v>
      </c>
    </row>
    <row r="630" spans="1:69" x14ac:dyDescent="0.2">
      <c r="A630">
        <f t="shared" si="563"/>
        <v>5400000</v>
      </c>
      <c r="B630">
        <f t="shared" si="508"/>
        <v>5400</v>
      </c>
      <c r="C630">
        <f t="shared" si="539"/>
        <v>1.6424066767437455</v>
      </c>
      <c r="D630">
        <f t="shared" si="540"/>
        <v>0.91617032739845061</v>
      </c>
      <c r="F630">
        <f t="shared" si="541"/>
        <v>3.0138452928784767E-6</v>
      </c>
      <c r="G630">
        <f t="shared" si="542"/>
        <v>6.5404503907836307E-4</v>
      </c>
      <c r="H630">
        <f t="shared" si="481"/>
        <v>-3.140938604960922</v>
      </c>
      <c r="J630">
        <f t="shared" si="482"/>
        <v>15</v>
      </c>
      <c r="M630">
        <f t="shared" si="543"/>
        <v>4.1791642055595573E-5</v>
      </c>
      <c r="N630">
        <f t="shared" si="484"/>
        <v>-1.5707963250000001</v>
      </c>
      <c r="O630">
        <f t="shared" si="544"/>
        <v>5068.004795267555</v>
      </c>
      <c r="P630">
        <f t="shared" si="486"/>
        <v>1.570599010484655</v>
      </c>
      <c r="Q630">
        <f t="shared" si="545"/>
        <v>754.16536268597531</v>
      </c>
      <c r="R630">
        <f t="shared" si="488"/>
        <v>1.5694703572628683</v>
      </c>
      <c r="S630">
        <f t="shared" si="546"/>
        <v>4.6909960658746794E-2</v>
      </c>
      <c r="T630">
        <f t="shared" si="490"/>
        <v>-1.5238691445017807</v>
      </c>
      <c r="U630">
        <f t="shared" si="547"/>
        <v>4.2909626077177243E-2</v>
      </c>
      <c r="V630">
        <f t="shared" si="492"/>
        <v>-1.5278735220040396</v>
      </c>
      <c r="X630">
        <f t="shared" si="548"/>
        <v>-92.441885002166245</v>
      </c>
      <c r="Y630">
        <f t="shared" si="549"/>
        <v>-212.40908563932953</v>
      </c>
      <c r="Z630">
        <f t="shared" si="510"/>
        <v>-32.409085639329533</v>
      </c>
      <c r="AC630">
        <v>1</v>
      </c>
      <c r="AD630">
        <f t="shared" si="550"/>
        <v>5068.0046966093996</v>
      </c>
      <c r="AE630">
        <f t="shared" si="551"/>
        <v>-30.951602656985269</v>
      </c>
      <c r="AF630">
        <f t="shared" si="552"/>
        <v>1.3293460802916</v>
      </c>
      <c r="AG630">
        <f t="shared" si="553"/>
        <v>6.9872870427601974</v>
      </c>
      <c r="AH630">
        <f t="shared" si="554"/>
        <v>-163.43955529635764</v>
      </c>
      <c r="AJ630">
        <f t="shared" si="497"/>
        <v>18000</v>
      </c>
      <c r="AK630">
        <f t="shared" si="555"/>
        <v>383291.39356401598</v>
      </c>
      <c r="AL630">
        <v>5</v>
      </c>
      <c r="AM630">
        <f t="shared" si="556"/>
        <v>754.16469970111211</v>
      </c>
      <c r="AN630">
        <f t="shared" si="557"/>
        <v>508.36890004543375</v>
      </c>
      <c r="AO630">
        <f t="shared" si="558"/>
        <v>-20.497055226662226</v>
      </c>
      <c r="AQ630">
        <f t="shared" si="559"/>
        <v>8.5733881295148485E-5</v>
      </c>
      <c r="AR630">
        <f t="shared" si="560"/>
        <v>-0.9259259179876036</v>
      </c>
      <c r="AT630">
        <f t="shared" si="561"/>
        <v>-151.33232122602774</v>
      </c>
      <c r="AU630">
        <f t="shared" si="562"/>
        <v>-6.483722476743333</v>
      </c>
      <c r="AV630">
        <f t="shared" si="511"/>
        <v>-3.0987745725168496</v>
      </c>
      <c r="AW630">
        <f t="shared" si="512"/>
        <v>496.48136312113513</v>
      </c>
      <c r="AX630">
        <f t="shared" si="513"/>
        <v>-679.50395165220232</v>
      </c>
      <c r="AY630">
        <f t="shared" si="521"/>
        <v>-0.93979294011107128</v>
      </c>
      <c r="BA630">
        <f t="shared" si="502"/>
        <v>0.17998902811017298</v>
      </c>
      <c r="BB630">
        <f t="shared" si="514"/>
        <v>-14.895079361982759</v>
      </c>
      <c r="BC630">
        <f t="shared" si="515"/>
        <v>-2.1589816324057782</v>
      </c>
      <c r="BD630">
        <f t="shared" si="503"/>
        <v>-303.70053572446449</v>
      </c>
      <c r="BF630">
        <f t="shared" si="504"/>
        <v>-97.481221037765522</v>
      </c>
      <c r="BG630">
        <f t="shared" si="505"/>
        <v>-251.17036856903931</v>
      </c>
      <c r="BH630">
        <f t="shared" si="516"/>
        <v>-71.170368569039312</v>
      </c>
      <c r="BI630">
        <f t="shared" si="517"/>
        <v>-71.170368569039312</v>
      </c>
      <c r="BJ630">
        <f t="shared" si="506"/>
        <v>0</v>
      </c>
      <c r="BK630">
        <f t="shared" si="518"/>
        <v>0</v>
      </c>
      <c r="BM630">
        <f t="shared" si="519"/>
        <v>-82.586141675782756</v>
      </c>
      <c r="BN630">
        <f t="shared" si="507"/>
        <v>-127.4698328445748</v>
      </c>
      <c r="BQ630" s="56">
        <f t="shared" si="520"/>
        <v>2.0068814383023761</v>
      </c>
    </row>
    <row r="631" spans="1:69" x14ac:dyDescent="0.2">
      <c r="A631">
        <f t="shared" si="563"/>
        <v>5500000</v>
      </c>
      <c r="B631">
        <f t="shared" si="508"/>
        <v>5500</v>
      </c>
      <c r="C631">
        <f t="shared" si="539"/>
        <v>1.6616113214954171</v>
      </c>
      <c r="D631">
        <f t="shared" si="540"/>
        <v>0.92501143356080251</v>
      </c>
      <c r="F631">
        <f t="shared" si="541"/>
        <v>2.9052469349157446E-6</v>
      </c>
      <c r="G631">
        <f t="shared" si="542"/>
        <v>6.4215324398234996E-4</v>
      </c>
      <c r="H631">
        <f t="shared" si="481"/>
        <v>-3.1409504967560178</v>
      </c>
      <c r="J631">
        <f t="shared" si="482"/>
        <v>15</v>
      </c>
      <c r="M631">
        <f t="shared" si="543"/>
        <v>4.1031794018221108E-5</v>
      </c>
      <c r="N631">
        <f t="shared" si="484"/>
        <v>-1.5707963250000001</v>
      </c>
      <c r="O631">
        <f t="shared" si="544"/>
        <v>5161.8567322998706</v>
      </c>
      <c r="P631">
        <f t="shared" si="486"/>
        <v>1.5706025980538416</v>
      </c>
      <c r="Q631">
        <f t="shared" si="545"/>
        <v>768.13136358914335</v>
      </c>
      <c r="R631">
        <f t="shared" si="488"/>
        <v>1.569494465772322</v>
      </c>
      <c r="S631">
        <f t="shared" si="546"/>
        <v>4.6058878377546901E-2</v>
      </c>
      <c r="T631">
        <f t="shared" si="490"/>
        <v>-1.5247211478115967</v>
      </c>
      <c r="U631">
        <f t="shared" si="547"/>
        <v>4.2130848674012414E-2</v>
      </c>
      <c r="V631">
        <f t="shared" si="492"/>
        <v>-1.5286530043864179</v>
      </c>
      <c r="X631">
        <f t="shared" si="548"/>
        <v>-92.818414614162492</v>
      </c>
      <c r="Y631">
        <f t="shared" si="549"/>
        <v>-211.99509929528003</v>
      </c>
      <c r="Z631">
        <f t="shared" si="510"/>
        <v>-31.995099295280028</v>
      </c>
      <c r="AC631">
        <v>1</v>
      </c>
      <c r="AD631">
        <f t="shared" si="550"/>
        <v>5161.8566354354998</v>
      </c>
      <c r="AE631">
        <f t="shared" si="551"/>
        <v>-32.108572715151041</v>
      </c>
      <c r="AF631">
        <f t="shared" si="552"/>
        <v>1.3539636002969999</v>
      </c>
      <c r="AG631">
        <f t="shared" si="553"/>
        <v>6.7359606242824803</v>
      </c>
      <c r="AH631">
        <f t="shared" si="554"/>
        <v>-160.47852502349852</v>
      </c>
      <c r="AJ631">
        <f t="shared" si="497"/>
        <v>18000</v>
      </c>
      <c r="AK631">
        <f t="shared" si="555"/>
        <v>390389.38233371999</v>
      </c>
      <c r="AL631">
        <v>6</v>
      </c>
      <c r="AM631">
        <f t="shared" si="556"/>
        <v>768.13071265854012</v>
      </c>
      <c r="AN631">
        <f t="shared" si="557"/>
        <v>508.38503196792465</v>
      </c>
      <c r="AO631">
        <f t="shared" si="558"/>
        <v>-19.462429456115359</v>
      </c>
      <c r="AQ631">
        <f t="shared" si="559"/>
        <v>8.26446274161601E-5</v>
      </c>
      <c r="AR631">
        <f t="shared" si="560"/>
        <v>-0.90909090157776118</v>
      </c>
      <c r="AT631">
        <f t="shared" si="561"/>
        <v>-145.88901030652551</v>
      </c>
      <c r="AU631">
        <f t="shared" si="562"/>
        <v>-6.1368632048301208</v>
      </c>
      <c r="AV631">
        <f t="shared" si="511"/>
        <v>-3.0995521508317108</v>
      </c>
      <c r="AW631">
        <f t="shared" si="512"/>
        <v>497.55981994084931</v>
      </c>
      <c r="AX631">
        <f t="shared" si="513"/>
        <v>-666.51206906080415</v>
      </c>
      <c r="AY631">
        <f t="shared" si="521"/>
        <v>-0.92953073629513328</v>
      </c>
      <c r="BA631">
        <f t="shared" si="502"/>
        <v>0.17555568928534468</v>
      </c>
      <c r="BB631">
        <f t="shared" si="514"/>
        <v>-15.11170183320708</v>
      </c>
      <c r="BC631">
        <f t="shared" si="515"/>
        <v>-2.1700214145365777</v>
      </c>
      <c r="BD631">
        <f t="shared" si="503"/>
        <v>-304.33306864802603</v>
      </c>
      <c r="BF631">
        <f t="shared" si="504"/>
        <v>-97.915626766068712</v>
      </c>
      <c r="BG631">
        <f t="shared" si="505"/>
        <v>-251.2970247723627</v>
      </c>
      <c r="BH631">
        <f t="shared" si="516"/>
        <v>-71.297024772362704</v>
      </c>
      <c r="BI631">
        <f t="shared" si="517"/>
        <v>-71.297024772362704</v>
      </c>
      <c r="BJ631">
        <f t="shared" si="506"/>
        <v>0</v>
      </c>
      <c r="BK631">
        <f t="shared" si="518"/>
        <v>0</v>
      </c>
      <c r="BM631">
        <f t="shared" si="519"/>
        <v>-82.803924932861634</v>
      </c>
      <c r="BN631">
        <f t="shared" si="507"/>
        <v>-126.96395612433673</v>
      </c>
      <c r="BQ631" s="56">
        <f t="shared" si="520"/>
        <v>1.7902589670780567</v>
      </c>
    </row>
    <row r="632" spans="1:69" x14ac:dyDescent="0.2">
      <c r="A632">
        <f t="shared" si="563"/>
        <v>5600000</v>
      </c>
      <c r="B632">
        <f t="shared" si="508"/>
        <v>5600</v>
      </c>
      <c r="C632">
        <f t="shared" si="539"/>
        <v>1.6809428727763629</v>
      </c>
      <c r="D632">
        <f t="shared" si="540"/>
        <v>0.93364984920934602</v>
      </c>
      <c r="F632">
        <f t="shared" si="541"/>
        <v>2.802414263320249E-6</v>
      </c>
      <c r="G632">
        <f t="shared" si="542"/>
        <v>6.3068615935356386E-4</v>
      </c>
      <c r="H632">
        <f t="shared" si="481"/>
        <v>-3.1409619638406467</v>
      </c>
      <c r="J632">
        <f t="shared" si="482"/>
        <v>15</v>
      </c>
      <c r="M632">
        <f t="shared" si="543"/>
        <v>4.0299083410752875E-5</v>
      </c>
      <c r="N632">
        <f t="shared" si="484"/>
        <v>-1.5707963250000001</v>
      </c>
      <c r="O632">
        <f t="shared" si="544"/>
        <v>5255.7086693962501</v>
      </c>
      <c r="P632">
        <f t="shared" si="486"/>
        <v>1.5706060574955618</v>
      </c>
      <c r="Q632">
        <f t="shared" si="545"/>
        <v>782.09736492282013</v>
      </c>
      <c r="R632">
        <f t="shared" si="488"/>
        <v>1.5695177132650144</v>
      </c>
      <c r="S632">
        <f t="shared" si="546"/>
        <v>4.5238096869650017E-2</v>
      </c>
      <c r="T632">
        <f t="shared" si="490"/>
        <v>-1.5255427858474211</v>
      </c>
      <c r="U632">
        <f t="shared" si="547"/>
        <v>4.137981199873466E-2</v>
      </c>
      <c r="V632">
        <f t="shared" si="492"/>
        <v>-1.5294046966559425</v>
      </c>
      <c r="X632">
        <f t="shared" si="548"/>
        <v>-93.186866759343076</v>
      </c>
      <c r="Y632">
        <f t="shared" si="549"/>
        <v>-211.58942654367866</v>
      </c>
      <c r="Z632">
        <f t="shared" si="510"/>
        <v>-31.589426543678655</v>
      </c>
      <c r="AC632">
        <v>1</v>
      </c>
      <c r="AD632">
        <f t="shared" si="550"/>
        <v>5255.7085742616</v>
      </c>
      <c r="AE632">
        <f t="shared" si="551"/>
        <v>-33.286771581723514</v>
      </c>
      <c r="AF632">
        <f t="shared" si="552"/>
        <v>1.3785811203024001</v>
      </c>
      <c r="AG632">
        <f t="shared" si="553"/>
        <v>6.4979467960739514</v>
      </c>
      <c r="AH632">
        <f t="shared" si="554"/>
        <v>-157.62269448709748</v>
      </c>
      <c r="AJ632">
        <f t="shared" si="497"/>
        <v>18000</v>
      </c>
      <c r="AK632">
        <f t="shared" si="555"/>
        <v>397487.371103424</v>
      </c>
      <c r="AL632">
        <v>7</v>
      </c>
      <c r="AM632">
        <f t="shared" si="556"/>
        <v>782.09672561596801</v>
      </c>
      <c r="AN632">
        <f t="shared" si="557"/>
        <v>508.39827256006652</v>
      </c>
      <c r="AO632">
        <f t="shared" si="558"/>
        <v>-18.464739231206785</v>
      </c>
      <c r="AQ632">
        <f t="shared" si="559"/>
        <v>7.9719387119583961E-5</v>
      </c>
      <c r="AR632">
        <f t="shared" si="560"/>
        <v>-0.89285713573934045</v>
      </c>
      <c r="AT632">
        <f t="shared" si="561"/>
        <v>-140.73402951493085</v>
      </c>
      <c r="AU632">
        <f t="shared" si="562"/>
        <v>-5.8143037491298619</v>
      </c>
      <c r="AV632">
        <f t="shared" si="511"/>
        <v>-3.1003020070361251</v>
      </c>
      <c r="AW632">
        <f t="shared" si="512"/>
        <v>498.56775331682115</v>
      </c>
      <c r="AX632">
        <f t="shared" si="513"/>
        <v>-653.98099231412209</v>
      </c>
      <c r="AY632">
        <f t="shared" si="521"/>
        <v>-0.9194327907018871</v>
      </c>
      <c r="BA632">
        <f t="shared" si="502"/>
        <v>0.17128222389988668</v>
      </c>
      <c r="BB632">
        <f t="shared" si="514"/>
        <v>-15.325754137394851</v>
      </c>
      <c r="BC632">
        <f t="shared" si="515"/>
        <v>-2.180869216334238</v>
      </c>
      <c r="BD632">
        <f t="shared" si="503"/>
        <v>-304.95460190873655</v>
      </c>
      <c r="BF632">
        <f t="shared" si="504"/>
        <v>-98.342223179917156</v>
      </c>
      <c r="BG632">
        <f t="shared" si="505"/>
        <v>-251.42427028971974</v>
      </c>
      <c r="BH632">
        <f t="shared" si="516"/>
        <v>-71.424270289719743</v>
      </c>
      <c r="BI632">
        <f t="shared" si="517"/>
        <v>-71.424270289719743</v>
      </c>
      <c r="BJ632">
        <f t="shared" si="506"/>
        <v>0</v>
      </c>
      <c r="BK632">
        <f t="shared" si="518"/>
        <v>0</v>
      </c>
      <c r="BM632">
        <f t="shared" si="519"/>
        <v>-83.016469042522303</v>
      </c>
      <c r="BN632">
        <f t="shared" si="507"/>
        <v>-126.46966838098317</v>
      </c>
      <c r="BQ632" s="56">
        <f t="shared" si="520"/>
        <v>1.5762066628902835</v>
      </c>
    </row>
    <row r="633" spans="1:69" x14ac:dyDescent="0.2">
      <c r="A633">
        <f t="shared" si="563"/>
        <v>5700000</v>
      </c>
      <c r="B633">
        <f t="shared" si="508"/>
        <v>5700</v>
      </c>
      <c r="C633">
        <f t="shared" si="539"/>
        <v>1.7003970022498129</v>
      </c>
      <c r="D633">
        <f t="shared" si="540"/>
        <v>0.94209121976644516</v>
      </c>
      <c r="F633">
        <f t="shared" si="541"/>
        <v>2.7049462375135904E-6</v>
      </c>
      <c r="G633">
        <f t="shared" si="542"/>
        <v>6.1962143177037639E-4</v>
      </c>
      <c r="H633">
        <f t="shared" si="481"/>
        <v>-3.1409730285682298</v>
      </c>
      <c r="J633">
        <f t="shared" si="482"/>
        <v>15</v>
      </c>
      <c r="M633">
        <f t="shared" si="543"/>
        <v>3.9592081947406329E-5</v>
      </c>
      <c r="N633">
        <f t="shared" si="484"/>
        <v>-1.5707963250000001</v>
      </c>
      <c r="O633">
        <f t="shared" si="544"/>
        <v>5349.5606065533211</v>
      </c>
      <c r="P633">
        <f t="shared" si="486"/>
        <v>1.5706093955533664</v>
      </c>
      <c r="Q633">
        <f t="shared" si="545"/>
        <v>796.06336666434743</v>
      </c>
      <c r="R633">
        <f t="shared" si="488"/>
        <v>1.5695401450575193</v>
      </c>
      <c r="S633">
        <f t="shared" si="546"/>
        <v>4.44460278346267E-2</v>
      </c>
      <c r="T633">
        <f t="shared" si="490"/>
        <v>-1.5263356524567244</v>
      </c>
      <c r="U633">
        <f t="shared" si="547"/>
        <v>4.0655060974062691E-2</v>
      </c>
      <c r="V633">
        <f t="shared" si="492"/>
        <v>-1.5301300581384421</v>
      </c>
      <c r="X633">
        <f t="shared" si="548"/>
        <v>-93.547562223873825</v>
      </c>
      <c r="Y633">
        <f t="shared" si="549"/>
        <v>-211.19191715752572</v>
      </c>
      <c r="Z633">
        <f t="shared" si="510"/>
        <v>-31.191917157525722</v>
      </c>
      <c r="AC633">
        <v>1</v>
      </c>
      <c r="AD633">
        <f t="shared" si="550"/>
        <v>5349.5605130876993</v>
      </c>
      <c r="AE633">
        <f t="shared" si="551"/>
        <v>-34.486199256702712</v>
      </c>
      <c r="AF633">
        <f t="shared" si="552"/>
        <v>1.4031986403078001</v>
      </c>
      <c r="AG633">
        <f t="shared" si="553"/>
        <v>6.2723221839245564</v>
      </c>
      <c r="AH633">
        <f t="shared" si="554"/>
        <v>-154.86656442981658</v>
      </c>
      <c r="AJ633">
        <f t="shared" si="497"/>
        <v>18000</v>
      </c>
      <c r="AK633">
        <f t="shared" si="555"/>
        <v>404585.35987312801</v>
      </c>
      <c r="AL633">
        <v>8</v>
      </c>
      <c r="AM633">
        <f t="shared" si="556"/>
        <v>796.06273857339613</v>
      </c>
      <c r="AN633">
        <f t="shared" si="557"/>
        <v>508.4088937366181</v>
      </c>
      <c r="AO633">
        <f t="shared" si="558"/>
        <v>-17.502048739368895</v>
      </c>
      <c r="AQ633">
        <f t="shared" si="559"/>
        <v>7.694675225494958E-5</v>
      </c>
      <c r="AR633">
        <f t="shared" si="560"/>
        <v>-0.87719297570642529</v>
      </c>
      <c r="AT633">
        <f t="shared" si="561"/>
        <v>-135.84737985480049</v>
      </c>
      <c r="AU633">
        <f t="shared" si="562"/>
        <v>-5.5139534402719619</v>
      </c>
      <c r="AV633">
        <f t="shared" si="511"/>
        <v>-3.1010255968768483</v>
      </c>
      <c r="AW633">
        <f t="shared" si="512"/>
        <v>499.51052431095809</v>
      </c>
      <c r="AX633">
        <f t="shared" si="513"/>
        <v>-641.88675803858519</v>
      </c>
      <c r="AY633">
        <f t="shared" si="521"/>
        <v>-0.90949571485939174</v>
      </c>
      <c r="BA633">
        <f t="shared" si="502"/>
        <v>0.16716068961991121</v>
      </c>
      <c r="BB633">
        <f t="shared" si="514"/>
        <v>-15.537316916935275</v>
      </c>
      <c r="BC633">
        <f t="shared" si="515"/>
        <v>-2.1915298820174565</v>
      </c>
      <c r="BD633">
        <f t="shared" si="503"/>
        <v>-305.56541305988287</v>
      </c>
      <c r="BF633">
        <f t="shared" si="504"/>
        <v>-98.761312369759509</v>
      </c>
      <c r="BG633">
        <f t="shared" si="505"/>
        <v>-251.55206049627833</v>
      </c>
      <c r="BH633">
        <f t="shared" si="516"/>
        <v>-71.55206049627833</v>
      </c>
      <c r="BI633">
        <f t="shared" si="517"/>
        <v>-71.55206049627833</v>
      </c>
      <c r="BJ633">
        <f t="shared" si="506"/>
        <v>0</v>
      </c>
      <c r="BK633">
        <f t="shared" si="518"/>
        <v>0</v>
      </c>
      <c r="BM633">
        <f t="shared" si="519"/>
        <v>-83.223995452824241</v>
      </c>
      <c r="BN633">
        <f t="shared" si="507"/>
        <v>-125.98664743639543</v>
      </c>
      <c r="BQ633" s="56">
        <f t="shared" si="520"/>
        <v>1.3646438833498606</v>
      </c>
    </row>
    <row r="634" spans="1:69" x14ac:dyDescent="0.2">
      <c r="A634">
        <f t="shared" si="563"/>
        <v>5800000</v>
      </c>
      <c r="B634">
        <f t="shared" si="508"/>
        <v>5800</v>
      </c>
      <c r="C634">
        <f t="shared" si="539"/>
        <v>1.7199695505703703</v>
      </c>
      <c r="D634">
        <f t="shared" si="540"/>
        <v>0.95034104843865186</v>
      </c>
      <c r="F634">
        <f t="shared" si="541"/>
        <v>2.6124760888294977E-6</v>
      </c>
      <c r="G634">
        <f t="shared" si="542"/>
        <v>6.089382494465274E-4</v>
      </c>
      <c r="H634">
        <f t="shared" si="481"/>
        <v>-3.1409837117505535</v>
      </c>
      <c r="J634">
        <f t="shared" si="482"/>
        <v>15</v>
      </c>
      <c r="M634">
        <f t="shared" si="543"/>
        <v>3.890945984486484E-5</v>
      </c>
      <c r="N634">
        <f t="shared" si="484"/>
        <v>-1.5707963250000001</v>
      </c>
      <c r="O634">
        <f t="shared" si="544"/>
        <v>5443.412543767944</v>
      </c>
      <c r="P634">
        <f t="shared" si="486"/>
        <v>1.5706126185057334</v>
      </c>
      <c r="Q634">
        <f t="shared" si="545"/>
        <v>810.02936879262938</v>
      </c>
      <c r="R634">
        <f t="shared" si="488"/>
        <v>1.5695618033411376</v>
      </c>
      <c r="S634">
        <f t="shared" si="546"/>
        <v>4.3681191967636306E-2</v>
      </c>
      <c r="T634">
        <f t="shared" si="490"/>
        <v>-1.5271012319288235</v>
      </c>
      <c r="U634">
        <f t="shared" si="547"/>
        <v>3.9955240457252385E-2</v>
      </c>
      <c r="V634">
        <f t="shared" si="492"/>
        <v>-1.5308304477941663</v>
      </c>
      <c r="X634">
        <f t="shared" si="548"/>
        <v>-93.900804242041872</v>
      </c>
      <c r="Y634">
        <f t="shared" si="549"/>
        <v>-210.80241714782582</v>
      </c>
      <c r="Z634">
        <f t="shared" si="510"/>
        <v>-30.802417147825821</v>
      </c>
      <c r="AC634">
        <v>1</v>
      </c>
      <c r="AD634">
        <f t="shared" si="550"/>
        <v>5443.4124519137995</v>
      </c>
      <c r="AE634">
        <f t="shared" si="551"/>
        <v>-35.706855740088621</v>
      </c>
      <c r="AF634">
        <f t="shared" si="552"/>
        <v>1.4278161603132</v>
      </c>
      <c r="AG634">
        <f t="shared" si="553"/>
        <v>6.0582420634459311</v>
      </c>
      <c r="AH634">
        <f t="shared" si="554"/>
        <v>-152.20501170846114</v>
      </c>
      <c r="AJ634">
        <f t="shared" si="497"/>
        <v>18000</v>
      </c>
      <c r="AK634">
        <f t="shared" si="555"/>
        <v>411683.34864283202</v>
      </c>
      <c r="AL634">
        <v>9</v>
      </c>
      <c r="AM634">
        <f t="shared" si="556"/>
        <v>810.02875153082414</v>
      </c>
      <c r="AN634">
        <f t="shared" si="557"/>
        <v>508.41714057209094</v>
      </c>
      <c r="AO634">
        <f t="shared" si="558"/>
        <v>-16.572554627822178</v>
      </c>
      <c r="AQ634">
        <f t="shared" si="559"/>
        <v>7.4316289578505582E-5</v>
      </c>
      <c r="AR634">
        <f t="shared" si="560"/>
        <v>-0.86206895911066472</v>
      </c>
      <c r="AT634">
        <f t="shared" si="561"/>
        <v>-131.21076578886809</v>
      </c>
      <c r="AU634">
        <f t="shared" si="562"/>
        <v>-5.2339337414007057</v>
      </c>
      <c r="AV634">
        <f t="shared" si="511"/>
        <v>-3.1017242759818879</v>
      </c>
      <c r="AW634">
        <f t="shared" si="512"/>
        <v>500.3930132968643</v>
      </c>
      <c r="AX634">
        <f t="shared" si="513"/>
        <v>-630.20702760980089</v>
      </c>
      <c r="AY634">
        <f t="shared" si="521"/>
        <v>-0.89971624187872079</v>
      </c>
      <c r="BA634">
        <f t="shared" si="502"/>
        <v>0.16318367044169327</v>
      </c>
      <c r="BB634">
        <f t="shared" si="514"/>
        <v>-15.746466052805864</v>
      </c>
      <c r="BC634">
        <f t="shared" si="515"/>
        <v>-2.2020080341031671</v>
      </c>
      <c r="BD634">
        <f t="shared" si="503"/>
        <v>-306.16576695217634</v>
      </c>
      <c r="BF634">
        <f t="shared" si="504"/>
        <v>-99.173179219033329</v>
      </c>
      <c r="BG634">
        <f t="shared" si="505"/>
        <v>-251.68034612466781</v>
      </c>
      <c r="BH634">
        <f t="shared" si="516"/>
        <v>-71.680346124667807</v>
      </c>
      <c r="BI634">
        <f t="shared" si="517"/>
        <v>-71.680346124667807</v>
      </c>
      <c r="BJ634">
        <f t="shared" si="506"/>
        <v>0</v>
      </c>
      <c r="BK634">
        <f t="shared" si="518"/>
        <v>0</v>
      </c>
      <c r="BM634">
        <f t="shared" si="519"/>
        <v>-83.426713166227472</v>
      </c>
      <c r="BN634">
        <f t="shared" si="507"/>
        <v>-125.51457917249148</v>
      </c>
      <c r="BQ634" s="56">
        <f t="shared" si="520"/>
        <v>1.1554947474792707</v>
      </c>
    </row>
    <row r="635" spans="1:69" x14ac:dyDescent="0.2">
      <c r="A635">
        <f t="shared" si="563"/>
        <v>5900000</v>
      </c>
      <c r="B635">
        <f t="shared" si="508"/>
        <v>5900</v>
      </c>
      <c r="C635">
        <f t="shared" si="539"/>
        <v>1.739656520818097</v>
      </c>
      <c r="D635">
        <f t="shared" si="540"/>
        <v>0.95840469587381061</v>
      </c>
      <c r="F635">
        <f t="shared" si="541"/>
        <v>2.5246678651028713E-6</v>
      </c>
      <c r="G635">
        <f t="shared" si="542"/>
        <v>5.9861721158207019E-4</v>
      </c>
      <c r="H635">
        <f t="shared" si="481"/>
        <v>-3.1409940327884183</v>
      </c>
      <c r="J635">
        <f t="shared" si="482"/>
        <v>15</v>
      </c>
      <c r="M635">
        <f t="shared" si="543"/>
        <v>3.8249977474612894E-5</v>
      </c>
      <c r="N635">
        <f t="shared" si="484"/>
        <v>-1.5707963250000001</v>
      </c>
      <c r="O635">
        <f t="shared" si="544"/>
        <v>5537.2644810371949</v>
      </c>
      <c r="P635">
        <f t="shared" si="486"/>
        <v>1.5706157322054815</v>
      </c>
      <c r="Q635">
        <f t="shared" si="545"/>
        <v>823.99537128800068</v>
      </c>
      <c r="R635">
        <f t="shared" si="488"/>
        <v>1.5695827274467504</v>
      </c>
      <c r="S635">
        <f t="shared" si="546"/>
        <v>4.2942209776089403E-2</v>
      </c>
      <c r="T635">
        <f t="shared" si="490"/>
        <v>-1.5278409082436526</v>
      </c>
      <c r="U635">
        <f t="shared" si="547"/>
        <v>3.9279086812146674E-2</v>
      </c>
      <c r="V635">
        <f t="shared" si="492"/>
        <v>-1.5315071326958913</v>
      </c>
      <c r="X635">
        <f t="shared" si="548"/>
        <v>-94.24687968802759</v>
      </c>
      <c r="Y635">
        <f t="shared" si="549"/>
        <v>-210.42076978896213</v>
      </c>
      <c r="Z635">
        <f t="shared" si="510"/>
        <v>-30.420769788962133</v>
      </c>
      <c r="AC635">
        <v>1</v>
      </c>
      <c r="AD635">
        <f t="shared" si="550"/>
        <v>5537.2643907398997</v>
      </c>
      <c r="AE635">
        <f t="shared" si="551"/>
        <v>-36.948741031881241</v>
      </c>
      <c r="AF635">
        <f t="shared" si="552"/>
        <v>1.4524336803186</v>
      </c>
      <c r="AG635">
        <f t="shared" si="553"/>
        <v>5.8549324599945543</v>
      </c>
      <c r="AH635">
        <f t="shared" si="554"/>
        <v>-149.63325773044659</v>
      </c>
      <c r="AJ635">
        <f t="shared" si="497"/>
        <v>18000</v>
      </c>
      <c r="AK635">
        <f t="shared" si="555"/>
        <v>418781.33741253597</v>
      </c>
      <c r="AL635">
        <v>10</v>
      </c>
      <c r="AM635">
        <f t="shared" si="556"/>
        <v>823.99476448825214</v>
      </c>
      <c r="AN635">
        <f t="shared" si="557"/>
        <v>508.42323424442338</v>
      </c>
      <c r="AO635">
        <f t="shared" si="558"/>
        <v>-15.674574905311683</v>
      </c>
      <c r="AQ635">
        <f t="shared" si="559"/>
        <v>7.1818442460367399E-5</v>
      </c>
      <c r="AR635">
        <f t="shared" si="560"/>
        <v>-0.84745762103233535</v>
      </c>
      <c r="AT635">
        <f t="shared" si="561"/>
        <v>-126.80742413143258</v>
      </c>
      <c r="AU635">
        <f t="shared" si="562"/>
        <v>-4.9725535613624556</v>
      </c>
      <c r="AV635">
        <f t="shared" si="511"/>
        <v>-3.1023993083176937</v>
      </c>
      <c r="AW635">
        <f t="shared" si="512"/>
        <v>501.21966983712298</v>
      </c>
      <c r="AX635">
        <f t="shared" si="513"/>
        <v>-618.92095245882479</v>
      </c>
      <c r="AY635">
        <f t="shared" si="521"/>
        <v>-0.89009121602972319</v>
      </c>
      <c r="BA635">
        <f t="shared" si="502"/>
        <v>0.15934423230036313</v>
      </c>
      <c r="BB635">
        <f t="shared" si="514"/>
        <v>-15.953273036708509</v>
      </c>
      <c r="BC635">
        <f t="shared" si="515"/>
        <v>-2.2123080922879703</v>
      </c>
      <c r="BD635">
        <f t="shared" si="503"/>
        <v>-306.7559168155791</v>
      </c>
      <c r="BF635">
        <f t="shared" si="504"/>
        <v>-99.578092625282665</v>
      </c>
      <c r="BG635">
        <f t="shared" si="505"/>
        <v>-251.80907437393702</v>
      </c>
      <c r="BH635">
        <f t="shared" si="516"/>
        <v>-71.809074373937023</v>
      </c>
      <c r="BI635">
        <f t="shared" si="517"/>
        <v>-71.809074373937023</v>
      </c>
      <c r="BJ635">
        <f t="shared" si="506"/>
        <v>0</v>
      </c>
      <c r="BK635">
        <f t="shared" si="518"/>
        <v>0</v>
      </c>
      <c r="BM635">
        <f t="shared" si="519"/>
        <v>-83.624819588574155</v>
      </c>
      <c r="BN635">
        <f t="shared" si="507"/>
        <v>-125.05315755835795</v>
      </c>
      <c r="BQ635" s="56">
        <f t="shared" si="520"/>
        <v>0.94868776357662843</v>
      </c>
    </row>
    <row r="636" spans="1:69" x14ac:dyDescent="0.2">
      <c r="A636">
        <f t="shared" si="563"/>
        <v>6000000</v>
      </c>
      <c r="B636">
        <f t="shared" si="508"/>
        <v>6000</v>
      </c>
      <c r="C636">
        <f t="shared" si="539"/>
        <v>1.759454072110779</v>
      </c>
      <c r="D636">
        <f t="shared" si="540"/>
        <v>0.96628738039762418</v>
      </c>
      <c r="F636">
        <f t="shared" si="541"/>
        <v>2.4412133749836488E-6</v>
      </c>
      <c r="G636">
        <f t="shared" si="542"/>
        <v>5.8864021077944769E-4</v>
      </c>
      <c r="H636">
        <f t="shared" si="481"/>
        <v>-3.1410040097892207</v>
      </c>
      <c r="J636">
        <f t="shared" si="482"/>
        <v>15</v>
      </c>
      <c r="M636">
        <f t="shared" si="543"/>
        <v>3.7612477850036014E-5</v>
      </c>
      <c r="N636">
        <f t="shared" si="484"/>
        <v>-1.5707963250000001</v>
      </c>
      <c r="O636">
        <f t="shared" si="544"/>
        <v>5631.1164183583396</v>
      </c>
      <c r="P636">
        <f t="shared" si="486"/>
        <v>1.5706187421152413</v>
      </c>
      <c r="Q636">
        <f t="shared" si="545"/>
        <v>837.96137413210681</v>
      </c>
      <c r="R636">
        <f t="shared" si="488"/>
        <v>1.5696029540831864</v>
      </c>
      <c r="S636">
        <f t="shared" si="546"/>
        <v>4.2227793308572327E-2</v>
      </c>
      <c r="T636">
        <f t="shared" si="490"/>
        <v>-1.5285559733997183</v>
      </c>
      <c r="U636">
        <f t="shared" si="547"/>
        <v>3.8625420319362273E-2</v>
      </c>
      <c r="V636">
        <f t="shared" si="492"/>
        <v>-1.5321612956623307</v>
      </c>
      <c r="X636">
        <f t="shared" si="548"/>
        <v>-94.58606017164621</v>
      </c>
      <c r="Y636">
        <f t="shared" si="549"/>
        <v>-210.04681651070808</v>
      </c>
      <c r="Z636">
        <f t="shared" si="510"/>
        <v>-30.046816510708084</v>
      </c>
      <c r="AC636">
        <v>1</v>
      </c>
      <c r="AD636">
        <f t="shared" si="550"/>
        <v>5631.1163295659999</v>
      </c>
      <c r="AE636">
        <f t="shared" si="551"/>
        <v>-38.211855132080572</v>
      </c>
      <c r="AF636">
        <f t="shared" si="552"/>
        <v>1.4770512003239999</v>
      </c>
      <c r="AG636">
        <f t="shared" si="553"/>
        <v>5.6616831586685512</v>
      </c>
      <c r="AH636">
        <f t="shared" si="554"/>
        <v>-147.14684001144136</v>
      </c>
      <c r="AJ636">
        <f t="shared" si="497"/>
        <v>18000</v>
      </c>
      <c r="AK636">
        <f t="shared" si="555"/>
        <v>425879.32618223998</v>
      </c>
      <c r="AL636">
        <v>11</v>
      </c>
      <c r="AM636">
        <f t="shared" si="556"/>
        <v>837.96077744568004</v>
      </c>
      <c r="AN636">
        <f t="shared" si="557"/>
        <v>508.42737461917551</v>
      </c>
      <c r="AO636">
        <f t="shared" si="558"/>
        <v>-14.806538937311249</v>
      </c>
      <c r="AQ636">
        <f t="shared" si="559"/>
        <v>6.9444443962191359E-5</v>
      </c>
      <c r="AR636">
        <f t="shared" si="560"/>
        <v>-0.8333333275462963</v>
      </c>
      <c r="AT636">
        <f t="shared" si="561"/>
        <v>-122.62197265221806</v>
      </c>
      <c r="AU636">
        <f t="shared" si="562"/>
        <v>-4.7282877966114771</v>
      </c>
      <c r="AV636">
        <f t="shared" si="511"/>
        <v>-3.103051873803742</v>
      </c>
      <c r="AW636">
        <f t="shared" si="512"/>
        <v>501.9945566873094</v>
      </c>
      <c r="AX636">
        <f t="shared" si="513"/>
        <v>-608.00905248871436</v>
      </c>
      <c r="AY636">
        <f t="shared" si="521"/>
        <v>-0.88061758359424791</v>
      </c>
      <c r="BA636">
        <f t="shared" si="502"/>
        <v>0.15563588318620522</v>
      </c>
      <c r="BB636">
        <f t="shared" si="514"/>
        <v>-16.157805309763795</v>
      </c>
      <c r="BC636">
        <f t="shared" si="515"/>
        <v>-2.222434290209494</v>
      </c>
      <c r="BD636">
        <f t="shared" si="503"/>
        <v>-307.33610521965949</v>
      </c>
      <c r="BF636">
        <f t="shared" si="504"/>
        <v>-99.976306619986786</v>
      </c>
      <c r="BG636">
        <f t="shared" si="505"/>
        <v>-251.93818986309259</v>
      </c>
      <c r="BH636">
        <f t="shared" si="516"/>
        <v>-71.938189863092589</v>
      </c>
      <c r="BI636">
        <f t="shared" si="517"/>
        <v>-71.938189863092589</v>
      </c>
      <c r="BJ636">
        <f t="shared" si="506"/>
        <v>0</v>
      </c>
      <c r="BK636">
        <f t="shared" si="518"/>
        <v>0</v>
      </c>
      <c r="BM636">
        <f t="shared" si="519"/>
        <v>-83.818501310223013</v>
      </c>
      <c r="BN636">
        <f t="shared" si="507"/>
        <v>-124.60208464343313</v>
      </c>
      <c r="BQ636" s="56">
        <f t="shared" si="520"/>
        <v>0.74415549052134256</v>
      </c>
    </row>
    <row r="637" spans="1:69" x14ac:dyDescent="0.2">
      <c r="A637">
        <f t="shared" si="563"/>
        <v>6100000</v>
      </c>
      <c r="B637">
        <f t="shared" si="508"/>
        <v>6100</v>
      </c>
      <c r="C637">
        <f t="shared" si="539"/>
        <v>1.7793585134019712</v>
      </c>
      <c r="D637">
        <f t="shared" si="540"/>
        <v>0.97399417875401872</v>
      </c>
      <c r="F637">
        <f t="shared" si="541"/>
        <v>2.3618294799894436E-6</v>
      </c>
      <c r="G637">
        <f t="shared" si="542"/>
        <v>5.7899032702539346E-4</v>
      </c>
      <c r="H637">
        <f t="shared" si="481"/>
        <v>-3.141013659672975</v>
      </c>
      <c r="J637">
        <f t="shared" si="482"/>
        <v>15</v>
      </c>
      <c r="M637">
        <f t="shared" si="543"/>
        <v>3.6995879852494445E-5</v>
      </c>
      <c r="N637">
        <f t="shared" si="484"/>
        <v>-1.5707963250000001</v>
      </c>
      <c r="O637">
        <f t="shared" si="544"/>
        <v>5724.9683557288281</v>
      </c>
      <c r="P637">
        <f t="shared" si="486"/>
        <v>1.5706216533394382</v>
      </c>
      <c r="Q637">
        <f t="shared" si="545"/>
        <v>851.92737730779686</v>
      </c>
      <c r="R637">
        <f t="shared" si="488"/>
        <v>1.5696225175521439</v>
      </c>
      <c r="S637">
        <f t="shared" si="546"/>
        <v>4.1536738692121371E-2</v>
      </c>
      <c r="T637">
        <f t="shared" si="490"/>
        <v>-1.5292476349263893</v>
      </c>
      <c r="U637">
        <f t="shared" si="547"/>
        <v>3.7993138329027468E-2</v>
      </c>
      <c r="V637">
        <f t="shared" si="492"/>
        <v>-1.5327940421433872</v>
      </c>
      <c r="X637">
        <f t="shared" si="548"/>
        <v>-94.918603047063229</v>
      </c>
      <c r="Y637">
        <f t="shared" si="549"/>
        <v>-209.68039767265401</v>
      </c>
      <c r="Z637">
        <f t="shared" si="510"/>
        <v>-29.68039767265401</v>
      </c>
      <c r="AC637">
        <v>1</v>
      </c>
      <c r="AD637">
        <f t="shared" si="550"/>
        <v>5724.9682683921001</v>
      </c>
      <c r="AE637">
        <f t="shared" si="551"/>
        <v>-39.496198040686615</v>
      </c>
      <c r="AF637">
        <f t="shared" si="552"/>
        <v>1.5016687203294001</v>
      </c>
      <c r="AG637">
        <f t="shared" si="553"/>
        <v>5.4778415065615347</v>
      </c>
      <c r="AH637">
        <f t="shared" si="554"/>
        <v>-144.74158650049631</v>
      </c>
      <c r="AJ637">
        <f t="shared" si="497"/>
        <v>18000</v>
      </c>
      <c r="AK637">
        <f t="shared" si="555"/>
        <v>432977.31495194399</v>
      </c>
      <c r="AL637">
        <v>12</v>
      </c>
      <c r="AM637">
        <f t="shared" si="556"/>
        <v>851.92679040310804</v>
      </c>
      <c r="AN637">
        <f t="shared" si="557"/>
        <v>508.42974252274621</v>
      </c>
      <c r="AO637">
        <f t="shared" si="558"/>
        <v>-13.966978411486323</v>
      </c>
      <c r="AQ637">
        <f t="shared" si="559"/>
        <v>6.7186239806596079E-5</v>
      </c>
      <c r="AR637">
        <f t="shared" si="560"/>
        <v>-0.81967212564047209</v>
      </c>
      <c r="AT637">
        <f t="shared" si="561"/>
        <v>-118.64027583986298</v>
      </c>
      <c r="AU637">
        <f t="shared" si="562"/>
        <v>-4.4997586345455085</v>
      </c>
      <c r="AV637">
        <f t="shared" si="511"/>
        <v>-3.1036830751808107</v>
      </c>
      <c r="AW637">
        <f t="shared" si="512"/>
        <v>502.72138869882656</v>
      </c>
      <c r="AX637">
        <f t="shared" si="513"/>
        <v>-597.45310614449477</v>
      </c>
      <c r="AY637">
        <f t="shared" si="521"/>
        <v>-0.87129238483198279</v>
      </c>
      <c r="BA637">
        <f t="shared" si="502"/>
        <v>0.15205253724134746</v>
      </c>
      <c r="BB637">
        <f t="shared" si="514"/>
        <v>-16.360126571137151</v>
      </c>
      <c r="BC637">
        <f t="shared" si="515"/>
        <v>-2.232390690348828</v>
      </c>
      <c r="BD637">
        <f t="shared" si="503"/>
        <v>-307.90656492743864</v>
      </c>
      <c r="BF637">
        <f t="shared" si="504"/>
        <v>-100.36806139675299</v>
      </c>
      <c r="BG637">
        <f t="shared" si="505"/>
        <v>-252.0676354485999</v>
      </c>
      <c r="BH637">
        <f t="shared" si="516"/>
        <v>-72.067635448599901</v>
      </c>
      <c r="BI637">
        <f t="shared" si="517"/>
        <v>-72.067635448599901</v>
      </c>
      <c r="BJ637">
        <f t="shared" si="506"/>
        <v>0</v>
      </c>
      <c r="BK637">
        <f t="shared" si="518"/>
        <v>0</v>
      </c>
      <c r="BM637">
        <f t="shared" si="519"/>
        <v>-84.007934825615834</v>
      </c>
      <c r="BN637">
        <f t="shared" si="507"/>
        <v>-124.16107052116131</v>
      </c>
      <c r="BQ637" s="56">
        <f t="shared" si="520"/>
        <v>0.54183422914798285</v>
      </c>
    </row>
    <row r="638" spans="1:69" x14ac:dyDescent="0.2">
      <c r="A638">
        <f t="shared" si="563"/>
        <v>6200000</v>
      </c>
      <c r="B638">
        <f t="shared" si="508"/>
        <v>6200</v>
      </c>
      <c r="C638">
        <f t="shared" si="539"/>
        <v>1.7993662974701774</v>
      </c>
      <c r="D638">
        <f t="shared" si="540"/>
        <v>0.9815300272809685</v>
      </c>
      <c r="F638">
        <f t="shared" si="541"/>
        <v>2.2862556897952285E-6</v>
      </c>
      <c r="G638">
        <f t="shared" si="542"/>
        <v>5.6965173193281678E-4</v>
      </c>
      <c r="H638">
        <f t="shared" si="481"/>
        <v>-3.1410229982680673</v>
      </c>
      <c r="J638">
        <f t="shared" si="482"/>
        <v>15</v>
      </c>
      <c r="M638">
        <f t="shared" si="543"/>
        <v>3.639917211293808E-5</v>
      </c>
      <c r="N638">
        <f t="shared" si="484"/>
        <v>-1.5707963250000001</v>
      </c>
      <c r="O638">
        <f t="shared" si="544"/>
        <v>5818.8202931462711</v>
      </c>
      <c r="P638">
        <f t="shared" si="486"/>
        <v>1.57062447065318</v>
      </c>
      <c r="Q638">
        <f t="shared" si="545"/>
        <v>865.89338079902666</v>
      </c>
      <c r="R638">
        <f t="shared" si="488"/>
        <v>1.569641449942313</v>
      </c>
      <c r="S638">
        <f t="shared" si="546"/>
        <v>4.0867919387233477E-2</v>
      </c>
      <c r="T638">
        <f t="shared" si="490"/>
        <v>-1.5299170226721772</v>
      </c>
      <c r="U638">
        <f t="shared" si="547"/>
        <v>3.7381209072734928E-2</v>
      </c>
      <c r="V638">
        <f t="shared" si="492"/>
        <v>-1.5334064064413753</v>
      </c>
      <c r="X638">
        <f t="shared" si="548"/>
        <v>-95.244752342515383</v>
      </c>
      <c r="Y638">
        <f t="shared" si="549"/>
        <v>-209.32135323493594</v>
      </c>
      <c r="Z638">
        <f t="shared" si="510"/>
        <v>-29.321353234935941</v>
      </c>
      <c r="AC638">
        <v>1</v>
      </c>
      <c r="AD638">
        <f t="shared" si="550"/>
        <v>5818.8202072182003</v>
      </c>
      <c r="AE638">
        <f t="shared" si="551"/>
        <v>-40.801769757699354</v>
      </c>
      <c r="AF638">
        <f t="shared" si="552"/>
        <v>1.5262862403348001</v>
      </c>
      <c r="AG638">
        <f t="shared" si="553"/>
        <v>5.3028069063342942</v>
      </c>
      <c r="AH638">
        <f t="shared" si="554"/>
        <v>-142.41359236397869</v>
      </c>
      <c r="AJ638">
        <f t="shared" si="497"/>
        <v>18000</v>
      </c>
      <c r="AK638">
        <f t="shared" si="555"/>
        <v>440075.30372164794</v>
      </c>
      <c r="AL638">
        <v>13</v>
      </c>
      <c r="AM638">
        <f t="shared" si="556"/>
        <v>865.89280336053616</v>
      </c>
      <c r="AN638">
        <f t="shared" si="557"/>
        <v>508.43050174594794</v>
      </c>
      <c r="AO638">
        <f t="shared" si="558"/>
        <v>-13.15451916576329</v>
      </c>
      <c r="AQ638">
        <f t="shared" si="559"/>
        <v>6.5036419972447842E-5</v>
      </c>
      <c r="AR638">
        <f t="shared" si="560"/>
        <v>-0.80645160765835322</v>
      </c>
      <c r="AT638">
        <f t="shared" si="561"/>
        <v>-114.84932563875499</v>
      </c>
      <c r="AU638">
        <f t="shared" si="562"/>
        <v>-4.2857192249178784</v>
      </c>
      <c r="AV638">
        <f t="shared" si="511"/>
        <v>-3.1042939442168729</v>
      </c>
      <c r="AW638">
        <f t="shared" si="512"/>
        <v>503.40356728084862</v>
      </c>
      <c r="AX638">
        <f t="shared" si="513"/>
        <v>-587.23605086073587</v>
      </c>
      <c r="AY638">
        <f t="shared" si="521"/>
        <v>-0.86211274691598894</v>
      </c>
      <c r="BA638">
        <f t="shared" si="502"/>
        <v>0.14858848237874653</v>
      </c>
      <c r="BB638">
        <f t="shared" si="514"/>
        <v>-16.560297059585981</v>
      </c>
      <c r="BC638">
        <f t="shared" si="515"/>
        <v>-2.2421811973008841</v>
      </c>
      <c r="BD638">
        <f t="shared" si="503"/>
        <v>-308.46751965572594</v>
      </c>
      <c r="BF638">
        <f t="shared" si="504"/>
        <v>-100.75358425647012</v>
      </c>
      <c r="BG638">
        <f t="shared" si="505"/>
        <v>-252.19735292283573</v>
      </c>
      <c r="BH638">
        <f t="shared" si="516"/>
        <v>-72.197352922835734</v>
      </c>
      <c r="BI638">
        <f t="shared" si="517"/>
        <v>-72.197352922835734</v>
      </c>
      <c r="BJ638">
        <f t="shared" si="506"/>
        <v>0</v>
      </c>
      <c r="BK638">
        <f t="shared" si="518"/>
        <v>0</v>
      </c>
      <c r="BM638">
        <f t="shared" si="519"/>
        <v>-84.193287196884143</v>
      </c>
      <c r="BN638">
        <f t="shared" si="507"/>
        <v>-123.72983326710985</v>
      </c>
      <c r="BQ638" s="56">
        <f t="shared" si="520"/>
        <v>0.34166374069915428</v>
      </c>
    </row>
    <row r="639" spans="1:69" x14ac:dyDescent="0.2">
      <c r="A639">
        <f t="shared" si="563"/>
        <v>6300000</v>
      </c>
      <c r="B639">
        <f t="shared" si="508"/>
        <v>6300</v>
      </c>
      <c r="C639">
        <f t="shared" si="539"/>
        <v>1.8194740151026039</v>
      </c>
      <c r="D639">
        <f t="shared" si="540"/>
        <v>0.98889972346022459</v>
      </c>
      <c r="F639">
        <f t="shared" si="541"/>
        <v>2.2142520225643123E-6</v>
      </c>
      <c r="G639">
        <f t="shared" si="542"/>
        <v>5.6060960210264953E-4</v>
      </c>
      <c r="H639">
        <f t="shared" si="481"/>
        <v>-3.1410320403978975</v>
      </c>
      <c r="J639">
        <f t="shared" si="482"/>
        <v>15</v>
      </c>
      <c r="M639">
        <f t="shared" si="543"/>
        <v>3.5821407476224774E-5</v>
      </c>
      <c r="N639">
        <f t="shared" si="484"/>
        <v>-1.5707963250000001</v>
      </c>
      <c r="O639">
        <f t="shared" si="544"/>
        <v>5912.672230608433</v>
      </c>
      <c r="P639">
        <f t="shared" si="486"/>
        <v>1.5706271985283928</v>
      </c>
      <c r="Q639">
        <f t="shared" si="545"/>
        <v>879.85938459077022</v>
      </c>
      <c r="R639">
        <f t="shared" si="488"/>
        <v>1.5696597813050119</v>
      </c>
      <c r="S639">
        <f t="shared" si="546"/>
        <v>4.0220280081415871E-2</v>
      </c>
      <c r="T639">
        <f t="shared" si="490"/>
        <v>-1.5305651949490811</v>
      </c>
      <c r="U639">
        <f t="shared" si="547"/>
        <v>3.6788666061886507E-2</v>
      </c>
      <c r="V639">
        <f t="shared" si="492"/>
        <v>-1.5339993573417183</v>
      </c>
      <c r="X639">
        <f t="shared" si="548"/>
        <v>-95.564739618214745</v>
      </c>
      <c r="Y639">
        <f t="shared" si="549"/>
        <v>-208.96952333750593</v>
      </c>
      <c r="Z639">
        <f t="shared" si="510"/>
        <v>-28.969523337505933</v>
      </c>
      <c r="AC639">
        <v>1</v>
      </c>
      <c r="AD639">
        <f t="shared" si="550"/>
        <v>5912.6721460443005</v>
      </c>
      <c r="AE639">
        <f t="shared" si="551"/>
        <v>-42.128570283118826</v>
      </c>
      <c r="AF639">
        <f t="shared" si="552"/>
        <v>1.5509037603402001</v>
      </c>
      <c r="AG639">
        <f t="shared" si="553"/>
        <v>5.1360259143995384</v>
      </c>
      <c r="AH639">
        <f t="shared" si="554"/>
        <v>-140.15919895830183</v>
      </c>
      <c r="AJ639">
        <f t="shared" si="497"/>
        <v>18000</v>
      </c>
      <c r="AK639">
        <f t="shared" si="555"/>
        <v>447173.29249135201</v>
      </c>
      <c r="AL639">
        <v>14</v>
      </c>
      <c r="AM639">
        <f t="shared" si="556"/>
        <v>879.85881631796417</v>
      </c>
      <c r="AN639">
        <f t="shared" si="557"/>
        <v>508.42980081326584</v>
      </c>
      <c r="AO639">
        <f t="shared" si="558"/>
        <v>-12.367873784743367</v>
      </c>
      <c r="AQ639">
        <f t="shared" si="559"/>
        <v>6.2988157829502655E-5</v>
      </c>
      <c r="AR639">
        <f t="shared" si="560"/>
        <v>-0.79365078865173355</v>
      </c>
      <c r="AT639">
        <f t="shared" si="561"/>
        <v>-111.23713528124057</v>
      </c>
      <c r="AU639">
        <f t="shared" si="562"/>
        <v>-4.0850393872441764</v>
      </c>
      <c r="AV639">
        <f t="shared" si="511"/>
        <v>-3.10488544732392</v>
      </c>
      <c r="AW639">
        <f t="shared" si="512"/>
        <v>504.0442109874985</v>
      </c>
      <c r="AX639">
        <f t="shared" si="513"/>
        <v>-577.34189276724544</v>
      </c>
      <c r="AY639">
        <f t="shared" si="521"/>
        <v>-0.85307587771385096</v>
      </c>
      <c r="BA639">
        <f t="shared" si="502"/>
        <v>0.14523835102449006</v>
      </c>
      <c r="BB639">
        <f t="shared" si="514"/>
        <v>-16.758373810582263</v>
      </c>
      <c r="BC639">
        <f t="shared" si="515"/>
        <v>-2.2518095696100691</v>
      </c>
      <c r="BD639">
        <f t="shared" si="503"/>
        <v>-309.01918475325323</v>
      </c>
      <c r="BF639">
        <f t="shared" si="504"/>
        <v>-101.13309047709609</v>
      </c>
      <c r="BG639">
        <f t="shared" si="505"/>
        <v>-252.32728360839315</v>
      </c>
      <c r="BH639">
        <f t="shared" si="516"/>
        <v>-72.327283608393145</v>
      </c>
      <c r="BI639">
        <f t="shared" si="517"/>
        <v>-72.327283608393145</v>
      </c>
      <c r="BJ639">
        <f t="shared" si="506"/>
        <v>0</v>
      </c>
      <c r="BK639">
        <f t="shared" si="518"/>
        <v>0</v>
      </c>
      <c r="BM639">
        <f t="shared" si="519"/>
        <v>-84.374716666513834</v>
      </c>
      <c r="BN639">
        <f t="shared" si="507"/>
        <v>-123.30809885513995</v>
      </c>
      <c r="BQ639" s="56">
        <f t="shared" si="520"/>
        <v>0.14358698970287395</v>
      </c>
    </row>
    <row r="640" spans="1:69" x14ac:dyDescent="0.2">
      <c r="A640">
        <f t="shared" si="563"/>
        <v>6400000</v>
      </c>
      <c r="B640">
        <f t="shared" si="508"/>
        <v>6400</v>
      </c>
      <c r="C640">
        <f t="shared" si="539"/>
        <v>1.8396783894752473</v>
      </c>
      <c r="D640">
        <f t="shared" si="540"/>
        <v>0.99610792778565427</v>
      </c>
      <c r="F640">
        <f t="shared" si="541"/>
        <v>2.1455970974533843E-6</v>
      </c>
      <c r="G640">
        <f t="shared" si="542"/>
        <v>5.5185004060814401E-4</v>
      </c>
      <c r="H640">
        <f t="shared" si="481"/>
        <v>-3.1410407999593919</v>
      </c>
      <c r="J640">
        <f t="shared" si="482"/>
        <v>15</v>
      </c>
      <c r="M640">
        <f t="shared" si="543"/>
        <v>3.5261697984408762E-5</v>
      </c>
      <c r="N640">
        <f t="shared" si="484"/>
        <v>-1.5707963250000001</v>
      </c>
      <c r="O640">
        <f t="shared" si="544"/>
        <v>6006.5241681132184</v>
      </c>
      <c r="P640">
        <f t="shared" si="486"/>
        <v>1.5706298411575079</v>
      </c>
      <c r="Q640">
        <f t="shared" si="545"/>
        <v>893.82538866894117</v>
      </c>
      <c r="R640">
        <f t="shared" si="488"/>
        <v>1.5696775398133551</v>
      </c>
      <c r="S640">
        <f t="shared" si="546"/>
        <v>3.9592831151901653E-2</v>
      </c>
      <c r="T640">
        <f t="shared" si="490"/>
        <v>-1.5311931441031168</v>
      </c>
      <c r="U640">
        <f t="shared" si="547"/>
        <v>3.6214603008651869E-2</v>
      </c>
      <c r="V640">
        <f t="shared" si="492"/>
        <v>-1.5345738032174641</v>
      </c>
      <c r="X640">
        <f t="shared" si="548"/>
        <v>-95.878784758865294</v>
      </c>
      <c r="Y640">
        <f t="shared" si="549"/>
        <v>-208.62474879874125</v>
      </c>
      <c r="Z640">
        <f t="shared" si="510"/>
        <v>-28.624748798741251</v>
      </c>
      <c r="AC640">
        <v>1</v>
      </c>
      <c r="AD640">
        <f t="shared" si="550"/>
        <v>6006.5240848703997</v>
      </c>
      <c r="AE640">
        <f t="shared" si="551"/>
        <v>-43.476599616945002</v>
      </c>
      <c r="AF640">
        <f t="shared" si="552"/>
        <v>1.5755212803456</v>
      </c>
      <c r="AG640">
        <f t="shared" si="553"/>
        <v>4.9769878690543266</v>
      </c>
      <c r="AH640">
        <f t="shared" si="554"/>
        <v>-137.97497475475743</v>
      </c>
      <c r="AJ640">
        <f t="shared" si="497"/>
        <v>18000</v>
      </c>
      <c r="AK640">
        <f t="shared" si="555"/>
        <v>454271.28126105596</v>
      </c>
      <c r="AL640">
        <v>15</v>
      </c>
      <c r="AM640">
        <f t="shared" si="556"/>
        <v>893.82482927539206</v>
      </c>
      <c r="AN640">
        <f t="shared" si="557"/>
        <v>508.42777454805434</v>
      </c>
      <c r="AO640">
        <f t="shared" si="558"/>
        <v>-11.605834881750672</v>
      </c>
      <c r="AQ640">
        <f t="shared" si="559"/>
        <v>6.1035155877470973E-5</v>
      </c>
      <c r="AR640">
        <f t="shared" si="560"/>
        <v>-0.78124999523162841</v>
      </c>
      <c r="AT640">
        <f t="shared" si="561"/>
        <v>-107.7926445980079</v>
      </c>
      <c r="AU640">
        <f t="shared" si="562"/>
        <v>-3.8966930730579121</v>
      </c>
      <c r="AV640">
        <f t="shared" si="511"/>
        <v>-3.1054584906499083</v>
      </c>
      <c r="AW640">
        <f t="shared" si="512"/>
        <v>504.6461827168464</v>
      </c>
      <c r="AX640">
        <f t="shared" si="513"/>
        <v>-567.75562466857741</v>
      </c>
      <c r="AY640">
        <f t="shared" si="521"/>
        <v>-0.84417906030657641</v>
      </c>
      <c r="BA640">
        <f t="shared" si="502"/>
        <v>0.14199709363513743</v>
      </c>
      <c r="BB640">
        <f t="shared" si="514"/>
        <v>-16.954410891372607</v>
      </c>
      <c r="BC640">
        <f t="shared" si="515"/>
        <v>-2.2612794303433317</v>
      </c>
      <c r="BD640">
        <f t="shared" si="503"/>
        <v>-309.56176780646581</v>
      </c>
      <c r="BF640">
        <f t="shared" si="504"/>
        <v>-101.5067841149414</v>
      </c>
      <c r="BG640">
        <f t="shared" si="505"/>
        <v>-252.45736886132337</v>
      </c>
      <c r="BH640">
        <f t="shared" si="516"/>
        <v>-72.457368861323374</v>
      </c>
      <c r="BI640">
        <f t="shared" si="517"/>
        <v>-72.457368861323374</v>
      </c>
      <c r="BJ640">
        <f t="shared" si="506"/>
        <v>0</v>
      </c>
      <c r="BK640">
        <f t="shared" si="518"/>
        <v>0</v>
      </c>
      <c r="BM640">
        <f t="shared" si="519"/>
        <v>-84.552373223568793</v>
      </c>
      <c r="BN640">
        <f t="shared" si="507"/>
        <v>-122.89560105485756</v>
      </c>
      <c r="BQ640" s="56">
        <f t="shared" si="520"/>
        <v>-5.2450091087469577E-2</v>
      </c>
    </row>
    <row r="641" spans="1:69" x14ac:dyDescent="0.2">
      <c r="A641">
        <f t="shared" si="563"/>
        <v>6500000</v>
      </c>
      <c r="B641">
        <f t="shared" si="508"/>
        <v>6500</v>
      </c>
      <c r="C641">
        <f t="shared" si="539"/>
        <v>1.8599762707296781</v>
      </c>
      <c r="D641">
        <f t="shared" si="540"/>
        <v>1.0031591659006509</v>
      </c>
      <c r="F641">
        <f t="shared" si="541"/>
        <v>2.0800864309396063E-6</v>
      </c>
      <c r="G641">
        <f t="shared" si="542"/>
        <v>5.4336000572688067E-4</v>
      </c>
      <c r="H641">
        <f t="shared" si="481"/>
        <v>-3.1410492899942732</v>
      </c>
      <c r="J641">
        <f t="shared" si="482"/>
        <v>15</v>
      </c>
      <c r="M641">
        <f t="shared" si="543"/>
        <v>3.4719210323110169E-5</v>
      </c>
      <c r="N641">
        <f t="shared" si="484"/>
        <v>-1.5707963250000001</v>
      </c>
      <c r="O641">
        <f t="shared" si="544"/>
        <v>6100.37610565866</v>
      </c>
      <c r="P641">
        <f t="shared" si="486"/>
        <v>1.5706324024749598</v>
      </c>
      <c r="Q641">
        <f t="shared" si="545"/>
        <v>907.7913930203199</v>
      </c>
      <c r="R641">
        <f t="shared" si="488"/>
        <v>1.5696947519067304</v>
      </c>
      <c r="S641">
        <f t="shared" si="546"/>
        <v>3.8984643636633579E-2</v>
      </c>
      <c r="T641">
        <f t="shared" si="490"/>
        <v>-1.5318018015725605</v>
      </c>
      <c r="U641">
        <f t="shared" si="547"/>
        <v>3.5658169213564031E-2</v>
      </c>
      <c r="V641">
        <f t="shared" si="492"/>
        <v>-1.5351305966640858</v>
      </c>
      <c r="X641">
        <f t="shared" si="548"/>
        <v>-96.187096706559615</v>
      </c>
      <c r="Y641">
        <f t="shared" si="549"/>
        <v>-208.28687154292393</v>
      </c>
      <c r="Z641">
        <f t="shared" si="510"/>
        <v>-28.286871542923933</v>
      </c>
      <c r="AC641">
        <v>1</v>
      </c>
      <c r="AD641">
        <f t="shared" si="550"/>
        <v>6100.3760236964999</v>
      </c>
      <c r="AE641">
        <f t="shared" si="551"/>
        <v>-44.845857759177889</v>
      </c>
      <c r="AF641">
        <f t="shared" si="552"/>
        <v>1.6001388003510002</v>
      </c>
      <c r="AG641">
        <f t="shared" si="553"/>
        <v>4.825220984105739</v>
      </c>
      <c r="AH641">
        <f t="shared" si="554"/>
        <v>-135.85769800852293</v>
      </c>
      <c r="AJ641">
        <f t="shared" si="497"/>
        <v>18000</v>
      </c>
      <c r="AK641">
        <f t="shared" si="555"/>
        <v>461369.27003076003</v>
      </c>
      <c r="AL641">
        <v>16</v>
      </c>
      <c r="AM641">
        <f t="shared" si="556"/>
        <v>907.79084223282007</v>
      </c>
      <c r="AN641">
        <f t="shared" si="557"/>
        <v>508.424545459657</v>
      </c>
      <c r="AO641">
        <f t="shared" si="558"/>
        <v>-10.867268993792482</v>
      </c>
      <c r="AQ641">
        <f t="shared" si="559"/>
        <v>5.9171597283008303E-5</v>
      </c>
      <c r="AR641">
        <f t="shared" si="560"/>
        <v>-0.76923076467910789</v>
      </c>
      <c r="AT641">
        <f t="shared" si="561"/>
        <v>-104.50563541060653</v>
      </c>
      <c r="AU641">
        <f t="shared" si="562"/>
        <v>-3.7197473443436921</v>
      </c>
      <c r="AV641">
        <f t="shared" si="511"/>
        <v>-3.1060139247021477</v>
      </c>
      <c r="AW641">
        <f t="shared" si="512"/>
        <v>505.21211394097588</v>
      </c>
      <c r="AX641">
        <f t="shared" si="513"/>
        <v>-558.46315143027164</v>
      </c>
      <c r="AY641">
        <f t="shared" si="521"/>
        <v>-0.83541964815136205</v>
      </c>
      <c r="BA641">
        <f t="shared" si="502"/>
        <v>0.13885995468540216</v>
      </c>
      <c r="BB641">
        <f t="shared" si="514"/>
        <v>-17.148459616082036</v>
      </c>
      <c r="BC641">
        <f t="shared" si="515"/>
        <v>-2.2705942765507858</v>
      </c>
      <c r="BD641">
        <f t="shared" si="503"/>
        <v>-310.09546918157628</v>
      </c>
      <c r="BF641">
        <f t="shared" si="504"/>
        <v>-101.87485874359966</v>
      </c>
      <c r="BG641">
        <f t="shared" si="505"/>
        <v>-252.5875504948082</v>
      </c>
      <c r="BH641">
        <f t="shared" si="516"/>
        <v>-72.587550494808198</v>
      </c>
      <c r="BI641">
        <f t="shared" si="517"/>
        <v>-72.587550494808198</v>
      </c>
      <c r="BJ641">
        <f t="shared" si="506"/>
        <v>0</v>
      </c>
      <c r="BK641">
        <f t="shared" si="518"/>
        <v>0</v>
      </c>
      <c r="BM641">
        <f t="shared" si="519"/>
        <v>-84.726399127517624</v>
      </c>
      <c r="BN641">
        <f t="shared" si="507"/>
        <v>-122.49208131323199</v>
      </c>
      <c r="BQ641" s="56">
        <f t="shared" si="520"/>
        <v>-0.24649881579690003</v>
      </c>
    </row>
    <row r="642" spans="1:69" x14ac:dyDescent="0.2">
      <c r="A642">
        <f t="shared" si="563"/>
        <v>6600000</v>
      </c>
      <c r="B642">
        <f t="shared" si="508"/>
        <v>6600</v>
      </c>
      <c r="C642">
        <f t="shared" si="539"/>
        <v>1.8803646307456741</v>
      </c>
      <c r="D642">
        <f t="shared" si="540"/>
        <v>1.0100578309603554</v>
      </c>
      <c r="F642">
        <f t="shared" si="541"/>
        <v>2.0175309124540762E-6</v>
      </c>
      <c r="G642">
        <f t="shared" si="542"/>
        <v>5.351272461517763E-4</v>
      </c>
      <c r="H642">
        <f t="shared" si="481"/>
        <v>-3.1410575227538486</v>
      </c>
      <c r="J642">
        <f t="shared" si="482"/>
        <v>15</v>
      </c>
      <c r="M642">
        <f t="shared" si="543"/>
        <v>3.4193161681850921E-5</v>
      </c>
      <c r="N642">
        <f t="shared" si="484"/>
        <v>-1.5707963250000001</v>
      </c>
      <c r="O642">
        <f t="shared" si="544"/>
        <v>6194.2280432429097</v>
      </c>
      <c r="P642">
        <f t="shared" si="486"/>
        <v>1.5706348861767336</v>
      </c>
      <c r="Q642">
        <f t="shared" si="545"/>
        <v>921.75739763248771</v>
      </c>
      <c r="R642">
        <f t="shared" si="488"/>
        <v>1.5697114424221421</v>
      </c>
      <c r="S642">
        <f t="shared" si="546"/>
        <v>3.8394844659946914E-2</v>
      </c>
      <c r="T642">
        <f t="shared" si="490"/>
        <v>-1.532392042488012</v>
      </c>
      <c r="U642">
        <f t="shared" si="547"/>
        <v>3.5118565370519696E-2</v>
      </c>
      <c r="V642">
        <f t="shared" si="492"/>
        <v>-1.5356705387142071</v>
      </c>
      <c r="X642">
        <f t="shared" si="548"/>
        <v>-96.489874139241394</v>
      </c>
      <c r="Y642">
        <f t="shared" si="549"/>
        <v>-207.95573496501225</v>
      </c>
      <c r="Z642">
        <f t="shared" si="510"/>
        <v>-27.955734965012255</v>
      </c>
      <c r="AC642">
        <v>1</v>
      </c>
      <c r="AD642">
        <f t="shared" si="550"/>
        <v>6194.2279625225992</v>
      </c>
      <c r="AE642">
        <f t="shared" si="551"/>
        <v>-46.236344709817494</v>
      </c>
      <c r="AF642">
        <f t="shared" si="552"/>
        <v>1.6247563203563999</v>
      </c>
      <c r="AG642">
        <f t="shared" si="553"/>
        <v>4.6802888522187436</v>
      </c>
      <c r="AH642">
        <f t="shared" si="554"/>
        <v>-133.80434098881611</v>
      </c>
      <c r="AJ642">
        <f t="shared" si="497"/>
        <v>18000</v>
      </c>
      <c r="AK642">
        <f t="shared" si="555"/>
        <v>468467.25880046398</v>
      </c>
      <c r="AL642">
        <v>17</v>
      </c>
      <c r="AM642">
        <f t="shared" si="556"/>
        <v>921.75685519024796</v>
      </c>
      <c r="AN642">
        <f t="shared" si="557"/>
        <v>508.42022497480565</v>
      </c>
      <c r="AO642">
        <f t="shared" si="558"/>
        <v>-10.151111025365877</v>
      </c>
      <c r="AQ642">
        <f t="shared" si="559"/>
        <v>5.7392102517262957E-5</v>
      </c>
      <c r="AR642">
        <f t="shared" si="560"/>
        <v>-0.75757575322787107</v>
      </c>
      <c r="AT642">
        <f t="shared" si="561"/>
        <v>-101.36665579814365</v>
      </c>
      <c r="AU642">
        <f t="shared" si="562"/>
        <v>-3.5533526649989078</v>
      </c>
      <c r="AV642">
        <f t="shared" si="511"/>
        <v>-3.1065525485516541</v>
      </c>
      <c r="AW642">
        <f t="shared" si="512"/>
        <v>505.7444263291676</v>
      </c>
      <c r="AX642">
        <f t="shared" si="513"/>
        <v>-549.45122200655373</v>
      </c>
      <c r="AY642">
        <f t="shared" si="521"/>
        <v>-0.82679506080644283</v>
      </c>
      <c r="BA642">
        <f t="shared" si="502"/>
        <v>0.13582245085905076</v>
      </c>
      <c r="BB642">
        <f t="shared" si="514"/>
        <v>-17.340568742742803</v>
      </c>
      <c r="BC642">
        <f t="shared" si="515"/>
        <v>-2.2797574877452114</v>
      </c>
      <c r="BD642">
        <f t="shared" si="503"/>
        <v>-310.6204825104038</v>
      </c>
      <c r="BF642">
        <f t="shared" si="504"/>
        <v>-102.23749813604715</v>
      </c>
      <c r="BG642">
        <f t="shared" si="505"/>
        <v>-252.7177711333666</v>
      </c>
      <c r="BH642">
        <f t="shared" si="516"/>
        <v>-72.717771133366597</v>
      </c>
      <c r="BI642">
        <f t="shared" si="517"/>
        <v>-72.717771133366597</v>
      </c>
      <c r="BJ642">
        <f t="shared" si="506"/>
        <v>0</v>
      </c>
      <c r="BK642">
        <f t="shared" si="518"/>
        <v>0</v>
      </c>
      <c r="BM642">
        <f t="shared" si="519"/>
        <v>-84.896929393304362</v>
      </c>
      <c r="BN642">
        <f t="shared" si="507"/>
        <v>-122.09728862296286</v>
      </c>
      <c r="BQ642" s="56">
        <f t="shared" si="520"/>
        <v>-0.43860794245766671</v>
      </c>
    </row>
    <row r="643" spans="1:69" x14ac:dyDescent="0.2">
      <c r="A643">
        <f t="shared" si="563"/>
        <v>6700000</v>
      </c>
      <c r="B643">
        <f t="shared" si="508"/>
        <v>6700</v>
      </c>
      <c r="C643">
        <f t="shared" si="539"/>
        <v>1.9008405581078447</v>
      </c>
      <c r="D643">
        <f t="shared" si="540"/>
        <v>1.0168081861792444</v>
      </c>
      <c r="F643">
        <f t="shared" si="541"/>
        <v>1.957755438074148E-6</v>
      </c>
      <c r="G643">
        <f t="shared" si="542"/>
        <v>5.2714024200417164E-4</v>
      </c>
      <c r="H643">
        <f t="shared" si="481"/>
        <v>-3.141065509757996</v>
      </c>
      <c r="J643">
        <f t="shared" si="482"/>
        <v>15</v>
      </c>
      <c r="M643">
        <f t="shared" si="543"/>
        <v>3.3682815985106883E-5</v>
      </c>
      <c r="N643">
        <f t="shared" si="484"/>
        <v>-1.5707963250000001</v>
      </c>
      <c r="O643">
        <f t="shared" si="544"/>
        <v>6288.0799808642287</v>
      </c>
      <c r="P643">
        <f t="shared" si="486"/>
        <v>1.5706372957381578</v>
      </c>
      <c r="Q643">
        <f t="shared" si="545"/>
        <v>935.72340249376748</v>
      </c>
      <c r="R643">
        <f t="shared" si="488"/>
        <v>1.5697276347137907</v>
      </c>
      <c r="S643">
        <f t="shared" si="546"/>
        <v>3.7822613265734752E-2</v>
      </c>
      <c r="T643">
        <f t="shared" si="490"/>
        <v>-1.5329646898619547</v>
      </c>
      <c r="U643">
        <f t="shared" si="547"/>
        <v>3.4595039745796544E-2</v>
      </c>
      <c r="V643">
        <f t="shared" si="492"/>
        <v>-1.5361943826759987</v>
      </c>
      <c r="X643">
        <f t="shared" si="548"/>
        <v>-96.787306099403295</v>
      </c>
      <c r="Y643">
        <f t="shared" si="549"/>
        <v>-207.63118424015153</v>
      </c>
      <c r="Z643">
        <f t="shared" si="510"/>
        <v>-27.631184240151526</v>
      </c>
      <c r="AC643">
        <v>1</v>
      </c>
      <c r="AD643">
        <f t="shared" si="550"/>
        <v>6288.0799013486994</v>
      </c>
      <c r="AE643">
        <f t="shared" si="551"/>
        <v>-47.648060468863804</v>
      </c>
      <c r="AF643">
        <f t="shared" si="552"/>
        <v>1.6493738403617999</v>
      </c>
      <c r="AG643">
        <f t="shared" si="553"/>
        <v>4.5417873096183579</v>
      </c>
      <c r="AH643">
        <f t="shared" si="554"/>
        <v>-131.81205560876617</v>
      </c>
      <c r="AJ643">
        <f t="shared" si="497"/>
        <v>18000</v>
      </c>
      <c r="AK643">
        <f t="shared" si="555"/>
        <v>475565.24757016799</v>
      </c>
      <c r="AL643">
        <v>18</v>
      </c>
      <c r="AM643">
        <f t="shared" si="556"/>
        <v>935.72286814767619</v>
      </c>
      <c r="AN643">
        <f t="shared" si="557"/>
        <v>508.41491453258936</v>
      </c>
      <c r="AO643">
        <f t="shared" si="558"/>
        <v>-9.456359184562448</v>
      </c>
      <c r="AQ643">
        <f t="shared" si="559"/>
        <v>5.5691690489576241E-5</v>
      </c>
      <c r="AR643">
        <f t="shared" si="560"/>
        <v>-0.7462686525603216</v>
      </c>
      <c r="AT643">
        <f t="shared" si="561"/>
        <v>-98.366952190546996</v>
      </c>
      <c r="AU643">
        <f t="shared" si="562"/>
        <v>-3.3967343319682186</v>
      </c>
      <c r="AV643">
        <f t="shared" si="511"/>
        <v>-3.1070751136621011</v>
      </c>
      <c r="AW643">
        <f t="shared" si="512"/>
        <v>506.24535107757947</v>
      </c>
      <c r="AX643">
        <f t="shared" si="513"/>
        <v>-540.70736743286068</v>
      </c>
      <c r="AY643">
        <f t="shared" si="521"/>
        <v>-0.81830278014669811</v>
      </c>
      <c r="BA643">
        <f t="shared" si="502"/>
        <v>0.13288035120834374</v>
      </c>
      <c r="BB643">
        <f t="shared" si="514"/>
        <v>-17.530784653932137</v>
      </c>
      <c r="BC643">
        <f t="shared" si="515"/>
        <v>-2.2887723335154031</v>
      </c>
      <c r="BD643">
        <f t="shared" si="503"/>
        <v>-311.13699512658729</v>
      </c>
      <c r="BF643">
        <f t="shared" si="504"/>
        <v>-102.59487689487906</v>
      </c>
      <c r="BG643">
        <f t="shared" si="505"/>
        <v>-252.84797450648091</v>
      </c>
      <c r="BH643">
        <f t="shared" si="516"/>
        <v>-72.847974506480909</v>
      </c>
      <c r="BI643">
        <f t="shared" si="517"/>
        <v>-72.847974506480909</v>
      </c>
      <c r="BJ643">
        <f t="shared" si="506"/>
        <v>0</v>
      </c>
      <c r="BK643">
        <f t="shared" si="518"/>
        <v>0</v>
      </c>
      <c r="BM643">
        <f t="shared" si="519"/>
        <v>-85.064092240946948</v>
      </c>
      <c r="BN643">
        <f t="shared" si="507"/>
        <v>-121.71097937989359</v>
      </c>
      <c r="BQ643" s="56">
        <f t="shared" si="520"/>
        <v>-0.62882385364700122</v>
      </c>
    </row>
    <row r="644" spans="1:69" x14ac:dyDescent="0.2">
      <c r="A644">
        <f t="shared" si="563"/>
        <v>6800000</v>
      </c>
      <c r="B644">
        <f t="shared" si="508"/>
        <v>6800</v>
      </c>
      <c r="C644">
        <f t="shared" si="539"/>
        <v>1.9214012532635556</v>
      </c>
      <c r="D644">
        <f t="shared" si="540"/>
        <v>1.023414367529035</v>
      </c>
      <c r="F644">
        <f t="shared" si="541"/>
        <v>1.9005976838182057E-6</v>
      </c>
      <c r="G644">
        <f t="shared" si="542"/>
        <v>5.1938815105171624E-4</v>
      </c>
      <c r="H644">
        <f t="shared" si="481"/>
        <v>-3.1410732618489483</v>
      </c>
      <c r="J644">
        <f t="shared" si="482"/>
        <v>15</v>
      </c>
      <c r="M644">
        <f t="shared" si="543"/>
        <v>3.3187480455914128E-5</v>
      </c>
      <c r="N644">
        <f t="shared" si="484"/>
        <v>-1.5707963250000001</v>
      </c>
      <c r="O644">
        <f t="shared" si="544"/>
        <v>6381.9319185209824</v>
      </c>
      <c r="P644">
        <f t="shared" si="486"/>
        <v>1.5706396344301301</v>
      </c>
      <c r="Q644">
        <f t="shared" si="545"/>
        <v>949.68940759316911</v>
      </c>
      <c r="R644">
        <f t="shared" si="488"/>
        <v>1.5697433507621035</v>
      </c>
      <c r="S644">
        <f t="shared" si="546"/>
        <v>3.7267176616396266E-2</v>
      </c>
      <c r="T644">
        <f t="shared" si="490"/>
        <v>-1.5335205184099052</v>
      </c>
      <c r="U644">
        <f t="shared" si="547"/>
        <v>3.4086884692775599E-2</v>
      </c>
      <c r="V644">
        <f t="shared" si="492"/>
        <v>-1.5367028376338514</v>
      </c>
      <c r="X644">
        <f t="shared" si="548"/>
        <v>-97.079572577231886</v>
      </c>
      <c r="Y644">
        <f t="shared" si="549"/>
        <v>-207.31306658451044</v>
      </c>
      <c r="Z644">
        <f t="shared" si="510"/>
        <v>-27.313066584510437</v>
      </c>
      <c r="AC644">
        <v>1</v>
      </c>
      <c r="AD644">
        <f t="shared" si="550"/>
        <v>6381.9318401747996</v>
      </c>
      <c r="AE644">
        <f t="shared" si="551"/>
        <v>-49.081005036316824</v>
      </c>
      <c r="AF644">
        <f t="shared" si="552"/>
        <v>1.6739913603672001</v>
      </c>
      <c r="AG644">
        <f t="shared" si="553"/>
        <v>4.4093416201057956</v>
      </c>
      <c r="AH644">
        <f t="shared" si="554"/>
        <v>-129.87816031234632</v>
      </c>
      <c r="AJ644">
        <f t="shared" si="497"/>
        <v>18000</v>
      </c>
      <c r="AK644">
        <f t="shared" si="555"/>
        <v>482663.23633987195</v>
      </c>
      <c r="AL644">
        <v>19</v>
      </c>
      <c r="AM644">
        <f t="shared" si="556"/>
        <v>949.68888110510409</v>
      </c>
      <c r="AN644">
        <f t="shared" si="557"/>
        <v>508.40870655966324</v>
      </c>
      <c r="AO644">
        <f t="shared" si="558"/>
        <v>-8.7820703614654274</v>
      </c>
      <c r="AQ644">
        <f t="shared" si="559"/>
        <v>5.4065743652326213E-5</v>
      </c>
      <c r="AR644">
        <f t="shared" si="560"/>
        <v>-0.73529411367163655</v>
      </c>
      <c r="AT644">
        <f t="shared" si="561"/>
        <v>-95.498408377835702</v>
      </c>
      <c r="AU644">
        <f t="shared" si="562"/>
        <v>-3.2491848977526319</v>
      </c>
      <c r="AV644">
        <f t="shared" si="511"/>
        <v>-3.1075823273818823</v>
      </c>
      <c r="AW644">
        <f t="shared" si="512"/>
        <v>506.71694621725095</v>
      </c>
      <c r="AX644">
        <f t="shared" si="513"/>
        <v>-532.21984418385659</v>
      </c>
      <c r="AY644">
        <f t="shared" si="521"/>
        <v>-0.80994034700778539</v>
      </c>
      <c r="BA644">
        <f t="shared" si="502"/>
        <v>0.13002965907545036</v>
      </c>
      <c r="BB644">
        <f t="shared" si="514"/>
        <v>-17.719151522528378</v>
      </c>
      <c r="BC644">
        <f t="shared" si="515"/>
        <v>-2.2976419803740971</v>
      </c>
      <c r="BD644">
        <f t="shared" si="503"/>
        <v>-311.64518845794265</v>
      </c>
      <c r="BF644">
        <f t="shared" si="504"/>
        <v>-102.94716103515836</v>
      </c>
      <c r="BG644">
        <f t="shared" si="505"/>
        <v>-252.97810568945712</v>
      </c>
      <c r="BH644">
        <f t="shared" si="516"/>
        <v>-72.978105689457124</v>
      </c>
      <c r="BI644">
        <f t="shared" si="517"/>
        <v>-72.978105689457124</v>
      </c>
      <c r="BJ644">
        <f t="shared" si="506"/>
        <v>0</v>
      </c>
      <c r="BK644">
        <f t="shared" si="518"/>
        <v>0</v>
      </c>
      <c r="BM644">
        <f t="shared" si="519"/>
        <v>-85.228009512629967</v>
      </c>
      <c r="BN644">
        <f t="shared" si="507"/>
        <v>-121.33291723151451</v>
      </c>
      <c r="BQ644" s="56">
        <f t="shared" si="520"/>
        <v>-0.81719072224324119</v>
      </c>
    </row>
    <row r="645" spans="1:69" x14ac:dyDescent="0.2">
      <c r="A645">
        <f t="shared" si="563"/>
        <v>6900000</v>
      </c>
      <c r="B645">
        <f t="shared" si="508"/>
        <v>6900</v>
      </c>
      <c r="C645">
        <f t="shared" si="539"/>
        <v>1.9420440238687626</v>
      </c>
      <c r="D645">
        <f t="shared" si="540"/>
        <v>1.0298803865558486</v>
      </c>
      <c r="F645">
        <f t="shared" si="541"/>
        <v>1.8459070024761064E-6</v>
      </c>
      <c r="G645">
        <f t="shared" si="542"/>
        <v>5.1186075960302127E-4</v>
      </c>
      <c r="H645">
        <f t="shared" si="481"/>
        <v>-3.1410807892403971</v>
      </c>
      <c r="J645">
        <f t="shared" si="482"/>
        <v>15</v>
      </c>
      <c r="M645">
        <f t="shared" si="543"/>
        <v>3.2706502478292185E-5</v>
      </c>
      <c r="N645">
        <f t="shared" si="484"/>
        <v>-1.5707963250000001</v>
      </c>
      <c r="O645">
        <f t="shared" si="544"/>
        <v>6475.7838562116303</v>
      </c>
      <c r="P645">
        <f t="shared" si="486"/>
        <v>1.5706419053339309</v>
      </c>
      <c r="Q645">
        <f t="shared" si="545"/>
        <v>963.65541292033947</v>
      </c>
      <c r="R645">
        <f t="shared" si="488"/>
        <v>1.5697586112732818</v>
      </c>
      <c r="S645">
        <f t="shared" si="546"/>
        <v>3.6727806520672118E-2</v>
      </c>
      <c r="T645">
        <f t="shared" si="490"/>
        <v>-1.534060258040385</v>
      </c>
      <c r="U645">
        <f t="shared" si="547"/>
        <v>3.3593433468474647E-2</v>
      </c>
      <c r="V645">
        <f t="shared" si="492"/>
        <v>-1.5371965716454858</v>
      </c>
      <c r="X645">
        <f t="shared" si="548"/>
        <v>-97.366845052004976</v>
      </c>
      <c r="Y645">
        <f t="shared" si="549"/>
        <v>-207.00123147327113</v>
      </c>
      <c r="Z645">
        <f t="shared" si="510"/>
        <v>-27.001231473271133</v>
      </c>
      <c r="AC645">
        <v>1</v>
      </c>
      <c r="AD645">
        <f t="shared" si="550"/>
        <v>6475.7837790009007</v>
      </c>
      <c r="AE645">
        <f t="shared" si="551"/>
        <v>-50.535178412176549</v>
      </c>
      <c r="AF645">
        <f t="shared" si="552"/>
        <v>1.6986088803725998</v>
      </c>
      <c r="AG645">
        <f t="shared" si="553"/>
        <v>4.2826039417697164</v>
      </c>
      <c r="AH645">
        <f t="shared" si="554"/>
        <v>-128.00012809207166</v>
      </c>
      <c r="AJ645">
        <f t="shared" si="497"/>
        <v>18000</v>
      </c>
      <c r="AK645">
        <f t="shared" si="555"/>
        <v>489761.22510957601</v>
      </c>
      <c r="AL645">
        <v>20</v>
      </c>
      <c r="AM645">
        <f t="shared" si="556"/>
        <v>963.65489406253209</v>
      </c>
      <c r="AN645">
        <f t="shared" si="557"/>
        <v>508.40168534014146</v>
      </c>
      <c r="AO645">
        <f t="shared" si="558"/>
        <v>-8.127355904539149</v>
      </c>
      <c r="AQ645">
        <f t="shared" si="559"/>
        <v>5.25099766198804E-5</v>
      </c>
      <c r="AR645">
        <f t="shared" si="560"/>
        <v>-0.72463767735434947</v>
      </c>
      <c r="AT645">
        <f t="shared" si="561"/>
        <v>-92.753490642265177</v>
      </c>
      <c r="AU645">
        <f t="shared" si="562"/>
        <v>-3.1100574571260453</v>
      </c>
      <c r="AV645">
        <f t="shared" si="511"/>
        <v>-3.1080748561333591</v>
      </c>
      <c r="AW645">
        <f t="shared" si="512"/>
        <v>507.16111213673275</v>
      </c>
      <c r="AX645">
        <f t="shared" si="513"/>
        <v>-523.9775823651604</v>
      </c>
      <c r="AY645">
        <f t="shared" si="521"/>
        <v>-0.80170535820445055</v>
      </c>
      <c r="BA645">
        <f t="shared" si="502"/>
        <v>0.12726659559365688</v>
      </c>
      <c r="BB645">
        <f t="shared" si="514"/>
        <v>-17.905711463940854</v>
      </c>
      <c r="BC645">
        <f t="shared" si="515"/>
        <v>-2.3063694979289084</v>
      </c>
      <c r="BD645">
        <f t="shared" si="503"/>
        <v>-312.14523838003106</v>
      </c>
      <c r="BF645">
        <f t="shared" si="504"/>
        <v>-103.2945085239171</v>
      </c>
      <c r="BG645">
        <f t="shared" si="505"/>
        <v>-253.10811129839578</v>
      </c>
      <c r="BH645">
        <f t="shared" si="516"/>
        <v>-73.108111298395784</v>
      </c>
      <c r="BI645">
        <f t="shared" si="517"/>
        <v>-73.108111298395784</v>
      </c>
      <c r="BJ645">
        <f t="shared" si="506"/>
        <v>0</v>
      </c>
      <c r="BK645">
        <f t="shared" si="518"/>
        <v>0</v>
      </c>
      <c r="BM645">
        <f t="shared" si="519"/>
        <v>-85.388797059976241</v>
      </c>
      <c r="BN645">
        <f t="shared" si="507"/>
        <v>-120.96287291836474</v>
      </c>
      <c r="BQ645" s="56">
        <f t="shared" si="520"/>
        <v>-1.0037506636557156</v>
      </c>
    </row>
    <row r="646" spans="1:69" x14ac:dyDescent="0.2">
      <c r="A646">
        <f t="shared" si="563"/>
        <v>7000000</v>
      </c>
      <c r="B646">
        <f t="shared" si="508"/>
        <v>7000</v>
      </c>
      <c r="C646">
        <f t="shared" si="539"/>
        <v>1.9627662803178023</v>
      </c>
      <c r="D646">
        <f t="shared" si="540"/>
        <v>1.036210133289188</v>
      </c>
      <c r="F646">
        <f t="shared" si="541"/>
        <v>1.7935434299592368E-6</v>
      </c>
      <c r="G646">
        <f t="shared" si="542"/>
        <v>5.0454843761139217E-4</v>
      </c>
      <c r="H646">
        <f t="shared" si="481"/>
        <v>-3.1410881015623886</v>
      </c>
      <c r="J646">
        <f t="shared" si="482"/>
        <v>15</v>
      </c>
      <c r="M646">
        <f t="shared" si="543"/>
        <v>3.22392667286023E-5</v>
      </c>
      <c r="N646">
        <f t="shared" si="484"/>
        <v>-1.5707963250000001</v>
      </c>
      <c r="O646">
        <f t="shared" si="544"/>
        <v>6569.6357939347199</v>
      </c>
      <c r="P646">
        <f t="shared" si="486"/>
        <v>1.5706441113547676</v>
      </c>
      <c r="Q646">
        <f t="shared" si="545"/>
        <v>977.62141846551697</v>
      </c>
      <c r="R646">
        <f t="shared" si="488"/>
        <v>1.5697734357703179</v>
      </c>
      <c r="S646">
        <f t="shared" si="546"/>
        <v>3.6203816257660892E-2</v>
      </c>
      <c r="T646">
        <f t="shared" si="490"/>
        <v>-1.5345845970467078</v>
      </c>
      <c r="U646">
        <f t="shared" si="547"/>
        <v>3.3114057321851659E-2</v>
      </c>
      <c r="V646">
        <f t="shared" si="492"/>
        <v>-1.5376762146657557</v>
      </c>
      <c r="X646">
        <f t="shared" si="548"/>
        <v>-97.649286995184553</v>
      </c>
      <c r="Y646">
        <f t="shared" si="549"/>
        <v>-206.69553082093694</v>
      </c>
      <c r="Z646">
        <f t="shared" si="510"/>
        <v>-26.695530820936938</v>
      </c>
      <c r="AC646">
        <v>1</v>
      </c>
      <c r="AD646">
        <f t="shared" si="550"/>
        <v>6569.635717827</v>
      </c>
      <c r="AE646">
        <f t="shared" si="551"/>
        <v>-52.010580596442992</v>
      </c>
      <c r="AF646">
        <f t="shared" si="552"/>
        <v>1.7232264003780002</v>
      </c>
      <c r="AG646">
        <f t="shared" si="553"/>
        <v>4.1612510444294752</v>
      </c>
      <c r="AH646">
        <f t="shared" si="554"/>
        <v>-126.17557552544308</v>
      </c>
      <c r="AJ646">
        <f t="shared" si="497"/>
        <v>18000</v>
      </c>
      <c r="AK646">
        <f t="shared" si="555"/>
        <v>496859.21387927997</v>
      </c>
      <c r="AL646">
        <v>21</v>
      </c>
      <c r="AM646">
        <f t="shared" si="556"/>
        <v>977.62090701995999</v>
      </c>
      <c r="AN646">
        <f t="shared" si="557"/>
        <v>508.39392779271043</v>
      </c>
      <c r="AO646">
        <f t="shared" si="558"/>
        <v>-7.4913777556964138</v>
      </c>
      <c r="AQ646">
        <f t="shared" si="559"/>
        <v>5.1020407902957101E-5</v>
      </c>
      <c r="AR646">
        <f t="shared" si="560"/>
        <v>-0.71428571064139945</v>
      </c>
      <c r="AT646">
        <f t="shared" si="561"/>
        <v>-90.125198321053006</v>
      </c>
      <c r="AU646">
        <f t="shared" si="562"/>
        <v>-2.9787596887582719</v>
      </c>
      <c r="AV646">
        <f t="shared" si="511"/>
        <v>-3.1085533283294744</v>
      </c>
      <c r="AW646">
        <f t="shared" si="512"/>
        <v>507.57960552517437</v>
      </c>
      <c r="AX646">
        <f t="shared" si="513"/>
        <v>-515.97013826615057</v>
      </c>
      <c r="AY646">
        <f t="shared" si="521"/>
        <v>-0.79359546387553792</v>
      </c>
      <c r="BA646">
        <f t="shared" si="502"/>
        <v>0.12458758460739675</v>
      </c>
      <c r="BB646">
        <f t="shared" si="514"/>
        <v>-18.090504676032609</v>
      </c>
      <c r="BC646">
        <f t="shared" si="515"/>
        <v>-2.3149578644539366</v>
      </c>
      <c r="BD646">
        <f t="shared" si="503"/>
        <v>-312.63731553538889</v>
      </c>
      <c r="BF646">
        <f t="shared" si="504"/>
        <v>-103.63706977996196</v>
      </c>
      <c r="BG646">
        <f t="shared" si="505"/>
        <v>-253.23793964532115</v>
      </c>
      <c r="BH646">
        <f t="shared" si="516"/>
        <v>-73.237939645321148</v>
      </c>
      <c r="BI646">
        <f t="shared" si="517"/>
        <v>-73.237939645321148</v>
      </c>
      <c r="BJ646">
        <f t="shared" si="506"/>
        <v>0</v>
      </c>
      <c r="BK646">
        <f t="shared" si="518"/>
        <v>0</v>
      </c>
      <c r="BM646">
        <f t="shared" si="519"/>
        <v>-85.546565103929368</v>
      </c>
      <c r="BN646">
        <f t="shared" si="507"/>
        <v>-120.60062410993228</v>
      </c>
      <c r="BQ646" s="56">
        <f t="shared" si="520"/>
        <v>-1.188543875747474</v>
      </c>
    </row>
    <row r="647" spans="1:69" x14ac:dyDescent="0.2">
      <c r="A647">
        <f t="shared" si="563"/>
        <v>7100000</v>
      </c>
      <c r="B647">
        <f t="shared" si="508"/>
        <v>7100</v>
      </c>
      <c r="C647">
        <f t="shared" si="539"/>
        <v>1.9835655314527372</v>
      </c>
      <c r="D647">
        <f t="shared" si="540"/>
        <v>1.0424073792185635</v>
      </c>
      <c r="F647">
        <f t="shared" si="541"/>
        <v>1.743376788918071E-6</v>
      </c>
      <c r="G647">
        <f t="shared" si="542"/>
        <v>4.9744209757266226E-4</v>
      </c>
      <c r="H647">
        <f t="shared" si="481"/>
        <v>-3.1410952079024277</v>
      </c>
      <c r="J647">
        <f t="shared" si="482"/>
        <v>15</v>
      </c>
      <c r="M647">
        <f t="shared" si="543"/>
        <v>3.178519254932621E-5</v>
      </c>
      <c r="N647">
        <f t="shared" si="484"/>
        <v>-1.5707963250000001</v>
      </c>
      <c r="O647">
        <f t="shared" si="544"/>
        <v>6663.4877316888806</v>
      </c>
      <c r="P647">
        <f t="shared" si="486"/>
        <v>1.5706462552341736</v>
      </c>
      <c r="Q647">
        <f t="shared" si="545"/>
        <v>991.58742421949012</v>
      </c>
      <c r="R647">
        <f t="shared" si="488"/>
        <v>1.569787842676319</v>
      </c>
      <c r="S647">
        <f t="shared" si="546"/>
        <v>3.5694557667973331E-2</v>
      </c>
      <c r="T647">
        <f t="shared" si="490"/>
        <v>-1.5350941850298794</v>
      </c>
      <c r="U647">
        <f t="shared" si="547"/>
        <v>3.2648162827204966E-2</v>
      </c>
      <c r="V647">
        <f t="shared" si="492"/>
        <v>-1.5381423612240135</v>
      </c>
      <c r="X647">
        <f t="shared" si="548"/>
        <v>-97.927054338325547</v>
      </c>
      <c r="Y647">
        <f t="shared" si="549"/>
        <v>-206.39581912852631</v>
      </c>
      <c r="Z647">
        <f t="shared" si="510"/>
        <v>-26.395819128526313</v>
      </c>
      <c r="AC647">
        <v>1</v>
      </c>
      <c r="AD647">
        <f t="shared" si="550"/>
        <v>6663.4876566530993</v>
      </c>
      <c r="AE647">
        <f t="shared" si="551"/>
        <v>-53.507211589116153</v>
      </c>
      <c r="AF647">
        <f t="shared" si="552"/>
        <v>1.7478439203834</v>
      </c>
      <c r="AG647">
        <f t="shared" si="553"/>
        <v>4.0449822498548356</v>
      </c>
      <c r="AH647">
        <f t="shared" si="554"/>
        <v>-124.40225273061337</v>
      </c>
      <c r="AJ647">
        <f t="shared" si="497"/>
        <v>18000</v>
      </c>
      <c r="AK647">
        <f t="shared" si="555"/>
        <v>503957.20264898404</v>
      </c>
      <c r="AL647">
        <v>22</v>
      </c>
      <c r="AM647">
        <f t="shared" si="556"/>
        <v>991.58691997738799</v>
      </c>
      <c r="AN647">
        <f t="shared" si="557"/>
        <v>508.38550416586747</v>
      </c>
      <c r="AO647">
        <f t="shared" si="558"/>
        <v>-6.8733449090941381</v>
      </c>
      <c r="AQ647">
        <f t="shared" si="559"/>
        <v>4.9593334409872377E-5</v>
      </c>
      <c r="AR647">
        <f t="shared" si="560"/>
        <v>-0.70422534862018771</v>
      </c>
      <c r="AT647">
        <f t="shared" si="561"/>
        <v>-87.607019194195502</v>
      </c>
      <c r="AU647">
        <f t="shared" si="562"/>
        <v>-2.8547485575875036</v>
      </c>
      <c r="AV647">
        <f t="shared" si="511"/>
        <v>-3.1090183370445379</v>
      </c>
      <c r="AW647">
        <f t="shared" si="512"/>
        <v>507.97405191552224</v>
      </c>
      <c r="AX647">
        <f t="shared" si="513"/>
        <v>-508.18765085308996</v>
      </c>
      <c r="AY647">
        <f t="shared" si="521"/>
        <v>-0.7856083651142024</v>
      </c>
      <c r="BA647">
        <f t="shared" si="502"/>
        <v>0.12198923886862047</v>
      </c>
      <c r="BB647">
        <f t="shared" si="514"/>
        <v>-18.273569567833665</v>
      </c>
      <c r="BC647">
        <f t="shared" si="515"/>
        <v>-2.3234099719303356</v>
      </c>
      <c r="BD647">
        <f t="shared" si="503"/>
        <v>-313.12158562233088</v>
      </c>
      <c r="BF647">
        <f t="shared" si="504"/>
        <v>-103.97498813728933</v>
      </c>
      <c r="BG647">
        <f t="shared" si="505"/>
        <v>-253.36754085879207</v>
      </c>
      <c r="BH647">
        <f t="shared" si="516"/>
        <v>-73.367540858792069</v>
      </c>
      <c r="BI647">
        <f t="shared" si="517"/>
        <v>-73.367540858792069</v>
      </c>
      <c r="BJ647">
        <f t="shared" si="506"/>
        <v>0</v>
      </c>
      <c r="BK647">
        <f t="shared" si="518"/>
        <v>0</v>
      </c>
      <c r="BM647">
        <f t="shared" si="519"/>
        <v>-85.701418569455669</v>
      </c>
      <c r="BN647">
        <f t="shared" si="507"/>
        <v>-120.24595523646121</v>
      </c>
      <c r="BQ647" s="56">
        <f t="shared" si="520"/>
        <v>-1.3716087675485291</v>
      </c>
    </row>
    <row r="648" spans="1:69" x14ac:dyDescent="0.2">
      <c r="A648">
        <f t="shared" si="563"/>
        <v>7200000</v>
      </c>
      <c r="B648">
        <f t="shared" si="508"/>
        <v>7200</v>
      </c>
      <c r="C648">
        <f t="shared" si="539"/>
        <v>2.0044393804475034</v>
      </c>
      <c r="D648">
        <f t="shared" si="540"/>
        <v>1.0484757803165463</v>
      </c>
      <c r="F648">
        <f t="shared" si="541"/>
        <v>1.6952858788958484E-6</v>
      </c>
      <c r="G648">
        <f t="shared" si="542"/>
        <v>4.905331568482446E-4</v>
      </c>
      <c r="H648">
        <f t="shared" si="481"/>
        <v>-3.1411021168431521</v>
      </c>
      <c r="J648">
        <f t="shared" si="482"/>
        <v>15</v>
      </c>
      <c r="M648">
        <f t="shared" si="543"/>
        <v>3.134373154169668E-5</v>
      </c>
      <c r="N648">
        <f t="shared" si="484"/>
        <v>-1.5707963250000001</v>
      </c>
      <c r="O648">
        <f t="shared" si="544"/>
        <v>6757.3396694728162</v>
      </c>
      <c r="P648">
        <f t="shared" si="486"/>
        <v>1.5706483395613751</v>
      </c>
      <c r="Q648">
        <f t="shared" si="545"/>
        <v>1005.5534301735591</v>
      </c>
      <c r="R648">
        <f t="shared" si="488"/>
        <v>1.5698018493908881</v>
      </c>
      <c r="S648">
        <f t="shared" si="546"/>
        <v>3.519941848618869E-2</v>
      </c>
      <c r="T648">
        <f t="shared" si="490"/>
        <v>-1.5355896355786571</v>
      </c>
      <c r="U648">
        <f t="shared" si="547"/>
        <v>3.2195189438945636E-2</v>
      </c>
      <c r="V648">
        <f t="shared" si="492"/>
        <v>-1.5385955728789251</v>
      </c>
      <c r="X648">
        <f t="shared" si="548"/>
        <v>-98.200295908631489</v>
      </c>
      <c r="Y648">
        <f t="shared" si="549"/>
        <v>-206.10195360170147</v>
      </c>
      <c r="Z648">
        <f t="shared" si="510"/>
        <v>-26.101953601701467</v>
      </c>
      <c r="AC648">
        <v>1</v>
      </c>
      <c r="AD648">
        <f t="shared" si="550"/>
        <v>6757.3395954792004</v>
      </c>
      <c r="AE648">
        <f t="shared" si="551"/>
        <v>-55.025071390196025</v>
      </c>
      <c r="AF648">
        <f t="shared" si="552"/>
        <v>1.7724614403887999</v>
      </c>
      <c r="AG648">
        <f t="shared" si="553"/>
        <v>3.933517570263652</v>
      </c>
      <c r="AH648">
        <f t="shared" si="554"/>
        <v>-122.67803415269258</v>
      </c>
      <c r="AJ648">
        <f t="shared" si="497"/>
        <v>18000</v>
      </c>
      <c r="AK648">
        <f t="shared" si="555"/>
        <v>511055.19141868799</v>
      </c>
      <c r="AL648">
        <v>23</v>
      </c>
      <c r="AM648">
        <f t="shared" si="556"/>
        <v>1005.5529329348161</v>
      </c>
      <c r="AN648">
        <f t="shared" si="557"/>
        <v>508.37647866078504</v>
      </c>
      <c r="AO648">
        <f t="shared" si="558"/>
        <v>-6.2725101625364257</v>
      </c>
      <c r="AQ648">
        <f t="shared" si="559"/>
        <v>4.8225308409407272E-5</v>
      </c>
      <c r="AR648">
        <f t="shared" si="560"/>
        <v>-0.69444444109546466</v>
      </c>
      <c r="AT648">
        <f t="shared" si="561"/>
        <v>-85.19288916675896</v>
      </c>
      <c r="AU648">
        <f t="shared" si="562"/>
        <v>-2.7375255966530054</v>
      </c>
      <c r="AV648">
        <f t="shared" si="511"/>
        <v>-3.1094704424630102</v>
      </c>
      <c r="AW648">
        <f t="shared" si="512"/>
        <v>508.34595698493661</v>
      </c>
      <c r="AX648">
        <f t="shared" si="513"/>
        <v>-500.620801827398</v>
      </c>
      <c r="AY648">
        <f t="shared" si="521"/>
        <v>-0.77774181184704283</v>
      </c>
      <c r="BA648">
        <f t="shared" si="502"/>
        <v>0.11946834738315799</v>
      </c>
      <c r="BB648">
        <f t="shared" si="514"/>
        <v>-18.454942878035126</v>
      </c>
      <c r="BC648">
        <f t="shared" si="515"/>
        <v>-2.3317286306159675</v>
      </c>
      <c r="BD648">
        <f t="shared" si="503"/>
        <v>-313.59820965677204</v>
      </c>
      <c r="BF648">
        <f t="shared" si="504"/>
        <v>-104.30840027510689</v>
      </c>
      <c r="BG648">
        <f t="shared" si="505"/>
        <v>-253.49686697467385</v>
      </c>
      <c r="BH648">
        <f t="shared" si="516"/>
        <v>-73.49686697467385</v>
      </c>
      <c r="BI648">
        <f t="shared" si="517"/>
        <v>-73.49686697467385</v>
      </c>
      <c r="BJ648">
        <f t="shared" si="506"/>
        <v>0</v>
      </c>
      <c r="BK648">
        <f t="shared" si="518"/>
        <v>0</v>
      </c>
      <c r="BM648">
        <f t="shared" si="519"/>
        <v>-85.853457397071764</v>
      </c>
      <c r="BN648">
        <f t="shared" si="507"/>
        <v>-119.89865731790179</v>
      </c>
      <c r="BQ648" s="56">
        <f t="shared" si="520"/>
        <v>-1.552982077749989</v>
      </c>
    </row>
    <row r="649" spans="1:69" x14ac:dyDescent="0.2">
      <c r="A649">
        <f t="shared" si="563"/>
        <v>7300000</v>
      </c>
      <c r="B649">
        <f t="shared" si="508"/>
        <v>7300</v>
      </c>
      <c r="C649">
        <f t="shared" si="539"/>
        <v>2.0253855208618323</v>
      </c>
      <c r="D649">
        <f t="shared" si="540"/>
        <v>1.0544188800896932</v>
      </c>
      <c r="F649">
        <f t="shared" si="541"/>
        <v>1.6491577436007947E-6</v>
      </c>
      <c r="G649">
        <f t="shared" si="542"/>
        <v>4.8381350308495757E-4</v>
      </c>
      <c r="H649">
        <f t="shared" ref="H649:H676" si="564">IF(G649&gt;0,G649-Pi,G649)</f>
        <v>-3.1411088364969153</v>
      </c>
      <c r="J649">
        <f t="shared" ref="J649:J676" si="565">Vin/Vramp</f>
        <v>15</v>
      </c>
      <c r="M649">
        <f t="shared" si="543"/>
        <v>3.0914365356193984E-5</v>
      </c>
      <c r="N649">
        <f t="shared" ref="N649:N676" si="566">-Pi/2</f>
        <v>-1.5707963250000001</v>
      </c>
      <c r="O649">
        <f t="shared" si="544"/>
        <v>6851.1916072853055</v>
      </c>
      <c r="P649">
        <f t="shared" ref="P649:P676" si="567">ATAN2(Fz1_u,A649)</f>
        <v>1.5706503667837233</v>
      </c>
      <c r="Q649">
        <f t="shared" si="545"/>
        <v>1019.5194363195008</v>
      </c>
      <c r="R649">
        <f t="shared" ref="R649:R676" si="568">ATAN2(Fz2_u,A649)</f>
        <v>1.5698154723602269</v>
      </c>
      <c r="S649">
        <f t="shared" si="546"/>
        <v>3.471781989159263E-2</v>
      </c>
      <c r="T649">
        <f t="shared" ref="T649:T676" si="569">-ATAN2(Fp1_u,A649)</f>
        <v>-1.5360715287299793</v>
      </c>
      <c r="U649">
        <f t="shared" si="547"/>
        <v>3.1754607246605102E-2</v>
      </c>
      <c r="V649">
        <f t="shared" ref="V649:V676" si="570">-ATAN2(Fp2_u,A649)</f>
        <v>-1.539036380472016</v>
      </c>
      <c r="X649">
        <f t="shared" si="548"/>
        <v>-98.469153834729823</v>
      </c>
      <c r="Y649">
        <f t="shared" si="549"/>
        <v>-205.81379424342239</v>
      </c>
      <c r="Z649">
        <f t="shared" si="510"/>
        <v>-25.813794243422393</v>
      </c>
      <c r="AC649">
        <v>1</v>
      </c>
      <c r="AD649">
        <f t="shared" si="550"/>
        <v>6851.1915343052997</v>
      </c>
      <c r="AE649">
        <f t="shared" si="551"/>
        <v>-56.564159999682609</v>
      </c>
      <c r="AF649">
        <f t="shared" si="552"/>
        <v>1.7970789603942001</v>
      </c>
      <c r="AG649">
        <f t="shared" si="553"/>
        <v>3.8265960235877423</v>
      </c>
      <c r="AH649">
        <f t="shared" si="554"/>
        <v>-121.00091010172851</v>
      </c>
      <c r="AJ649">
        <f t="shared" ref="AJ649:AJ676" si="571">_Rfb1</f>
        <v>18000</v>
      </c>
      <c r="AK649">
        <f t="shared" si="555"/>
        <v>518153.18018839206</v>
      </c>
      <c r="AL649">
        <v>24</v>
      </c>
      <c r="AM649">
        <f t="shared" si="556"/>
        <v>1019.5189458922441</v>
      </c>
      <c r="AN649">
        <f t="shared" si="557"/>
        <v>508.36690999009744</v>
      </c>
      <c r="AO649">
        <f t="shared" si="558"/>
        <v>-5.6881671337283759</v>
      </c>
      <c r="AQ649">
        <f t="shared" si="559"/>
        <v>4.691311668740328E-5</v>
      </c>
      <c r="AR649">
        <f t="shared" si="560"/>
        <v>-0.6849315036360879</v>
      </c>
      <c r="AT649">
        <f t="shared" si="561"/>
        <v>-82.877155779766227</v>
      </c>
      <c r="AU649">
        <f t="shared" si="562"/>
        <v>-2.6266326980587116</v>
      </c>
      <c r="AV649">
        <f t="shared" si="511"/>
        <v>-3.1099101741275081</v>
      </c>
      <c r="AW649">
        <f t="shared" si="512"/>
        <v>508.69671675007737</v>
      </c>
      <c r="AX649">
        <f t="shared" si="513"/>
        <v>-493.26077891402434</v>
      </c>
      <c r="AY649">
        <f t="shared" si="521"/>
        <v>-0.76999360093043434</v>
      </c>
      <c r="BA649">
        <f t="shared" ref="BA649:BA676" si="572">SQRT(AT649^2+AU649^2)/SQRT(AW649^2+AX649^2)</f>
        <v>0.11702186379485459</v>
      </c>
      <c r="BB649">
        <f t="shared" si="514"/>
        <v>-18.634659784158238</v>
      </c>
      <c r="BC649">
        <f t="shared" si="515"/>
        <v>-2.3399165731970739</v>
      </c>
      <c r="BD649">
        <f t="shared" ref="BD649:BD678" si="573">BC649*180/Pi-180</f>
        <v>-314.06734421010094</v>
      </c>
      <c r="BF649">
        <f t="shared" ref="BF649:BF676" si="574">20*LOG(BA649*J649*F649*C649)</f>
        <v>-104.63743661718172</v>
      </c>
      <c r="BG649">
        <f t="shared" ref="BG649:BG676" si="575">(180/Pi)*(D649+H649+BC649)</f>
        <v>-253.62587200118804</v>
      </c>
      <c r="BH649">
        <f t="shared" si="516"/>
        <v>-73.625872001188043</v>
      </c>
      <c r="BI649">
        <f t="shared" si="517"/>
        <v>-73.625872001188043</v>
      </c>
      <c r="BJ649">
        <f t="shared" ref="BJ649:BJ676" si="576">SUM((BF650&lt;0)*(BF649&gt;0))*A649</f>
        <v>0</v>
      </c>
      <c r="BK649">
        <f t="shared" si="518"/>
        <v>0</v>
      </c>
      <c r="BM649">
        <f t="shared" si="519"/>
        <v>-86.002776833023503</v>
      </c>
      <c r="BN649">
        <f t="shared" ref="BN649:BN676" si="577">(H649+D649)*180/Pi</f>
        <v>-119.5585277910871</v>
      </c>
      <c r="BQ649" s="56">
        <f t="shared" si="520"/>
        <v>-1.7326989838731017</v>
      </c>
    </row>
    <row r="650" spans="1:69" x14ac:dyDescent="0.2">
      <c r="A650">
        <f t="shared" si="563"/>
        <v>7400000</v>
      </c>
      <c r="B650">
        <f t="shared" ref="B650:B676" si="578">A650/1000</f>
        <v>7400</v>
      </c>
      <c r="C650">
        <f t="shared" si="539"/>
        <v>2.0464017328597368</v>
      </c>
      <c r="D650">
        <f t="shared" si="540"/>
        <v>1.0602401126411756</v>
      </c>
      <c r="F650">
        <f t="shared" si="541"/>
        <v>1.6048870070168628E-6</v>
      </c>
      <c r="G650">
        <f t="shared" si="542"/>
        <v>4.772754624386787E-4</v>
      </c>
      <c r="H650">
        <f t="shared" si="564"/>
        <v>-3.1411153745375615</v>
      </c>
      <c r="J650">
        <f t="shared" si="565"/>
        <v>15</v>
      </c>
      <c r="M650">
        <f t="shared" si="543"/>
        <v>3.0496603662191361E-5</v>
      </c>
      <c r="N650">
        <f t="shared" si="566"/>
        <v>-1.5707963250000001</v>
      </c>
      <c r="O650">
        <f t="shared" si="544"/>
        <v>6945.0435451251897</v>
      </c>
      <c r="P650">
        <f t="shared" si="567"/>
        <v>1.5706523392162792</v>
      </c>
      <c r="Q650">
        <f t="shared" si="545"/>
        <v>1033.4854426495367</v>
      </c>
      <c r="R650">
        <f t="shared" si="568"/>
        <v>1.5698287271415547</v>
      </c>
      <c r="S650">
        <f t="shared" si="546"/>
        <v>3.4249214256650722E-2</v>
      </c>
      <c r="T650">
        <f t="shared" si="569"/>
        <v>-1.536540413230469</v>
      </c>
      <c r="U650">
        <f t="shared" si="547"/>
        <v>3.1325914911215308E-2</v>
      </c>
      <c r="V650">
        <f t="shared" si="570"/>
        <v>-1.5394652861989337</v>
      </c>
      <c r="X650">
        <f t="shared" si="548"/>
        <v>-98.733763925007736</v>
      </c>
      <c r="Y650">
        <f t="shared" si="549"/>
        <v>-205.53120392429994</v>
      </c>
      <c r="Z650">
        <f t="shared" ref="Z650:Z676" si="579">Y650+180</f>
        <v>-25.531203924299945</v>
      </c>
      <c r="AC650">
        <v>1</v>
      </c>
      <c r="AD650">
        <f t="shared" si="550"/>
        <v>6945.0434731313999</v>
      </c>
      <c r="AE650">
        <f t="shared" si="551"/>
        <v>-58.124477417575896</v>
      </c>
      <c r="AF650">
        <f t="shared" si="552"/>
        <v>1.8216964803995999</v>
      </c>
      <c r="AG650">
        <f t="shared" si="553"/>
        <v>3.7239741065862741</v>
      </c>
      <c r="AH650">
        <f t="shared" si="554"/>
        <v>-119.36897897184906</v>
      </c>
      <c r="AJ650">
        <f t="shared" si="571"/>
        <v>18000</v>
      </c>
      <c r="AK650">
        <f t="shared" si="555"/>
        <v>525251.16895809595</v>
      </c>
      <c r="AL650">
        <v>25</v>
      </c>
      <c r="AM650">
        <f t="shared" si="556"/>
        <v>1033.484958849672</v>
      </c>
      <c r="AN650">
        <f t="shared" si="557"/>
        <v>508.35685187986451</v>
      </c>
      <c r="AO650">
        <f t="shared" si="558"/>
        <v>-5.1196475165856903</v>
      </c>
      <c r="AQ650">
        <f t="shared" si="559"/>
        <v>4.5653761661551488E-5</v>
      </c>
      <c r="AR650">
        <f t="shared" si="560"/>
        <v>-0.67567567259096206</v>
      </c>
      <c r="AT650">
        <f t="shared" si="561"/>
        <v>-80.654545139874216</v>
      </c>
      <c r="AU650">
        <f t="shared" si="562"/>
        <v>-2.521648352094771</v>
      </c>
      <c r="AV650">
        <f t="shared" ref="AV650:AV676" si="580">ATAN2(AT650,AU650)</f>
        <v>-3.1103380330049828</v>
      </c>
      <c r="AW650">
        <f t="shared" ref="AW650:AW676" si="581">AG650-AH650*AO650/_Rfb2+AG650*AN650/_Rfb2+AN650-AO650*AR650+AQ650*AN650</f>
        <v>509.02762677808488</v>
      </c>
      <c r="AX650">
        <f t="shared" ref="AX650:AX676" si="582">AH650+AH650*AN650/_Rfb2+AG650*AO650/_Rfb2+AO650+AO650*AQ650+AN650*AR650</f>
        <v>-486.09924208025575</v>
      </c>
      <c r="AY650">
        <f t="shared" si="521"/>
        <v>-0.76236157443631836</v>
      </c>
      <c r="BA650">
        <f t="shared" si="572"/>
        <v>0.11464689570763434</v>
      </c>
      <c r="BB650">
        <f t="shared" ref="BB650:BB676" si="583">20*LOG(BA650)</f>
        <v>-18.8127540032071</v>
      </c>
      <c r="BC650">
        <f t="shared" ref="BC650:BC676" si="584">AV650-AY650</f>
        <v>-2.3479764585686644</v>
      </c>
      <c r="BD650">
        <f t="shared" si="573"/>
        <v>-314.52914162578003</v>
      </c>
      <c r="BF650">
        <f t="shared" si="574"/>
        <v>-104.96222170298751</v>
      </c>
      <c r="BG650">
        <f t="shared" si="575"/>
        <v>-253.75451196185765</v>
      </c>
      <c r="BH650">
        <f t="shared" ref="BH650:BH676" si="585">IF(BG650&gt;180,BG650-180,BG650+180)</f>
        <v>-73.754511961857645</v>
      </c>
      <c r="BI650">
        <f t="shared" ref="BI650:BI676" si="586">IF(BH650&gt;180,BH650-360,BH650)</f>
        <v>-73.754511961857645</v>
      </c>
      <c r="BJ650">
        <f t="shared" si="576"/>
        <v>0</v>
      </c>
      <c r="BK650">
        <f t="shared" ref="BK650:BK676" si="587">IF(BJ650&gt;0,BI650,0)</f>
        <v>0</v>
      </c>
      <c r="BM650">
        <f t="shared" ref="BM650:BM676" si="588">20*LOG(J650*F650*C650)</f>
        <v>-86.149467699780402</v>
      </c>
      <c r="BN650">
        <f t="shared" si="577"/>
        <v>-119.22537033607762</v>
      </c>
      <c r="BQ650" s="56">
        <f t="shared" ref="BQ650:BQ676" si="589">20*LOG(BA650*7)</f>
        <v>-1.9107932029219623</v>
      </c>
    </row>
    <row r="651" spans="1:69" x14ac:dyDescent="0.2">
      <c r="A651">
        <f t="shared" si="563"/>
        <v>7500000</v>
      </c>
      <c r="B651">
        <f t="shared" si="578"/>
        <v>7500</v>
      </c>
      <c r="C651">
        <f t="shared" si="539"/>
        <v>2.0674858795872111</v>
      </c>
      <c r="D651">
        <f t="shared" si="540"/>
        <v>1.0659428057310878</v>
      </c>
      <c r="F651">
        <f t="shared" si="541"/>
        <v>1.5623752710598097E-6</v>
      </c>
      <c r="G651">
        <f t="shared" si="542"/>
        <v>4.7091177034013437E-4</v>
      </c>
      <c r="H651">
        <f t="shared" si="564"/>
        <v>-3.1411217382296601</v>
      </c>
      <c r="J651">
        <f t="shared" si="565"/>
        <v>15</v>
      </c>
      <c r="M651">
        <f t="shared" si="543"/>
        <v>3.0089982280028814E-5</v>
      </c>
      <c r="N651">
        <f t="shared" si="566"/>
        <v>-1.5707963250000001</v>
      </c>
      <c r="O651">
        <f t="shared" si="544"/>
        <v>7038.8954829913719</v>
      </c>
      <c r="P651">
        <f t="shared" si="567"/>
        <v>1.5706542590506347</v>
      </c>
      <c r="Q651">
        <f t="shared" si="545"/>
        <v>1047.4514491563027</v>
      </c>
      <c r="R651">
        <f t="shared" si="568"/>
        <v>1.5698416284623737</v>
      </c>
      <c r="S651">
        <f t="shared" si="546"/>
        <v>3.3793083074851127E-2</v>
      </c>
      <c r="T651">
        <f t="shared" si="569"/>
        <v>-1.5369968086175214</v>
      </c>
      <c r="U651">
        <f t="shared" si="547"/>
        <v>3.090863776620139E-2</v>
      </c>
      <c r="V651">
        <f t="shared" si="570"/>
        <v>-1.5398827655153939</v>
      </c>
      <c r="X651">
        <f t="shared" si="548"/>
        <v>-98.994256020640577</v>
      </c>
      <c r="Y651">
        <f t="shared" si="549"/>
        <v>-205.25404843346774</v>
      </c>
      <c r="Z651">
        <f t="shared" si="579"/>
        <v>-25.254048433467744</v>
      </c>
      <c r="AC651">
        <v>1</v>
      </c>
      <c r="AD651">
        <f t="shared" si="550"/>
        <v>7038.8954119574992</v>
      </c>
      <c r="AE651">
        <f t="shared" si="551"/>
        <v>-59.706023643875881</v>
      </c>
      <c r="AF651">
        <f t="shared" si="552"/>
        <v>1.846314000405</v>
      </c>
      <c r="AG651">
        <f t="shared" si="553"/>
        <v>3.6254244091335344</v>
      </c>
      <c r="AH651">
        <f t="shared" si="554"/>
        <v>-117.78044007850801</v>
      </c>
      <c r="AJ651">
        <f t="shared" si="571"/>
        <v>18000</v>
      </c>
      <c r="AK651">
        <f t="shared" si="555"/>
        <v>532349.15772780008</v>
      </c>
      <c r="AL651">
        <v>26</v>
      </c>
      <c r="AM651">
        <f t="shared" si="556"/>
        <v>1047.4509718071001</v>
      </c>
      <c r="AN651">
        <f t="shared" si="557"/>
        <v>508.34635352107051</v>
      </c>
      <c r="AO651">
        <f t="shared" si="558"/>
        <v>-4.5663185554168457</v>
      </c>
      <c r="AQ651">
        <f t="shared" si="559"/>
        <v>4.4444444246913578E-5</v>
      </c>
      <c r="AR651">
        <f t="shared" si="560"/>
        <v>-0.66666666370370375</v>
      </c>
      <c r="AT651">
        <f t="shared" si="561"/>
        <v>-78.520131906719911</v>
      </c>
      <c r="AU651">
        <f t="shared" si="562"/>
        <v>-2.422184281549471</v>
      </c>
      <c r="AV651">
        <f t="shared" si="580"/>
        <v>-3.1107544933879847</v>
      </c>
      <c r="AW651">
        <f t="shared" si="581"/>
        <v>509.33989051949965</v>
      </c>
      <c r="AX651">
        <f t="shared" si="582"/>
        <v>-479.12829241653554</v>
      </c>
      <c r="AY651">
        <f t="shared" ref="AY651:AY676" si="590">ATAN2(AW651,AX651)</f>
        <v>-0.75484361810319378</v>
      </c>
      <c r="BA651">
        <f t="shared" si="572"/>
        <v>0.11234069485651903</v>
      </c>
      <c r="BB651">
        <f t="shared" si="583"/>
        <v>-18.989257884536919</v>
      </c>
      <c r="BC651">
        <f t="shared" si="584"/>
        <v>-2.355910875284791</v>
      </c>
      <c r="BD651">
        <f t="shared" si="573"/>
        <v>-314.98375021703157</v>
      </c>
      <c r="BF651">
        <f t="shared" si="574"/>
        <v>-105.28287453289992</v>
      </c>
      <c r="BG651">
        <f t="shared" si="575"/>
        <v>-253.88274491952527</v>
      </c>
      <c r="BH651">
        <f t="shared" si="585"/>
        <v>-73.882744919525265</v>
      </c>
      <c r="BI651">
        <f t="shared" si="586"/>
        <v>-73.882744919525265</v>
      </c>
      <c r="BJ651">
        <f t="shared" si="576"/>
        <v>0</v>
      </c>
      <c r="BK651">
        <f t="shared" si="587"/>
        <v>0</v>
      </c>
      <c r="BM651">
        <f t="shared" si="588"/>
        <v>-86.293616648363013</v>
      </c>
      <c r="BN651">
        <f t="shared" si="577"/>
        <v>-118.89899470249365</v>
      </c>
      <c r="BQ651" s="56">
        <f t="shared" si="589"/>
        <v>-2.087297084251782</v>
      </c>
    </row>
    <row r="652" spans="1:69" x14ac:dyDescent="0.2">
      <c r="A652">
        <f t="shared" si="563"/>
        <v>7600000</v>
      </c>
      <c r="B652">
        <f t="shared" si="578"/>
        <v>7600</v>
      </c>
      <c r="C652">
        <f t="shared" si="539"/>
        <v>2.088635903703723</v>
      </c>
      <c r="D652">
        <f t="shared" si="540"/>
        <v>1.0715301838223292</v>
      </c>
      <c r="F652">
        <f t="shared" si="541"/>
        <v>1.5215305683433502E-6</v>
      </c>
      <c r="G652">
        <f t="shared" si="542"/>
        <v>4.6471554456867801E-4</v>
      </c>
      <c r="H652">
        <f t="shared" si="564"/>
        <v>-3.1411279344554317</v>
      </c>
      <c r="J652">
        <f t="shared" si="565"/>
        <v>15</v>
      </c>
      <c r="M652">
        <f t="shared" si="543"/>
        <v>2.9694061460554749E-5</v>
      </c>
      <c r="N652">
        <f t="shared" si="566"/>
        <v>-1.5707963250000001</v>
      </c>
      <c r="O652">
        <f t="shared" si="544"/>
        <v>7132.7474208828162</v>
      </c>
      <c r="P652">
        <f t="shared" si="567"/>
        <v>1.5706561283630345</v>
      </c>
      <c r="Q652">
        <f t="shared" si="545"/>
        <v>1061.4174558328227</v>
      </c>
      <c r="R652">
        <f t="shared" si="568"/>
        <v>1.5698541902750556</v>
      </c>
      <c r="S652">
        <f t="shared" si="546"/>
        <v>3.3348935051473114E-2</v>
      </c>
      <c r="T652">
        <f t="shared" si="569"/>
        <v>-1.5374412071365395</v>
      </c>
      <c r="U652">
        <f t="shared" si="547"/>
        <v>3.050232606769392E-2</v>
      </c>
      <c r="V652">
        <f t="shared" si="570"/>
        <v>-1.5402892688929997</v>
      </c>
      <c r="X652">
        <f t="shared" si="548"/>
        <v>-99.250754325257844</v>
      </c>
      <c r="Y652">
        <f t="shared" si="549"/>
        <v>-204.98219651246612</v>
      </c>
      <c r="Z652">
        <f t="shared" si="579"/>
        <v>-24.982196512466118</v>
      </c>
      <c r="AC652">
        <v>1</v>
      </c>
      <c r="AD652">
        <f t="shared" si="550"/>
        <v>7132.7473507836003</v>
      </c>
      <c r="AE652">
        <f t="shared" si="551"/>
        <v>-61.30879867858259</v>
      </c>
      <c r="AF652">
        <f t="shared" si="552"/>
        <v>1.8709315204104</v>
      </c>
      <c r="AG652">
        <f t="shared" si="553"/>
        <v>3.5307343549627501</v>
      </c>
      <c r="AH652">
        <f t="shared" si="554"/>
        <v>-116.23358705735214</v>
      </c>
      <c r="AJ652">
        <f t="shared" si="571"/>
        <v>18000</v>
      </c>
      <c r="AK652">
        <f t="shared" si="555"/>
        <v>539447.14649750397</v>
      </c>
      <c r="AL652">
        <v>27</v>
      </c>
      <c r="AM652">
        <f t="shared" si="556"/>
        <v>1061.4169847645283</v>
      </c>
      <c r="AN652">
        <f t="shared" si="557"/>
        <v>508.33545997623582</v>
      </c>
      <c r="AO652">
        <f t="shared" si="558"/>
        <v>-4.0275807171015021</v>
      </c>
      <c r="AQ652">
        <f t="shared" si="559"/>
        <v>4.3282548289116396E-5</v>
      </c>
      <c r="AR652">
        <f t="shared" si="560"/>
        <v>-0.65789473399456921</v>
      </c>
      <c r="AT652">
        <f t="shared" si="561"/>
        <v>-76.469312019151076</v>
      </c>
      <c r="AU652">
        <f t="shared" si="562"/>
        <v>-2.3278824251083323</v>
      </c>
      <c r="AV652">
        <f t="shared" si="580"/>
        <v>-3.1111600046461692</v>
      </c>
      <c r="AW652">
        <f t="shared" si="581"/>
        <v>509.63462685670561</v>
      </c>
      <c r="AX652">
        <f t="shared" si="582"/>
        <v>-472.34044343851758</v>
      </c>
      <c r="AY652">
        <f t="shared" si="590"/>
        <v>-0.7474376599311009</v>
      </c>
      <c r="BA652">
        <f t="shared" si="572"/>
        <v>0.1101006480481897</v>
      </c>
      <c r="BB652">
        <f t="shared" si="583"/>
        <v>-19.164202495601383</v>
      </c>
      <c r="BC652">
        <f t="shared" si="584"/>
        <v>-2.3637223447150681</v>
      </c>
      <c r="BD652">
        <f t="shared" si="573"/>
        <v>-315.43131444769335</v>
      </c>
      <c r="BF652">
        <f t="shared" si="574"/>
        <v>-105.59950888949091</v>
      </c>
      <c r="BG652">
        <f t="shared" si="575"/>
        <v>-254.0105309842352</v>
      </c>
      <c r="BH652">
        <f t="shared" si="585"/>
        <v>-74.010530984235203</v>
      </c>
      <c r="BI652">
        <f t="shared" si="586"/>
        <v>-74.010530984235203</v>
      </c>
      <c r="BJ652">
        <f t="shared" si="576"/>
        <v>0</v>
      </c>
      <c r="BK652">
        <f t="shared" si="587"/>
        <v>0</v>
      </c>
      <c r="BM652">
        <f t="shared" si="588"/>
        <v>-86.435306393889533</v>
      </c>
      <c r="BN652">
        <f t="shared" si="577"/>
        <v>-118.57921653654186</v>
      </c>
      <c r="BQ652" s="56">
        <f t="shared" si="589"/>
        <v>-2.2622416953162472</v>
      </c>
    </row>
    <row r="653" spans="1:69" x14ac:dyDescent="0.2">
      <c r="A653">
        <f t="shared" si="563"/>
        <v>7700000</v>
      </c>
      <c r="B653">
        <f t="shared" si="578"/>
        <v>7700</v>
      </c>
      <c r="C653">
        <f t="shared" si="539"/>
        <v>2.1098498240620405</v>
      </c>
      <c r="D653">
        <f t="shared" si="540"/>
        <v>1.0770053711016692</v>
      </c>
      <c r="F653">
        <f t="shared" si="541"/>
        <v>1.4822668643673231E-6</v>
      </c>
      <c r="G653">
        <f t="shared" si="542"/>
        <v>4.5868026042423794E-4</v>
      </c>
      <c r="H653">
        <f t="shared" si="564"/>
        <v>-3.1411339697395761</v>
      </c>
      <c r="J653">
        <f t="shared" si="565"/>
        <v>15</v>
      </c>
      <c r="M653">
        <f t="shared" si="543"/>
        <v>2.9308424298729358E-5</v>
      </c>
      <c r="N653">
        <f t="shared" si="566"/>
        <v>-1.5707963250000001</v>
      </c>
      <c r="O653">
        <f t="shared" si="544"/>
        <v>7226.5993587985358</v>
      </c>
      <c r="P653">
        <f t="shared" si="567"/>
        <v>1.5706579491218664</v>
      </c>
      <c r="Q653">
        <f t="shared" si="545"/>
        <v>1075.3834626724836</v>
      </c>
      <c r="R653">
        <f t="shared" si="568"/>
        <v>1.5698664258071744</v>
      </c>
      <c r="S653">
        <f t="shared" si="546"/>
        <v>3.2916304342537672E-2</v>
      </c>
      <c r="T653">
        <f t="shared" si="569"/>
        <v>-1.5378740755091682</v>
      </c>
      <c r="U653">
        <f t="shared" si="547"/>
        <v>3.0106553380728936E-2</v>
      </c>
      <c r="V653">
        <f t="shared" si="570"/>
        <v>-1.5406852234385426</v>
      </c>
      <c r="X653">
        <f t="shared" si="548"/>
        <v>-99.503377713022317</v>
      </c>
      <c r="Y653">
        <f t="shared" si="549"/>
        <v>-204.71551987434904</v>
      </c>
      <c r="Z653">
        <f t="shared" si="579"/>
        <v>-24.715519874349042</v>
      </c>
      <c r="AC653">
        <v>1</v>
      </c>
      <c r="AD653">
        <f t="shared" si="550"/>
        <v>7226.5992896096996</v>
      </c>
      <c r="AE653">
        <f t="shared" si="551"/>
        <v>-62.932802521696026</v>
      </c>
      <c r="AF653">
        <f t="shared" si="552"/>
        <v>1.8955490404157997</v>
      </c>
      <c r="AG653">
        <f t="shared" si="553"/>
        <v>3.439705055851241</v>
      </c>
      <c r="AH653">
        <f t="shared" si="554"/>
        <v>-114.72680177404546</v>
      </c>
      <c r="AJ653">
        <f t="shared" si="571"/>
        <v>18000</v>
      </c>
      <c r="AK653">
        <f t="shared" si="555"/>
        <v>546545.1352672081</v>
      </c>
      <c r="AL653">
        <v>28</v>
      </c>
      <c r="AM653">
        <f t="shared" si="556"/>
        <v>1075.3829977219561</v>
      </c>
      <c r="AN653">
        <f t="shared" si="557"/>
        <v>508.32421254605009</v>
      </c>
      <c r="AO653">
        <f t="shared" si="558"/>
        <v>-3.5028655434299054</v>
      </c>
      <c r="AQ653">
        <f t="shared" si="559"/>
        <v>4.2165626403416991E-5</v>
      </c>
      <c r="AR653">
        <f t="shared" si="560"/>
        <v>-0.64935064661262165</v>
      </c>
      <c r="AT653">
        <f t="shared" si="561"/>
        <v>-74.497777878456162</v>
      </c>
      <c r="AU653">
        <f t="shared" si="562"/>
        <v>-2.2384122296357702</v>
      </c>
      <c r="AV653">
        <f t="shared" si="580"/>
        <v>-3.1115549928416253</v>
      </c>
      <c r="AW653">
        <f t="shared" si="581"/>
        <v>509.91287695047544</v>
      </c>
      <c r="AX653">
        <f t="shared" si="582"/>
        <v>-465.72859459406652</v>
      </c>
      <c r="AY653">
        <f t="shared" si="590"/>
        <v>-0.74014166890206057</v>
      </c>
      <c r="BA653">
        <f t="shared" si="572"/>
        <v>0.1079242688001036</v>
      </c>
      <c r="BB653">
        <f t="shared" si="583"/>
        <v>-19.337617701181109</v>
      </c>
      <c r="BC653">
        <f t="shared" si="584"/>
        <v>-2.3714133239395645</v>
      </c>
      <c r="BD653">
        <f t="shared" si="573"/>
        <v>-315.87197509808334</v>
      </c>
      <c r="BF653">
        <f t="shared" si="574"/>
        <v>-105.91223363679003</v>
      </c>
      <c r="BG653">
        <f t="shared" si="575"/>
        <v>-254.13783230742683</v>
      </c>
      <c r="BH653">
        <f t="shared" si="585"/>
        <v>-74.137832307426834</v>
      </c>
      <c r="BI653">
        <f t="shared" si="586"/>
        <v>-74.137832307426834</v>
      </c>
      <c r="BJ653">
        <f t="shared" si="576"/>
        <v>0</v>
      </c>
      <c r="BK653">
        <f t="shared" si="587"/>
        <v>0</v>
      </c>
      <c r="BM653">
        <f t="shared" si="588"/>
        <v>-86.574615935608932</v>
      </c>
      <c r="BN653">
        <f t="shared" si="577"/>
        <v>-118.26585720934357</v>
      </c>
      <c r="BQ653" s="56">
        <f t="shared" si="589"/>
        <v>-2.435656900895975</v>
      </c>
    </row>
    <row r="654" spans="1:69" x14ac:dyDescent="0.2">
      <c r="A654">
        <f t="shared" si="563"/>
        <v>7800000</v>
      </c>
      <c r="B654">
        <f t="shared" si="578"/>
        <v>7800</v>
      </c>
      <c r="C654">
        <f t="shared" si="539"/>
        <v>2.1311257325309487</v>
      </c>
      <c r="D654">
        <f t="shared" si="540"/>
        <v>1.0823713944671318</v>
      </c>
      <c r="F654">
        <f t="shared" si="541"/>
        <v>1.4445036040918593E-6</v>
      </c>
      <c r="G654">
        <f t="shared" si="542"/>
        <v>4.5279972780913364E-4</v>
      </c>
      <c r="H654">
        <f t="shared" si="564"/>
        <v>-3.1411398502721912</v>
      </c>
      <c r="J654">
        <f t="shared" si="565"/>
        <v>15</v>
      </c>
      <c r="M654">
        <f t="shared" si="543"/>
        <v>2.8932675269258475E-5</v>
      </c>
      <c r="N654">
        <f t="shared" si="566"/>
        <v>-1.5707963250000001</v>
      </c>
      <c r="O654">
        <f t="shared" si="544"/>
        <v>7320.4512967376004</v>
      </c>
      <c r="P654">
        <f t="shared" si="567"/>
        <v>1.5706597231945754</v>
      </c>
      <c r="Q654">
        <f t="shared" si="545"/>
        <v>1089.3494696690097</v>
      </c>
      <c r="R654">
        <f t="shared" si="568"/>
        <v>1.5698783476079683</v>
      </c>
      <c r="S654">
        <f t="shared" si="546"/>
        <v>3.2494748928700842E-2</v>
      </c>
      <c r="T654">
        <f t="shared" si="569"/>
        <v>-1.5382958565658591</v>
      </c>
      <c r="U654">
        <f t="shared" si="547"/>
        <v>2.9720915089185992E-2</v>
      </c>
      <c r="V654">
        <f t="shared" si="570"/>
        <v>-1.5410710343890119</v>
      </c>
      <c r="X654">
        <f t="shared" si="548"/>
        <v>-99.752240016746029</v>
      </c>
      <c r="Y654">
        <f t="shared" si="549"/>
        <v>-204.45389320997089</v>
      </c>
      <c r="Z654">
        <f t="shared" si="579"/>
        <v>-24.453893209970886</v>
      </c>
      <c r="AC654">
        <v>1</v>
      </c>
      <c r="AD654">
        <f t="shared" si="550"/>
        <v>7320.4512284358007</v>
      </c>
      <c r="AE654">
        <f t="shared" si="551"/>
        <v>-64.578035173216165</v>
      </c>
      <c r="AF654">
        <f t="shared" si="552"/>
        <v>1.9201665604212002</v>
      </c>
      <c r="AG654">
        <f t="shared" si="553"/>
        <v>3.3521502677194088</v>
      </c>
      <c r="AH654">
        <f t="shared" si="554"/>
        <v>-113.25854869953857</v>
      </c>
      <c r="AJ654">
        <f t="shared" si="571"/>
        <v>18000</v>
      </c>
      <c r="AK654">
        <f t="shared" si="555"/>
        <v>553643.12403691199</v>
      </c>
      <c r="AL654">
        <v>29</v>
      </c>
      <c r="AM654">
        <f t="shared" si="556"/>
        <v>1089.349010679384</v>
      </c>
      <c r="AN654">
        <f t="shared" si="557"/>
        <v>508.31264910033946</v>
      </c>
      <c r="AO654">
        <f t="shared" si="558"/>
        <v>-2.9916336675770125</v>
      </c>
      <c r="AQ654">
        <f t="shared" si="559"/>
        <v>4.109138707638319E-5</v>
      </c>
      <c r="AR654">
        <f t="shared" si="560"/>
        <v>-0.64102563839157778</v>
      </c>
      <c r="AT654">
        <f t="shared" si="561"/>
        <v>-72.601495738921116</v>
      </c>
      <c r="AU654">
        <f t="shared" si="562"/>
        <v>-2.1534682162136547</v>
      </c>
      <c r="AV654">
        <f t="shared" si="580"/>
        <v>-3.1119398622202148</v>
      </c>
      <c r="AW654">
        <f t="shared" si="581"/>
        <v>510.17561045758845</v>
      </c>
      <c r="AX654">
        <f t="shared" si="582"/>
        <v>-459.28600678064788</v>
      </c>
      <c r="AY654">
        <f t="shared" si="590"/>
        <v>-0.73295365380977484</v>
      </c>
      <c r="BA654">
        <f t="shared" si="572"/>
        <v>0.10580918961461842</v>
      </c>
      <c r="BB654">
        <f t="shared" si="583"/>
        <v>-19.509532236639757</v>
      </c>
      <c r="BC654">
        <f t="shared" si="584"/>
        <v>-2.3789862084104398</v>
      </c>
      <c r="BD654">
        <f t="shared" si="573"/>
        <v>-316.30586941750039</v>
      </c>
      <c r="BF654">
        <f t="shared" si="574"/>
        <v>-106.22115299922052</v>
      </c>
      <c r="BG654">
        <f t="shared" si="575"/>
        <v>-254.26461306458356</v>
      </c>
      <c r="BH654">
        <f t="shared" si="585"/>
        <v>-74.264613064583557</v>
      </c>
      <c r="BI654">
        <f t="shared" si="586"/>
        <v>-74.264613064583557</v>
      </c>
      <c r="BJ654">
        <f t="shared" si="576"/>
        <v>0</v>
      </c>
      <c r="BK654">
        <f t="shared" si="587"/>
        <v>0</v>
      </c>
      <c r="BM654">
        <f t="shared" si="588"/>
        <v>-86.711620762580779</v>
      </c>
      <c r="BN654">
        <f t="shared" si="577"/>
        <v>-117.95874364708315</v>
      </c>
      <c r="BQ654" s="56">
        <f t="shared" si="589"/>
        <v>-2.6075714363546201</v>
      </c>
    </row>
    <row r="655" spans="1:69" x14ac:dyDescent="0.2">
      <c r="A655">
        <f t="shared" si="563"/>
        <v>7900000</v>
      </c>
      <c r="B655">
        <f t="shared" si="578"/>
        <v>7900</v>
      </c>
      <c r="C655">
        <f t="shared" si="539"/>
        <v>2.1524617909554435</v>
      </c>
      <c r="D655">
        <f t="shared" si="540"/>
        <v>1.0876311864742003</v>
      </c>
      <c r="F655">
        <f t="shared" si="541"/>
        <v>1.4081652984315748E-6</v>
      </c>
      <c r="G655">
        <f t="shared" si="542"/>
        <v>4.4706807005053174E-4</v>
      </c>
      <c r="H655">
        <f t="shared" si="564"/>
        <v>-3.1411455819299499</v>
      </c>
      <c r="J655">
        <f t="shared" si="565"/>
        <v>15</v>
      </c>
      <c r="M655">
        <f t="shared" si="543"/>
        <v>2.8566438873445073E-5</v>
      </c>
      <c r="N655">
        <f t="shared" si="566"/>
        <v>-1.5707963250000001</v>
      </c>
      <c r="O655">
        <f t="shared" si="544"/>
        <v>7414.3032346991204</v>
      </c>
      <c r="P655">
        <f t="shared" si="567"/>
        <v>1.5706614523540521</v>
      </c>
      <c r="Q655">
        <f t="shared" si="545"/>
        <v>1103.315476816445</v>
      </c>
      <c r="R655">
        <f t="shared" si="568"/>
        <v>1.5698899675912716</v>
      </c>
      <c r="S655">
        <f t="shared" si="546"/>
        <v>3.2083849112184648E-2</v>
      </c>
      <c r="T655">
        <f t="shared" si="569"/>
        <v>-1.5387069707547543</v>
      </c>
      <c r="U655">
        <f t="shared" si="547"/>
        <v>2.9345027018539849E-2</v>
      </c>
      <c r="V655">
        <f t="shared" si="570"/>
        <v>-1.5414470864932954</v>
      </c>
      <c r="X655">
        <f t="shared" si="548"/>
        <v>-99.99745029752782</v>
      </c>
      <c r="Y655">
        <f t="shared" si="549"/>
        <v>-204.19719418318778</v>
      </c>
      <c r="Z655">
        <f t="shared" si="579"/>
        <v>-24.197194183187776</v>
      </c>
      <c r="AC655">
        <v>1</v>
      </c>
      <c r="AD655">
        <f t="shared" si="550"/>
        <v>7414.3031672618999</v>
      </c>
      <c r="AE655">
        <f t="shared" si="551"/>
        <v>-66.244496633143015</v>
      </c>
      <c r="AF655">
        <f t="shared" si="552"/>
        <v>1.9447840804265999</v>
      </c>
      <c r="AG655">
        <f t="shared" si="553"/>
        <v>3.2678954384169874</v>
      </c>
      <c r="AH655">
        <f t="shared" si="554"/>
        <v>-111.8273697098405</v>
      </c>
      <c r="AJ655">
        <f t="shared" si="571"/>
        <v>18000</v>
      </c>
      <c r="AK655">
        <f t="shared" si="555"/>
        <v>560741.112806616</v>
      </c>
      <c r="AL655">
        <v>30</v>
      </c>
      <c r="AM655">
        <f t="shared" si="556"/>
        <v>1103.3150236368122</v>
      </c>
      <c r="AN655">
        <f t="shared" si="557"/>
        <v>508.30080437718527</v>
      </c>
      <c r="AO655">
        <f t="shared" si="558"/>
        <v>-2.4933729802903564</v>
      </c>
      <c r="AQ655">
        <f t="shared" si="559"/>
        <v>4.0057682903149807E-5</v>
      </c>
      <c r="AR655">
        <f t="shared" si="560"/>
        <v>-0.63291138986976692</v>
      </c>
      <c r="AT655">
        <f t="shared" si="561"/>
        <v>-70.776685084216183</v>
      </c>
      <c r="AU655">
        <f t="shared" si="562"/>
        <v>-2.0727677891932972</v>
      </c>
      <c r="AV655">
        <f t="shared" si="580"/>
        <v>-3.1123149965898804</v>
      </c>
      <c r="AW655">
        <f t="shared" si="581"/>
        <v>510.42373118412888</v>
      </c>
      <c r="AX655">
        <f t="shared" si="582"/>
        <v>-453.00627969787286</v>
      </c>
      <c r="AY655">
        <f t="shared" si="590"/>
        <v>-0.72587166218444588</v>
      </c>
      <c r="BA655">
        <f t="shared" si="572"/>
        <v>0.10375315483114399</v>
      </c>
      <c r="BB655">
        <f t="shared" si="583"/>
        <v>-19.679973775705115</v>
      </c>
      <c r="BC655">
        <f t="shared" si="584"/>
        <v>-2.3864433344054348</v>
      </c>
      <c r="BD655">
        <f t="shared" si="573"/>
        <v>-316.73313126479917</v>
      </c>
      <c r="BF655">
        <f t="shared" si="574"/>
        <v>-106.52636682176944</v>
      </c>
      <c r="BG655">
        <f t="shared" si="575"/>
        <v>-254.39083942821586</v>
      </c>
      <c r="BH655">
        <f t="shared" si="585"/>
        <v>-74.390839428215855</v>
      </c>
      <c r="BI655">
        <f t="shared" si="586"/>
        <v>-74.390839428215855</v>
      </c>
      <c r="BJ655">
        <f t="shared" si="576"/>
        <v>0</v>
      </c>
      <c r="BK655">
        <f t="shared" si="587"/>
        <v>0</v>
      </c>
      <c r="BM655">
        <f t="shared" si="588"/>
        <v>-86.846393046064321</v>
      </c>
      <c r="BN655">
        <f t="shared" si="577"/>
        <v>-117.65770816341671</v>
      </c>
      <c r="BQ655" s="56">
        <f t="shared" si="589"/>
        <v>-2.7780129754199789</v>
      </c>
    </row>
    <row r="656" spans="1:69" x14ac:dyDescent="0.2">
      <c r="A656">
        <f t="shared" si="563"/>
        <v>8000000</v>
      </c>
      <c r="B656">
        <f t="shared" si="578"/>
        <v>8000</v>
      </c>
      <c r="C656">
        <f t="shared" si="539"/>
        <v>2.1738562282490648</v>
      </c>
      <c r="D656">
        <f t="shared" si="540"/>
        <v>1.0927875882345455</v>
      </c>
      <c r="F656">
        <f t="shared" si="541"/>
        <v>1.3731811467030518E-6</v>
      </c>
      <c r="G656">
        <f t="shared" si="542"/>
        <v>4.4147970431123221E-4</v>
      </c>
      <c r="H656">
        <f t="shared" si="564"/>
        <v>-3.1411511702956889</v>
      </c>
      <c r="J656">
        <f t="shared" si="565"/>
        <v>15</v>
      </c>
      <c r="M656">
        <f t="shared" si="543"/>
        <v>2.8209358387527012E-5</v>
      </c>
      <c r="N656">
        <f t="shared" si="566"/>
        <v>-1.5707963250000001</v>
      </c>
      <c r="O656">
        <f t="shared" si="544"/>
        <v>7508.1551726822554</v>
      </c>
      <c r="P656">
        <f t="shared" si="567"/>
        <v>1.5706631382845426</v>
      </c>
      <c r="Q656">
        <f t="shared" si="545"/>
        <v>1117.2814841091297</v>
      </c>
      <c r="R656">
        <f t="shared" si="568"/>
        <v>1.5699012970752282</v>
      </c>
      <c r="S656">
        <f t="shared" si="546"/>
        <v>3.1683206126025362E-2</v>
      </c>
      <c r="T656">
        <f t="shared" si="569"/>
        <v>-1.5391078175376787</v>
      </c>
      <c r="U656">
        <f t="shared" si="547"/>
        <v>2.8978524161589404E-2</v>
      </c>
      <c r="V656">
        <f t="shared" si="570"/>
        <v>-1.541813745290463</v>
      </c>
      <c r="X656">
        <f t="shared" si="548"/>
        <v>-100.2391130972739</v>
      </c>
      <c r="Y656">
        <f t="shared" si="549"/>
        <v>-203.94530341650517</v>
      </c>
      <c r="Z656">
        <f t="shared" si="579"/>
        <v>-23.945303416505169</v>
      </c>
      <c r="AC656">
        <v>1</v>
      </c>
      <c r="AD656">
        <f t="shared" si="550"/>
        <v>7508.1551060879992</v>
      </c>
      <c r="AE656">
        <f t="shared" si="551"/>
        <v>-67.932186901476584</v>
      </c>
      <c r="AF656">
        <f t="shared" si="552"/>
        <v>1.9694016004320001</v>
      </c>
      <c r="AG656">
        <f t="shared" si="553"/>
        <v>3.1867768381098278</v>
      </c>
      <c r="AH656">
        <f t="shared" si="554"/>
        <v>-110.43187927341323</v>
      </c>
      <c r="AJ656">
        <f t="shared" si="571"/>
        <v>18000</v>
      </c>
      <c r="AK656">
        <f t="shared" si="555"/>
        <v>567839.10157632001</v>
      </c>
      <c r="AL656">
        <v>31</v>
      </c>
      <c r="AM656">
        <f t="shared" si="556"/>
        <v>1117.28103659424</v>
      </c>
      <c r="AN656">
        <f t="shared" si="557"/>
        <v>508.28871025355096</v>
      </c>
      <c r="AO656">
        <f t="shared" si="558"/>
        <v>-2.0075969327979593</v>
      </c>
      <c r="AQ656">
        <f t="shared" si="559"/>
        <v>3.9062499847412111E-5</v>
      </c>
      <c r="AR656">
        <f t="shared" si="560"/>
        <v>-0.62499999755859381</v>
      </c>
      <c r="AT656">
        <f t="shared" si="561"/>
        <v>-69.019799792804449</v>
      </c>
      <c r="AU656">
        <f t="shared" si="562"/>
        <v>-1.9960492613056928</v>
      </c>
      <c r="AV656">
        <f t="shared" si="580"/>
        <v>-3.1126807605957949</v>
      </c>
      <c r="AW656">
        <f t="shared" si="581"/>
        <v>510.65808223173184</v>
      </c>
      <c r="AX656">
        <f t="shared" si="582"/>
        <v>-446.88333087714261</v>
      </c>
      <c r="AY656">
        <f t="shared" si="590"/>
        <v>-0.71889377930036524</v>
      </c>
      <c r="BA656">
        <f t="shared" si="572"/>
        <v>0.10175401400516912</v>
      </c>
      <c r="BB656">
        <f t="shared" si="583"/>
        <v>-19.848968993227199</v>
      </c>
      <c r="BC656">
        <f t="shared" si="584"/>
        <v>-2.3937869812954298</v>
      </c>
      <c r="BD656">
        <f t="shared" si="573"/>
        <v>-317.15389123831108</v>
      </c>
      <c r="BF656">
        <f t="shared" si="574"/>
        <v>-106.82797081281878</v>
      </c>
      <c r="BG656">
        <f t="shared" si="575"/>
        <v>-254.51647953282014</v>
      </c>
      <c r="BH656">
        <f t="shared" si="585"/>
        <v>-74.516479532820142</v>
      </c>
      <c r="BI656">
        <f t="shared" si="586"/>
        <v>-74.516479532820142</v>
      </c>
      <c r="BJ656">
        <f t="shared" si="576"/>
        <v>0</v>
      </c>
      <c r="BK656">
        <f t="shared" si="587"/>
        <v>0</v>
      </c>
      <c r="BM656">
        <f t="shared" si="588"/>
        <v>-86.979001819591574</v>
      </c>
      <c r="BN656">
        <f t="shared" si="577"/>
        <v>-117.3625882945091</v>
      </c>
      <c r="BQ656" s="56">
        <f t="shared" si="589"/>
        <v>-2.9470081929420644</v>
      </c>
    </row>
    <row r="657" spans="1:69" x14ac:dyDescent="0.2">
      <c r="A657">
        <f t="shared" si="563"/>
        <v>8100000</v>
      </c>
      <c r="B657">
        <f t="shared" si="578"/>
        <v>8100</v>
      </c>
      <c r="C657">
        <f t="shared" si="539"/>
        <v>2.1953073376131136</v>
      </c>
      <c r="D657">
        <f t="shared" si="540"/>
        <v>1.0978433522620563</v>
      </c>
      <c r="F657">
        <f t="shared" si="541"/>
        <v>1.3394846914968493E-6</v>
      </c>
      <c r="G657">
        <f t="shared" si="542"/>
        <v>4.3602932345152218E-4</v>
      </c>
      <c r="H657">
        <f t="shared" si="564"/>
        <v>-3.1411566206765489</v>
      </c>
      <c r="J657">
        <f t="shared" si="565"/>
        <v>15</v>
      </c>
      <c r="M657">
        <f t="shared" si="543"/>
        <v>2.7861094703730382E-5</v>
      </c>
      <c r="N657">
        <f t="shared" si="566"/>
        <v>-1.5707963250000001</v>
      </c>
      <c r="O657">
        <f t="shared" si="544"/>
        <v>7602.0071106862042</v>
      </c>
      <c r="P657">
        <f t="shared" si="567"/>
        <v>1.5706647825871205</v>
      </c>
      <c r="Q657">
        <f t="shared" si="545"/>
        <v>1131.2474915416849</v>
      </c>
      <c r="R657">
        <f t="shared" si="568"/>
        <v>1.5699123468190612</v>
      </c>
      <c r="S657">
        <f t="shared" si="546"/>
        <v>3.1292440845972408E-2</v>
      </c>
      <c r="T657">
        <f t="shared" si="569"/>
        <v>-1.5394987766829711</v>
      </c>
      <c r="U657">
        <f t="shared" si="547"/>
        <v>2.8621059498295173E-2</v>
      </c>
      <c r="V657">
        <f t="shared" si="570"/>
        <v>-1.5421713582935526</v>
      </c>
      <c r="X657">
        <f t="shared" si="548"/>
        <v>-100.47732867534856</v>
      </c>
      <c r="Y657">
        <f t="shared" si="549"/>
        <v>-203.69810446853131</v>
      </c>
      <c r="Z657">
        <f t="shared" si="579"/>
        <v>-23.698104468531312</v>
      </c>
      <c r="AC657">
        <v>1</v>
      </c>
      <c r="AD657">
        <f t="shared" si="550"/>
        <v>7602.0070449141003</v>
      </c>
      <c r="AE657">
        <f t="shared" si="551"/>
        <v>-69.641105978216828</v>
      </c>
      <c r="AF657">
        <f t="shared" si="552"/>
        <v>1.9940191204374</v>
      </c>
      <c r="AG657">
        <f t="shared" si="553"/>
        <v>3.1086407641808806</v>
      </c>
      <c r="AH657">
        <f t="shared" si="554"/>
        <v>-109.07075999292229</v>
      </c>
      <c r="AJ657">
        <f t="shared" si="571"/>
        <v>18000</v>
      </c>
      <c r="AK657">
        <f t="shared" si="555"/>
        <v>574937.09034602391</v>
      </c>
      <c r="AL657">
        <v>32</v>
      </c>
      <c r="AM657">
        <f t="shared" si="556"/>
        <v>1131.2470495516682</v>
      </c>
      <c r="AN657">
        <f t="shared" si="557"/>
        <v>508.27639599039946</v>
      </c>
      <c r="AO657">
        <f t="shared" si="558"/>
        <v>-1.5338429647130472</v>
      </c>
      <c r="AQ657">
        <f t="shared" si="559"/>
        <v>3.8103947423777063E-5</v>
      </c>
      <c r="AR657">
        <f t="shared" si="560"/>
        <v>-0.6172839482651884</v>
      </c>
      <c r="AT657">
        <f t="shared" si="561"/>
        <v>-67.327510917231578</v>
      </c>
      <c r="AU657">
        <f t="shared" si="562"/>
        <v>-1.9230700711559281</v>
      </c>
      <c r="AV657">
        <f t="shared" si="580"/>
        <v>-3.1130375009012421</v>
      </c>
      <c r="AW657">
        <f t="shared" si="581"/>
        <v>510.87945068763389</v>
      </c>
      <c r="AX657">
        <f t="shared" si="582"/>
        <v>-440.91137624567091</v>
      </c>
      <c r="AY657">
        <f t="shared" si="590"/>
        <v>-0.7120181272555145</v>
      </c>
      <c r="BA657">
        <f t="shared" si="572"/>
        <v>9.9809715768167356E-2</v>
      </c>
      <c r="BB657">
        <f t="shared" si="583"/>
        <v>-20.016543623325433</v>
      </c>
      <c r="BC657">
        <f t="shared" si="584"/>
        <v>-2.4010193736457275</v>
      </c>
      <c r="BD657">
        <f t="shared" si="573"/>
        <v>-317.56827679623927</v>
      </c>
      <c r="BF657">
        <f t="shared" si="574"/>
        <v>-107.12605677094459</v>
      </c>
      <c r="BG657">
        <f t="shared" si="575"/>
        <v>-254.64150343324732</v>
      </c>
      <c r="BH657">
        <f t="shared" si="585"/>
        <v>-74.641503433247323</v>
      </c>
      <c r="BI657">
        <f t="shared" si="586"/>
        <v>-74.641503433247323</v>
      </c>
      <c r="BJ657">
        <f t="shared" si="576"/>
        <v>0</v>
      </c>
      <c r="BK657">
        <f t="shared" si="587"/>
        <v>0</v>
      </c>
      <c r="BM657">
        <f t="shared" si="588"/>
        <v>-87.109513147619154</v>
      </c>
      <c r="BN657">
        <f t="shared" si="577"/>
        <v>-117.07322663700803</v>
      </c>
      <c r="BQ657" s="56">
        <f t="shared" si="589"/>
        <v>-3.1145828230402972</v>
      </c>
    </row>
    <row r="658" spans="1:69" x14ac:dyDescent="0.2">
      <c r="A658">
        <f t="shared" si="563"/>
        <v>8200000</v>
      </c>
      <c r="B658">
        <f t="shared" si="578"/>
        <v>8200</v>
      </c>
      <c r="C658">
        <f t="shared" si="539"/>
        <v>2.2168134738776057</v>
      </c>
      <c r="D658">
        <f t="shared" si="540"/>
        <v>1.1028011452618962</v>
      </c>
      <c r="F658">
        <f t="shared" si="541"/>
        <v>1.3070135028302081E-6</v>
      </c>
      <c r="G658">
        <f t="shared" si="542"/>
        <v>4.3071187921822201E-4</v>
      </c>
      <c r="H658">
        <f t="shared" si="564"/>
        <v>-3.1411619381207818</v>
      </c>
      <c r="J658">
        <f t="shared" si="565"/>
        <v>15</v>
      </c>
      <c r="M658">
        <f t="shared" si="543"/>
        <v>2.752132525612391E-5</v>
      </c>
      <c r="N658">
        <f t="shared" si="566"/>
        <v>-1.5707963250000001</v>
      </c>
      <c r="O658">
        <f t="shared" si="544"/>
        <v>7695.8590487102047</v>
      </c>
      <c r="P658">
        <f t="shared" si="567"/>
        <v>1.5706663867847581</v>
      </c>
      <c r="Q658">
        <f t="shared" si="545"/>
        <v>1145.2134991089927</v>
      </c>
      <c r="R658">
        <f t="shared" si="568"/>
        <v>1.5699231270571554</v>
      </c>
      <c r="S658">
        <f t="shared" si="546"/>
        <v>3.0911192596310439E-2</v>
      </c>
      <c r="T658">
        <f t="shared" si="569"/>
        <v>-1.5398802094639381</v>
      </c>
      <c r="U658">
        <f t="shared" si="547"/>
        <v>2.8272302901718772E-2</v>
      </c>
      <c r="V658">
        <f t="shared" si="570"/>
        <v>-1.5425202560869045</v>
      </c>
      <c r="X658">
        <f t="shared" si="548"/>
        <v>-100.71219323050053</v>
      </c>
      <c r="Y658">
        <f t="shared" si="549"/>
        <v>-203.45548380443486</v>
      </c>
      <c r="Z658">
        <f t="shared" si="579"/>
        <v>-23.455483804434863</v>
      </c>
      <c r="AC658">
        <v>1</v>
      </c>
      <c r="AD658">
        <f t="shared" si="550"/>
        <v>7695.8589837401996</v>
      </c>
      <c r="AE658">
        <f t="shared" si="551"/>
        <v>-71.371253863363819</v>
      </c>
      <c r="AF658">
        <f t="shared" si="552"/>
        <v>2.0186366404428</v>
      </c>
      <c r="AG658">
        <f t="shared" si="553"/>
        <v>3.03334281343861</v>
      </c>
      <c r="AH658">
        <f t="shared" si="554"/>
        <v>-107.74275847129613</v>
      </c>
      <c r="AJ658">
        <f t="shared" si="571"/>
        <v>18000</v>
      </c>
      <c r="AK658">
        <f t="shared" si="555"/>
        <v>582035.07911572803</v>
      </c>
      <c r="AL658">
        <v>33</v>
      </c>
      <c r="AM658">
        <f t="shared" si="556"/>
        <v>1145.2130625090961</v>
      </c>
      <c r="AN658">
        <f t="shared" si="557"/>
        <v>508.26388845493483</v>
      </c>
      <c r="AO658">
        <f t="shared" si="558"/>
        <v>-1.0716710463450596</v>
      </c>
      <c r="AQ658">
        <f t="shared" si="559"/>
        <v>3.7180249713041904E-5</v>
      </c>
      <c r="AR658">
        <f t="shared" si="560"/>
        <v>-0.60975609529388719</v>
      </c>
      <c r="AT658">
        <f t="shared" si="561"/>
        <v>-65.696690921206638</v>
      </c>
      <c r="AU658">
        <f t="shared" si="562"/>
        <v>-1.8536051722748357</v>
      </c>
      <c r="AV658">
        <f t="shared" si="580"/>
        <v>-3.1133855472822587</v>
      </c>
      <c r="AW658">
        <f t="shared" si="581"/>
        <v>511.08857190374863</v>
      </c>
      <c r="AX658">
        <f t="shared" si="582"/>
        <v>-435.08491209583076</v>
      </c>
      <c r="AY658">
        <f t="shared" si="590"/>
        <v>-0.70524286411379122</v>
      </c>
      <c r="BA658">
        <f t="shared" si="572"/>
        <v>9.7918302126971557E-2</v>
      </c>
      <c r="BB658">
        <f t="shared" si="583"/>
        <v>-20.182722513300373</v>
      </c>
      <c r="BC658">
        <f t="shared" si="584"/>
        <v>-2.4081426831684674</v>
      </c>
      <c r="BD658">
        <f t="shared" si="573"/>
        <v>-317.976412368524</v>
      </c>
      <c r="BF658">
        <f t="shared" si="574"/>
        <v>-107.4207127968812</v>
      </c>
      <c r="BG658">
        <f t="shared" si="575"/>
        <v>-254.76588305772975</v>
      </c>
      <c r="BH658">
        <f t="shared" si="585"/>
        <v>-74.765883057729752</v>
      </c>
      <c r="BI658">
        <f t="shared" si="586"/>
        <v>-74.765883057729752</v>
      </c>
      <c r="BJ658">
        <f t="shared" si="576"/>
        <v>0</v>
      </c>
      <c r="BK658">
        <f t="shared" si="587"/>
        <v>0</v>
      </c>
      <c r="BM658">
        <f t="shared" si="588"/>
        <v>-87.237990283580842</v>
      </c>
      <c r="BN658">
        <f t="shared" si="577"/>
        <v>-116.78947068920581</v>
      </c>
      <c r="BQ658" s="56">
        <f t="shared" si="589"/>
        <v>-3.2807617130152367</v>
      </c>
    </row>
    <row r="659" spans="1:69" x14ac:dyDescent="0.2">
      <c r="A659">
        <f t="shared" si="563"/>
        <v>8300000</v>
      </c>
      <c r="B659">
        <f t="shared" si="578"/>
        <v>8300</v>
      </c>
      <c r="C659">
        <f t="shared" si="539"/>
        <v>2.238373050958935</v>
      </c>
      <c r="D659">
        <f t="shared" si="540"/>
        <v>1.1076635508591459</v>
      </c>
      <c r="F659">
        <f t="shared" si="541"/>
        <v>1.2757088887754106E-6</v>
      </c>
      <c r="G659">
        <f t="shared" si="542"/>
        <v>4.2552256664899249E-4</v>
      </c>
      <c r="H659">
        <f t="shared" si="564"/>
        <v>-3.1411671274333512</v>
      </c>
      <c r="J659">
        <f t="shared" si="565"/>
        <v>15</v>
      </c>
      <c r="M659">
        <f t="shared" si="543"/>
        <v>2.718974302412242E-5</v>
      </c>
      <c r="N659">
        <f t="shared" si="566"/>
        <v>-1.5707963250000001</v>
      </c>
      <c r="O659">
        <f t="shared" si="544"/>
        <v>7789.7109867535337</v>
      </c>
      <c r="P659">
        <f t="shared" si="567"/>
        <v>1.5706679523270317</v>
      </c>
      <c r="Q659">
        <f t="shared" si="545"/>
        <v>1159.1795068061831</v>
      </c>
      <c r="R659">
        <f t="shared" si="568"/>
        <v>1.569933647530672</v>
      </c>
      <c r="S659">
        <f t="shared" si="546"/>
        <v>3.0539118041714133E-2</v>
      </c>
      <c r="T659">
        <f t="shared" si="569"/>
        <v>-1.540252459770868</v>
      </c>
      <c r="U659">
        <f t="shared" si="547"/>
        <v>2.7931940122826248E-2</v>
      </c>
      <c r="V659">
        <f t="shared" si="570"/>
        <v>-1.5428607533443195</v>
      </c>
      <c r="X659">
        <f t="shared" si="548"/>
        <v>-100.94379910911704</v>
      </c>
      <c r="Y659">
        <f t="shared" si="549"/>
        <v>-203.21733076046763</v>
      </c>
      <c r="Z659">
        <f t="shared" si="579"/>
        <v>-23.217330760467632</v>
      </c>
      <c r="AC659">
        <v>1</v>
      </c>
      <c r="AD659">
        <f t="shared" si="550"/>
        <v>7789.7109225662998</v>
      </c>
      <c r="AE659">
        <f t="shared" si="551"/>
        <v>-73.122630556917514</v>
      </c>
      <c r="AF659">
        <f t="shared" si="552"/>
        <v>2.0432541604482002</v>
      </c>
      <c r="AG659">
        <f t="shared" si="553"/>
        <v>2.9607472152007195</v>
      </c>
      <c r="AH659">
        <f t="shared" si="554"/>
        <v>-106.44668147492484</v>
      </c>
      <c r="AJ659">
        <f t="shared" si="571"/>
        <v>18000</v>
      </c>
      <c r="AK659">
        <f t="shared" si="555"/>
        <v>589133.06788543193</v>
      </c>
      <c r="AL659">
        <v>34</v>
      </c>
      <c r="AM659">
        <f t="shared" si="556"/>
        <v>1159.1790754665242</v>
      </c>
      <c r="AN659">
        <f t="shared" si="557"/>
        <v>508.25121232230566</v>
      </c>
      <c r="AO659">
        <f t="shared" si="558"/>
        <v>-0.62066232583783609</v>
      </c>
      <c r="AQ659">
        <f t="shared" si="559"/>
        <v>3.6289737130607717E-5</v>
      </c>
      <c r="AR659">
        <f t="shared" si="560"/>
        <v>-0.60240963636808809</v>
      </c>
      <c r="AT659">
        <f t="shared" si="561"/>
        <v>-64.124399235161022</v>
      </c>
      <c r="AU659">
        <f t="shared" si="562"/>
        <v>-1.7874455753760454</v>
      </c>
      <c r="AV659">
        <f t="shared" si="580"/>
        <v>-3.1137252136432982</v>
      </c>
      <c r="AW659">
        <f t="shared" si="581"/>
        <v>511.28613340503506</v>
      </c>
      <c r="AX659">
        <f t="shared" si="582"/>
        <v>-429.39869834299913</v>
      </c>
      <c r="AY659">
        <f t="shared" si="590"/>
        <v>-0.69856618310169771</v>
      </c>
      <c r="BA659">
        <f t="shared" si="572"/>
        <v>9.6077903165285042E-2</v>
      </c>
      <c r="BB659">
        <f t="shared" si="583"/>
        <v>-20.347529673652378</v>
      </c>
      <c r="BC659">
        <f t="shared" si="584"/>
        <v>-2.4151590305416004</v>
      </c>
      <c r="BD659">
        <f t="shared" si="573"/>
        <v>-318.37841946106158</v>
      </c>
      <c r="BF659">
        <f t="shared" si="574"/>
        <v>-107.71202349174911</v>
      </c>
      <c r="BG659">
        <f t="shared" si="575"/>
        <v>-254.88959215665494</v>
      </c>
      <c r="BH659">
        <f t="shared" si="585"/>
        <v>-74.889592156654942</v>
      </c>
      <c r="BI659">
        <f t="shared" si="586"/>
        <v>-74.889592156654942</v>
      </c>
      <c r="BJ659">
        <f t="shared" si="576"/>
        <v>0</v>
      </c>
      <c r="BK659">
        <f t="shared" si="587"/>
        <v>0</v>
      </c>
      <c r="BM659">
        <f t="shared" si="588"/>
        <v>-87.364493818096719</v>
      </c>
      <c r="BN659">
        <f t="shared" si="577"/>
        <v>-116.5111726955934</v>
      </c>
      <c r="BQ659" s="56">
        <f t="shared" si="589"/>
        <v>-3.445568873367244</v>
      </c>
    </row>
    <row r="660" spans="1:69" x14ac:dyDescent="0.2">
      <c r="A660">
        <f t="shared" si="563"/>
        <v>8400000</v>
      </c>
      <c r="B660">
        <f t="shared" si="578"/>
        <v>8400</v>
      </c>
      <c r="C660">
        <f t="shared" si="539"/>
        <v>2.2599845394293556</v>
      </c>
      <c r="D660">
        <f t="shared" si="540"/>
        <v>1.112433072264327</v>
      </c>
      <c r="F660">
        <f t="shared" si="541"/>
        <v>1.2455156300575022E-6</v>
      </c>
      <c r="G660">
        <f t="shared" si="542"/>
        <v>4.2045680959063031E-4</v>
      </c>
      <c r="H660">
        <f t="shared" si="564"/>
        <v>-3.1411721931904095</v>
      </c>
      <c r="J660">
        <f t="shared" si="565"/>
        <v>15</v>
      </c>
      <c r="M660">
        <f t="shared" si="543"/>
        <v>2.6866055607168582E-5</v>
      </c>
      <c r="N660">
        <f t="shared" si="566"/>
        <v>-1.5707963250000001</v>
      </c>
      <c r="O660">
        <f t="shared" si="544"/>
        <v>7883.5629248155001</v>
      </c>
      <c r="P660">
        <f t="shared" si="567"/>
        <v>1.5706694805944896</v>
      </c>
      <c r="Q660">
        <f t="shared" si="545"/>
        <v>1173.1455146286169</v>
      </c>
      <c r="R660">
        <f t="shared" si="568"/>
        <v>1.5699439175169079</v>
      </c>
      <c r="S660">
        <f t="shared" si="546"/>
        <v>3.0175890157993858E-2</v>
      </c>
      <c r="T660">
        <f t="shared" si="569"/>
        <v>-1.5406158551437901</v>
      </c>
      <c r="U660">
        <f t="shared" si="547"/>
        <v>2.759967184760458E-2</v>
      </c>
      <c r="V660">
        <f t="shared" si="570"/>
        <v>-1.5431931497746276</v>
      </c>
      <c r="X660">
        <f t="shared" si="548"/>
        <v>-101.17223500077262</v>
      </c>
      <c r="Y660">
        <f t="shared" si="549"/>
        <v>-202.98353750348835</v>
      </c>
      <c r="Z660">
        <f t="shared" si="579"/>
        <v>-22.98353750348835</v>
      </c>
      <c r="AC660">
        <v>1</v>
      </c>
      <c r="AD660">
        <f t="shared" si="550"/>
        <v>7883.5628613924</v>
      </c>
      <c r="AE660">
        <f t="shared" si="551"/>
        <v>-74.895236058877927</v>
      </c>
      <c r="AF660">
        <f t="shared" si="552"/>
        <v>2.0678716804535999</v>
      </c>
      <c r="AG660">
        <f t="shared" si="553"/>
        <v>2.8907262195040815</v>
      </c>
      <c r="AH660">
        <f t="shared" si="554"/>
        <v>-105.1813923693929</v>
      </c>
      <c r="AJ660">
        <f t="shared" si="571"/>
        <v>18000</v>
      </c>
      <c r="AK660">
        <f t="shared" si="555"/>
        <v>596231.05665513605</v>
      </c>
      <c r="AL660">
        <v>35</v>
      </c>
      <c r="AM660">
        <f t="shared" si="556"/>
        <v>1173.1450884239521</v>
      </c>
      <c r="AN660">
        <f t="shared" si="557"/>
        <v>508.23839025885553</v>
      </c>
      <c r="AO660">
        <f t="shared" si="558"/>
        <v>-0.18041787245975094</v>
      </c>
      <c r="AQ660">
        <f t="shared" si="559"/>
        <v>3.5430838876733138E-5</v>
      </c>
      <c r="AR660">
        <f t="shared" si="560"/>
        <v>-0.59523809312911669</v>
      </c>
      <c r="AT660">
        <f t="shared" si="561"/>
        <v>-62.607869005767931</v>
      </c>
      <c r="AU660">
        <f t="shared" si="562"/>
        <v>-1.7243970276218203</v>
      </c>
      <c r="AV660">
        <f t="shared" si="580"/>
        <v>-3.1140567989604775</v>
      </c>
      <c r="AW660">
        <f t="shared" si="581"/>
        <v>511.47277846307725</v>
      </c>
      <c r="AX660">
        <f t="shared" si="582"/>
        <v>-423.84774296601495</v>
      </c>
      <c r="AY660">
        <f t="shared" si="590"/>
        <v>-0.69198631185238879</v>
      </c>
      <c r="BA660">
        <f t="shared" si="572"/>
        <v>9.4286732113623442E-2</v>
      </c>
      <c r="BB660">
        <f t="shared" si="583"/>
        <v>-20.510988324520191</v>
      </c>
      <c r="BC660">
        <f t="shared" si="584"/>
        <v>-2.4220704871080887</v>
      </c>
      <c r="BD660">
        <f t="shared" si="573"/>
        <v>-318.77441675306181</v>
      </c>
      <c r="BF660">
        <f t="shared" si="574"/>
        <v>-108.000070142555</v>
      </c>
      <c r="BG660">
        <f t="shared" si="575"/>
        <v>-255.01260624802859</v>
      </c>
      <c r="BH660">
        <f t="shared" si="585"/>
        <v>-75.01260624802859</v>
      </c>
      <c r="BI660">
        <f t="shared" si="586"/>
        <v>-75.01260624802859</v>
      </c>
      <c r="BJ660">
        <f t="shared" si="576"/>
        <v>0</v>
      </c>
      <c r="BK660">
        <f t="shared" si="587"/>
        <v>0</v>
      </c>
      <c r="BM660">
        <f t="shared" si="588"/>
        <v>-87.489081818034833</v>
      </c>
      <c r="BN660">
        <f t="shared" si="577"/>
        <v>-116.23818949496678</v>
      </c>
      <c r="BQ660" s="56">
        <f t="shared" si="589"/>
        <v>-3.6090275242350529</v>
      </c>
    </row>
    <row r="661" spans="1:69" x14ac:dyDescent="0.2">
      <c r="A661">
        <f t="shared" si="563"/>
        <v>8500000</v>
      </c>
      <c r="B661">
        <f t="shared" si="578"/>
        <v>8500</v>
      </c>
      <c r="C661">
        <f t="shared" si="539"/>
        <v>2.2816464641935257</v>
      </c>
      <c r="D661">
        <f t="shared" si="540"/>
        <v>1.1171121348737463</v>
      </c>
      <c r="F661">
        <f t="shared" si="541"/>
        <v>1.2163817363788519E-6</v>
      </c>
      <c r="G661">
        <f t="shared" si="542"/>
        <v>4.1551024723960933E-4</v>
      </c>
      <c r="H661">
        <f t="shared" si="564"/>
        <v>-3.1411771397527608</v>
      </c>
      <c r="J661">
        <f t="shared" si="565"/>
        <v>15</v>
      </c>
      <c r="M661">
        <f t="shared" si="543"/>
        <v>2.6549984364731307E-5</v>
      </c>
      <c r="N661">
        <f t="shared" si="566"/>
        <v>-1.5707963250000001</v>
      </c>
      <c r="O661">
        <f t="shared" si="544"/>
        <v>7977.4148628954463</v>
      </c>
      <c r="P661">
        <f t="shared" si="567"/>
        <v>1.570670972902714</v>
      </c>
      <c r="Q661">
        <f t="shared" si="545"/>
        <v>1187.1115225718743</v>
      </c>
      <c r="R661">
        <f t="shared" si="568"/>
        <v>1.5699539458565825</v>
      </c>
      <c r="S661">
        <f t="shared" si="546"/>
        <v>2.9821197275259444E-2</v>
      </c>
      <c r="T661">
        <f t="shared" si="569"/>
        <v>-1.5409707077324908</v>
      </c>
      <c r="U661">
        <f t="shared" si="547"/>
        <v>2.7275212820554472E-2</v>
      </c>
      <c r="V661">
        <f t="shared" si="570"/>
        <v>-1.5435177310006301</v>
      </c>
      <c r="X661">
        <f t="shared" si="548"/>
        <v>-101.39758612196349</v>
      </c>
      <c r="Y661">
        <f t="shared" si="549"/>
        <v>-202.7539989863138</v>
      </c>
      <c r="Z661">
        <f t="shared" si="579"/>
        <v>-22.753998986313803</v>
      </c>
      <c r="AC661">
        <v>1</v>
      </c>
      <c r="AD661">
        <f t="shared" si="550"/>
        <v>7977.4148002185002</v>
      </c>
      <c r="AE661">
        <f t="shared" si="551"/>
        <v>-76.68907036924503</v>
      </c>
      <c r="AF661">
        <f t="shared" si="552"/>
        <v>2.0924892004590001</v>
      </c>
      <c r="AG661">
        <f t="shared" si="553"/>
        <v>2.8231595352954595</v>
      </c>
      <c r="AH661">
        <f t="shared" si="554"/>
        <v>-103.9458078054441</v>
      </c>
      <c r="AJ661">
        <f t="shared" si="571"/>
        <v>18000</v>
      </c>
      <c r="AK661">
        <f t="shared" si="555"/>
        <v>603329.04542483995</v>
      </c>
      <c r="AL661">
        <v>36</v>
      </c>
      <c r="AM661">
        <f t="shared" si="556"/>
        <v>1187.1111013813802</v>
      </c>
      <c r="AN661">
        <f t="shared" si="557"/>
        <v>508.22544308875706</v>
      </c>
      <c r="AO661">
        <f t="shared" si="558"/>
        <v>0.24944249181958078</v>
      </c>
      <c r="AQ661">
        <f t="shared" si="559"/>
        <v>3.4602076004837107E-5</v>
      </c>
      <c r="AR661">
        <f t="shared" si="560"/>
        <v>-0.5882352920822308</v>
      </c>
      <c r="AT661">
        <f t="shared" si="561"/>
        <v>-61.14449492797803</v>
      </c>
      <c r="AU661">
        <f t="shared" si="562"/>
        <v>-1.6642788145813276</v>
      </c>
      <c r="AV661">
        <f t="shared" si="580"/>
        <v>-3.1143805881583653</v>
      </c>
      <c r="AW661">
        <f t="shared" si="581"/>
        <v>511.64910936693332</v>
      </c>
      <c r="AX661">
        <f t="shared" si="582"/>
        <v>-418.42728753416066</v>
      </c>
      <c r="AY661">
        <f t="shared" si="590"/>
        <v>-0.68550151169091522</v>
      </c>
      <c r="BA661">
        <f t="shared" si="572"/>
        <v>9.2543080757225643E-2</v>
      </c>
      <c r="BB661">
        <f t="shared" si="583"/>
        <v>-20.673120938824731</v>
      </c>
      <c r="BC661">
        <f t="shared" si="584"/>
        <v>-2.4288790764674499</v>
      </c>
      <c r="BD661">
        <f t="shared" si="573"/>
        <v>-319.16452018823668</v>
      </c>
      <c r="BF661">
        <f t="shared" si="574"/>
        <v>-108.28493089589043</v>
      </c>
      <c r="BG661">
        <f t="shared" si="575"/>
        <v>-255.13490256044605</v>
      </c>
      <c r="BH661">
        <f t="shared" si="585"/>
        <v>-75.134902560446051</v>
      </c>
      <c r="BI661">
        <f t="shared" si="586"/>
        <v>-75.134902560446051</v>
      </c>
      <c r="BJ661">
        <f t="shared" si="576"/>
        <v>0</v>
      </c>
      <c r="BK661">
        <f t="shared" si="587"/>
        <v>0</v>
      </c>
      <c r="BM661">
        <f t="shared" si="588"/>
        <v>-87.611809957065688</v>
      </c>
      <c r="BN661">
        <f t="shared" si="577"/>
        <v>-115.9703823722094</v>
      </c>
      <c r="BQ661" s="56">
        <f t="shared" si="589"/>
        <v>-3.771160138539595</v>
      </c>
    </row>
    <row r="662" spans="1:69" x14ac:dyDescent="0.2">
      <c r="A662">
        <f t="shared" si="563"/>
        <v>8600000</v>
      </c>
      <c r="B662">
        <f t="shared" si="578"/>
        <v>8600</v>
      </c>
      <c r="C662">
        <f t="shared" si="539"/>
        <v>2.3033574022675047</v>
      </c>
      <c r="D662">
        <f t="shared" si="540"/>
        <v>1.1217030888031692</v>
      </c>
      <c r="F662">
        <f t="shared" si="541"/>
        <v>1.1882582224613437E-6</v>
      </c>
      <c r="G662">
        <f t="shared" si="542"/>
        <v>4.1067872162166204E-4</v>
      </c>
      <c r="H662">
        <f t="shared" si="564"/>
        <v>-3.1411819712783786</v>
      </c>
      <c r="J662">
        <f t="shared" si="565"/>
        <v>15</v>
      </c>
      <c r="M662">
        <f t="shared" si="543"/>
        <v>2.6241263616304196E-5</v>
      </c>
      <c r="N662">
        <f t="shared" si="566"/>
        <v>-1.5707963250000001</v>
      </c>
      <c r="O662">
        <f t="shared" si="544"/>
        <v>8071.2668009927438</v>
      </c>
      <c r="P662">
        <f t="shared" si="567"/>
        <v>1.5706724305060966</v>
      </c>
      <c r="Q662">
        <f t="shared" si="545"/>
        <v>1201.07753063174</v>
      </c>
      <c r="R662">
        <f t="shared" si="568"/>
        <v>1.5699637409792189</v>
      </c>
      <c r="S662">
        <f t="shared" si="546"/>
        <v>2.9474742187628994E-2</v>
      </c>
      <c r="T662">
        <f t="shared" si="569"/>
        <v>-1.5413173151896933</v>
      </c>
      <c r="U662">
        <f t="shared" si="547"/>
        <v>2.6958291029173211E-2</v>
      </c>
      <c r="V662">
        <f t="shared" si="570"/>
        <v>-1.5438347693768266</v>
      </c>
      <c r="X662">
        <f t="shared" si="548"/>
        <v>-101.61993438884718</v>
      </c>
      <c r="Y662">
        <f t="shared" si="549"/>
        <v>-202.52861289962416</v>
      </c>
      <c r="Z662">
        <f t="shared" si="579"/>
        <v>-22.528612899624164</v>
      </c>
      <c r="AC662">
        <v>1</v>
      </c>
      <c r="AD662">
        <f t="shared" si="550"/>
        <v>8071.2667390445995</v>
      </c>
      <c r="AE662">
        <f t="shared" si="551"/>
        <v>-78.504133488018866</v>
      </c>
      <c r="AF662">
        <f t="shared" si="552"/>
        <v>2.1171067204643998</v>
      </c>
      <c r="AG662">
        <f t="shared" si="553"/>
        <v>2.7579338139914231</v>
      </c>
      <c r="AH662">
        <f t="shared" si="554"/>
        <v>-102.73889463493448</v>
      </c>
      <c r="AJ662">
        <f t="shared" si="571"/>
        <v>18000</v>
      </c>
      <c r="AK662">
        <f t="shared" si="555"/>
        <v>610427.03419454396</v>
      </c>
      <c r="AL662">
        <v>37</v>
      </c>
      <c r="AM662">
        <f t="shared" si="556"/>
        <v>1201.0771143388081</v>
      </c>
      <c r="AN662">
        <f t="shared" si="557"/>
        <v>508.21238994569012</v>
      </c>
      <c r="AO662">
        <f t="shared" si="558"/>
        <v>0.66928127960630945</v>
      </c>
      <c r="AQ662">
        <f t="shared" si="559"/>
        <v>3.3802055050696138E-5</v>
      </c>
      <c r="AR662">
        <f t="shared" si="560"/>
        <v>-0.58139534687197358</v>
      </c>
      <c r="AT662">
        <f t="shared" si="561"/>
        <v>-59.731822059690273</v>
      </c>
      <c r="AU662">
        <f t="shared" si="562"/>
        <v>-1.6069226722077863</v>
      </c>
      <c r="AV662">
        <f t="shared" si="580"/>
        <v>-3.1146968529257051</v>
      </c>
      <c r="AW662">
        <f t="shared" si="581"/>
        <v>511.8156904199426</v>
      </c>
      <c r="AX662">
        <f t="shared" si="582"/>
        <v>-413.13279373338969</v>
      </c>
      <c r="AY662">
        <f t="shared" si="590"/>
        <v>-0.67911007695530978</v>
      </c>
      <c r="BA662">
        <f t="shared" si="572"/>
        <v>9.0845315154357204E-2</v>
      </c>
      <c r="BB662">
        <f t="shared" si="583"/>
        <v>-20.833949282379702</v>
      </c>
      <c r="BC662">
        <f t="shared" si="584"/>
        <v>-2.4355867759703953</v>
      </c>
      <c r="BD662">
        <f t="shared" si="573"/>
        <v>-319.54884306043658</v>
      </c>
      <c r="BF662">
        <f t="shared" si="574"/>
        <v>-108.56668092068078</v>
      </c>
      <c r="BG662">
        <f t="shared" si="575"/>
        <v>-255.25645997427731</v>
      </c>
      <c r="BH662">
        <f t="shared" si="585"/>
        <v>-75.256459974277305</v>
      </c>
      <c r="BI662">
        <f t="shared" si="586"/>
        <v>-75.256459974277305</v>
      </c>
      <c r="BJ662">
        <f t="shared" si="576"/>
        <v>0</v>
      </c>
      <c r="BK662">
        <f t="shared" si="587"/>
        <v>0</v>
      </c>
      <c r="BM662">
        <f t="shared" si="588"/>
        <v>-87.73273163830109</v>
      </c>
      <c r="BN662">
        <f t="shared" si="577"/>
        <v>-115.70761691384074</v>
      </c>
      <c r="BQ662" s="56">
        <f t="shared" si="589"/>
        <v>-3.9319884820945683</v>
      </c>
    </row>
    <row r="663" spans="1:69" x14ac:dyDescent="0.2">
      <c r="A663">
        <f t="shared" si="563"/>
        <v>8700000</v>
      </c>
      <c r="B663">
        <f t="shared" si="578"/>
        <v>8700</v>
      </c>
      <c r="C663">
        <f t="shared" si="539"/>
        <v>2.3251159806557591</v>
      </c>
      <c r="D663">
        <f t="shared" si="540"/>
        <v>1.1262082113538188</v>
      </c>
      <c r="F663">
        <f t="shared" si="541"/>
        <v>1.1610989020036177E-6</v>
      </c>
      <c r="G663">
        <f t="shared" si="542"/>
        <v>4.0595826593484494E-4</v>
      </c>
      <c r="H663">
        <f t="shared" si="564"/>
        <v>-3.1411866917340654</v>
      </c>
      <c r="J663">
        <f t="shared" si="565"/>
        <v>15</v>
      </c>
      <c r="M663">
        <f t="shared" si="543"/>
        <v>2.593963989657656E-5</v>
      </c>
      <c r="N663">
        <f t="shared" si="566"/>
        <v>-1.5707963250000001</v>
      </c>
      <c r="O663">
        <f t="shared" si="544"/>
        <v>8165.118739106797</v>
      </c>
      <c r="P663">
        <f t="shared" si="567"/>
        <v>1.5706738546013557</v>
      </c>
      <c r="Q663">
        <f t="shared" si="545"/>
        <v>1215.0435388041935</v>
      </c>
      <c r="R663">
        <f t="shared" si="568"/>
        <v>1.5699733109267766</v>
      </c>
      <c r="S663">
        <f t="shared" si="546"/>
        <v>2.9136241324147605E-2</v>
      </c>
      <c r="T663">
        <f t="shared" si="569"/>
        <v>-1.5416559615027638</v>
      </c>
      <c r="U663">
        <f t="shared" si="547"/>
        <v>2.6648646944535004E-2</v>
      </c>
      <c r="V663">
        <f t="shared" si="570"/>
        <v>-1.5441445247508465</v>
      </c>
      <c r="X663">
        <f t="shared" si="548"/>
        <v>-101.83935857974356</v>
      </c>
      <c r="Y663">
        <f t="shared" si="549"/>
        <v>-202.30727962106431</v>
      </c>
      <c r="Z663">
        <f t="shared" si="579"/>
        <v>-22.307279621064311</v>
      </c>
      <c r="AC663">
        <v>1</v>
      </c>
      <c r="AD663">
        <f t="shared" si="550"/>
        <v>8165.1186778707006</v>
      </c>
      <c r="AE663">
        <f t="shared" si="551"/>
        <v>-80.340425415199405</v>
      </c>
      <c r="AF663">
        <f t="shared" si="552"/>
        <v>2.1417242404698</v>
      </c>
      <c r="AG663">
        <f t="shared" si="553"/>
        <v>2.694942174269062</v>
      </c>
      <c r="AH663">
        <f t="shared" si="554"/>
        <v>-101.55966703837939</v>
      </c>
      <c r="AJ663">
        <f t="shared" si="571"/>
        <v>18000</v>
      </c>
      <c r="AK663">
        <f t="shared" si="555"/>
        <v>617525.02296424797</v>
      </c>
      <c r="AL663">
        <v>38</v>
      </c>
      <c r="AM663">
        <f t="shared" si="556"/>
        <v>1215.0431272962362</v>
      </c>
      <c r="AN663">
        <f t="shared" si="557"/>
        <v>508.19924841101903</v>
      </c>
      <c r="AO663">
        <f t="shared" si="558"/>
        <v>1.0794443507015945</v>
      </c>
      <c r="AQ663">
        <f t="shared" si="559"/>
        <v>3.3029462171259541E-5</v>
      </c>
      <c r="AR663">
        <f t="shared" si="560"/>
        <v>-0.57471264177991599</v>
      </c>
      <c r="AT663">
        <f t="shared" si="561"/>
        <v>-58.367535529425076</v>
      </c>
      <c r="AU663">
        <f t="shared" si="562"/>
        <v>-1.5521717975988532</v>
      </c>
      <c r="AV663">
        <f t="shared" si="580"/>
        <v>-3.1150058524749791</v>
      </c>
      <c r="AW663">
        <f t="shared" si="581"/>
        <v>511.9730506881524</v>
      </c>
      <c r="AX663">
        <f t="shared" si="582"/>
        <v>-407.95993081240863</v>
      </c>
      <c r="AY663">
        <f t="shared" si="590"/>
        <v>-0.67281033434889137</v>
      </c>
      <c r="BA663">
        <f t="shared" si="572"/>
        <v>8.9191871640021778E-2</v>
      </c>
      <c r="BB663">
        <f t="shared" si="583"/>
        <v>-20.993494451207514</v>
      </c>
      <c r="BC663">
        <f t="shared" si="584"/>
        <v>-2.4421955181260877</v>
      </c>
      <c r="BD663">
        <f t="shared" si="573"/>
        <v>-319.92749609428063</v>
      </c>
      <c r="BF663">
        <f t="shared" si="574"/>
        <v>-108.84539256076891</v>
      </c>
      <c r="BG663">
        <f t="shared" si="575"/>
        <v>-255.3772589616735</v>
      </c>
      <c r="BH663">
        <f t="shared" si="585"/>
        <v>-75.377258961673505</v>
      </c>
      <c r="BI663">
        <f t="shared" si="586"/>
        <v>-75.377258961673505</v>
      </c>
      <c r="BJ663">
        <f t="shared" si="576"/>
        <v>0</v>
      </c>
      <c r="BK663">
        <f t="shared" si="587"/>
        <v>0</v>
      </c>
      <c r="BM663">
        <f t="shared" si="588"/>
        <v>-87.851898109561404</v>
      </c>
      <c r="BN663">
        <f t="shared" si="577"/>
        <v>-115.44976286739289</v>
      </c>
      <c r="BQ663" s="56">
        <f t="shared" si="589"/>
        <v>-4.0915336509223792</v>
      </c>
    </row>
    <row r="664" spans="1:69" x14ac:dyDescent="0.2">
      <c r="A664">
        <f t="shared" si="563"/>
        <v>8800000</v>
      </c>
      <c r="B664">
        <f t="shared" si="578"/>
        <v>8800</v>
      </c>
      <c r="C664">
        <f t="shared" si="539"/>
        <v>2.3469208743218575</v>
      </c>
      <c r="D664">
        <f t="shared" si="540"/>
        <v>1.1306297094101285</v>
      </c>
      <c r="F664">
        <f t="shared" si="541"/>
        <v>1.134860197934086E-6</v>
      </c>
      <c r="G664">
        <f t="shared" si="542"/>
        <v>4.0134509368740191E-4</v>
      </c>
      <c r="H664">
        <f t="shared" si="564"/>
        <v>-3.1411913049063127</v>
      </c>
      <c r="J664">
        <f t="shared" si="565"/>
        <v>15</v>
      </c>
      <c r="M664">
        <f t="shared" si="543"/>
        <v>2.5644871261388194E-5</v>
      </c>
      <c r="N664">
        <f t="shared" si="566"/>
        <v>-1.5707963250000001</v>
      </c>
      <c r="O664">
        <f t="shared" si="544"/>
        <v>8258.97067723703</v>
      </c>
      <c r="P664">
        <f t="shared" si="567"/>
        <v>1.5706752463308142</v>
      </c>
      <c r="Q664">
        <f t="shared" si="545"/>
        <v>1229.0095470853962</v>
      </c>
      <c r="R664">
        <f t="shared" si="568"/>
        <v>1.5699826633756719</v>
      </c>
      <c r="S664">
        <f t="shared" si="546"/>
        <v>2.8805423976063973E-2</v>
      </c>
      <c r="T664">
        <f t="shared" si="569"/>
        <v>-1.5419869177688259</v>
      </c>
      <c r="U664">
        <f t="shared" si="547"/>
        <v>2.6346032813519302E-2</v>
      </c>
      <c r="V664">
        <f t="shared" si="570"/>
        <v>-1.5444472451730498</v>
      </c>
      <c r="X664">
        <f t="shared" si="548"/>
        <v>-102.05593448809489</v>
      </c>
      <c r="Y664">
        <f t="shared" si="549"/>
        <v>-202.08990216210339</v>
      </c>
      <c r="Z664">
        <f t="shared" si="579"/>
        <v>-22.089902162103385</v>
      </c>
      <c r="AC664">
        <v>1</v>
      </c>
      <c r="AD664">
        <f t="shared" si="550"/>
        <v>8258.9706166968008</v>
      </c>
      <c r="AE664">
        <f t="shared" si="551"/>
        <v>-82.197946150786649</v>
      </c>
      <c r="AF664">
        <f t="shared" si="552"/>
        <v>2.1663417604752002</v>
      </c>
      <c r="AG664">
        <f t="shared" si="553"/>
        <v>2.6340837643687953</v>
      </c>
      <c r="AH664">
        <f t="shared" si="554"/>
        <v>-100.40718384736032</v>
      </c>
      <c r="AJ664">
        <f t="shared" si="571"/>
        <v>18000</v>
      </c>
      <c r="AK664">
        <f t="shared" si="555"/>
        <v>624623.01173395198</v>
      </c>
      <c r="AL664">
        <v>39</v>
      </c>
      <c r="AM664">
        <f t="shared" si="556"/>
        <v>1229.0091402536641</v>
      </c>
      <c r="AN664">
        <f t="shared" si="557"/>
        <v>508.18603463979184</v>
      </c>
      <c r="AO664">
        <f t="shared" si="558"/>
        <v>1.4802618559666616</v>
      </c>
      <c r="AQ664">
        <f t="shared" si="559"/>
        <v>3.2283057747020086E-5</v>
      </c>
      <c r="AR664">
        <f t="shared" si="560"/>
        <v>-0.56818181634755349</v>
      </c>
      <c r="AT664">
        <f t="shared" si="561"/>
        <v>-57.049451056457642</v>
      </c>
      <c r="AU664">
        <f t="shared" si="562"/>
        <v>-1.4998799485650232</v>
      </c>
      <c r="AV664">
        <f t="shared" si="580"/>
        <v>-3.1153078342502716</v>
      </c>
      <c r="AW664">
        <f t="shared" si="581"/>
        <v>512.12168652339392</v>
      </c>
      <c r="AX664">
        <f t="shared" si="582"/>
        <v>-402.90456387634651</v>
      </c>
      <c r="AY664">
        <f t="shared" si="590"/>
        <v>-0.666600642319777</v>
      </c>
      <c r="BA664">
        <f t="shared" si="572"/>
        <v>8.7581253092405706E-2</v>
      </c>
      <c r="BB664">
        <f t="shared" si="583"/>
        <v>-21.151776906279586</v>
      </c>
      <c r="BC664">
        <f t="shared" si="584"/>
        <v>-2.4487071919304944</v>
      </c>
      <c r="BD664">
        <f t="shared" si="573"/>
        <v>-320.30058752126536</v>
      </c>
      <c r="BF664">
        <f t="shared" si="574"/>
        <v>-109.12113547805475</v>
      </c>
      <c r="BG664">
        <f t="shared" si="575"/>
        <v>-255.49728152591712</v>
      </c>
      <c r="BH664">
        <f t="shared" si="585"/>
        <v>-75.497281525917117</v>
      </c>
      <c r="BI664">
        <f t="shared" si="586"/>
        <v>-75.497281525917117</v>
      </c>
      <c r="BJ664">
        <f t="shared" si="576"/>
        <v>0</v>
      </c>
      <c r="BK664">
        <f t="shared" si="587"/>
        <v>0</v>
      </c>
      <c r="BM664">
        <f t="shared" si="588"/>
        <v>-87.969358571775174</v>
      </c>
      <c r="BN664">
        <f t="shared" si="577"/>
        <v>-115.19669400465177</v>
      </c>
      <c r="BQ664" s="56">
        <f t="shared" si="589"/>
        <v>-4.2498161059944479</v>
      </c>
    </row>
    <row r="665" spans="1:69" x14ac:dyDescent="0.2">
      <c r="A665">
        <f t="shared" si="563"/>
        <v>8900000</v>
      </c>
      <c r="B665">
        <f t="shared" si="578"/>
        <v>8900</v>
      </c>
      <c r="C665">
        <f t="shared" si="539"/>
        <v>2.3687708042487232</v>
      </c>
      <c r="D665">
        <f t="shared" si="540"/>
        <v>1.1349697217690491</v>
      </c>
      <c r="F665">
        <f t="shared" si="541"/>
        <v>1.1095009675032459E-6</v>
      </c>
      <c r="G665">
        <f t="shared" si="542"/>
        <v>3.9683558856791105E-4</v>
      </c>
      <c r="H665">
        <f t="shared" si="564"/>
        <v>-3.1411958144114323</v>
      </c>
      <c r="J665">
        <f t="shared" si="565"/>
        <v>15</v>
      </c>
      <c r="M665">
        <f t="shared" si="543"/>
        <v>2.5356726640473716E-5</v>
      </c>
      <c r="N665">
        <f t="shared" si="566"/>
        <v>-1.5707963250000001</v>
      </c>
      <c r="O665">
        <f t="shared" si="544"/>
        <v>8352.8226153829055</v>
      </c>
      <c r="P665">
        <f t="shared" si="567"/>
        <v>1.5706766067854536</v>
      </c>
      <c r="Q665">
        <f t="shared" si="545"/>
        <v>1242.9755554716826</v>
      </c>
      <c r="R665">
        <f t="shared" si="568"/>
        <v>1.5699918056573139</v>
      </c>
      <c r="S665">
        <f t="shared" si="546"/>
        <v>2.8482031576047125E-2</v>
      </c>
      <c r="T665">
        <f t="shared" si="569"/>
        <v>-1.5423104429177208</v>
      </c>
      <c r="U665">
        <f t="shared" si="547"/>
        <v>2.6050211998636559E-2</v>
      </c>
      <c r="V665">
        <f t="shared" si="570"/>
        <v>-1.5447431675583692</v>
      </c>
      <c r="X665">
        <f t="shared" si="548"/>
        <v>-102.26973506652884</v>
      </c>
      <c r="Y665">
        <f t="shared" si="549"/>
        <v>-201.87638611314773</v>
      </c>
      <c r="Z665">
        <f t="shared" si="579"/>
        <v>-21.876386113147731</v>
      </c>
      <c r="AC665">
        <v>1</v>
      </c>
      <c r="AD665">
        <f t="shared" si="550"/>
        <v>8352.8225555229001</v>
      </c>
      <c r="AE665">
        <f t="shared" si="551"/>
        <v>-84.076695694780611</v>
      </c>
      <c r="AF665">
        <f t="shared" si="552"/>
        <v>2.1909592804806</v>
      </c>
      <c r="AG665">
        <f t="shared" si="553"/>
        <v>2.575263358563701</v>
      </c>
      <c r="AH665">
        <f t="shared" si="554"/>
        <v>-99.280546046553994</v>
      </c>
      <c r="AJ665">
        <f t="shared" si="571"/>
        <v>18000</v>
      </c>
      <c r="AK665">
        <f t="shared" si="555"/>
        <v>631721.00050365599</v>
      </c>
      <c r="AL665">
        <v>40</v>
      </c>
      <c r="AM665">
        <f t="shared" si="556"/>
        <v>1242.975153211092</v>
      </c>
      <c r="AN665">
        <f t="shared" si="557"/>
        <v>508.17276347572522</v>
      </c>
      <c r="AO665">
        <f t="shared" si="558"/>
        <v>1.8720491178103487</v>
      </c>
      <c r="AQ665">
        <f t="shared" si="559"/>
        <v>3.1561671406509055E-5</v>
      </c>
      <c r="AR665">
        <f t="shared" si="560"/>
        <v>-0.56179775103586116</v>
      </c>
      <c r="AT665">
        <f t="shared" si="561"/>
        <v>-55.775506210950383</v>
      </c>
      <c r="AU665">
        <f t="shared" si="562"/>
        <v>-1.4499106231375258</v>
      </c>
      <c r="AV665">
        <f t="shared" si="580"/>
        <v>-3.1156030345874868</v>
      </c>
      <c r="AW665">
        <f t="shared" si="581"/>
        <v>512.26206388165963</v>
      </c>
      <c r="AX665">
        <f t="shared" si="582"/>
        <v>-397.96274296213687</v>
      </c>
      <c r="AY665">
        <f t="shared" si="590"/>
        <v>-0.66047939046415427</v>
      </c>
      <c r="BA665">
        <f t="shared" si="572"/>
        <v>8.6012025441461484E-2</v>
      </c>
      <c r="BB665">
        <f t="shared" si="583"/>
        <v>-21.308816505881097</v>
      </c>
      <c r="BC665">
        <f t="shared" si="584"/>
        <v>-2.4551236441233324</v>
      </c>
      <c r="BD665">
        <f t="shared" si="573"/>
        <v>-320.66822315178251</v>
      </c>
      <c r="BF665">
        <f t="shared" si="574"/>
        <v>-109.39397678685651</v>
      </c>
      <c r="BG665">
        <f t="shared" si="575"/>
        <v>-255.6165111405607</v>
      </c>
      <c r="BH665">
        <f t="shared" si="585"/>
        <v>-75.616511140560704</v>
      </c>
      <c r="BI665">
        <f t="shared" si="586"/>
        <v>-75.616511140560704</v>
      </c>
      <c r="BJ665">
        <f t="shared" si="576"/>
        <v>0</v>
      </c>
      <c r="BK665">
        <f t="shared" si="587"/>
        <v>0</v>
      </c>
      <c r="BM665">
        <f t="shared" si="588"/>
        <v>-88.08516028097543</v>
      </c>
      <c r="BN665">
        <f t="shared" si="577"/>
        <v>-114.94828798877823</v>
      </c>
      <c r="BQ665" s="56">
        <f t="shared" si="589"/>
        <v>-4.4068557055959596</v>
      </c>
    </row>
    <row r="666" spans="1:69" x14ac:dyDescent="0.2">
      <c r="A666">
        <f t="shared" si="563"/>
        <v>9000000</v>
      </c>
      <c r="B666">
        <f t="shared" si="578"/>
        <v>9000</v>
      </c>
      <c r="C666">
        <f t="shared" si="539"/>
        <v>2.3906645355844485</v>
      </c>
      <c r="D666">
        <f t="shared" si="540"/>
        <v>1.1392303214010293</v>
      </c>
      <c r="F666">
        <f t="shared" si="541"/>
        <v>1.0849823409036625E-6</v>
      </c>
      <c r="G666">
        <f t="shared" si="542"/>
        <v>3.9242629499076107E-4</v>
      </c>
      <c r="H666">
        <f t="shared" si="564"/>
        <v>-3.1412002237050096</v>
      </c>
      <c r="J666">
        <f t="shared" si="565"/>
        <v>15</v>
      </c>
      <c r="M666">
        <f t="shared" si="543"/>
        <v>2.5074985233357345E-5</v>
      </c>
      <c r="N666">
        <f t="shared" si="566"/>
        <v>-1.5707963250000001</v>
      </c>
      <c r="O666">
        <f t="shared" si="544"/>
        <v>8446.6745535438931</v>
      </c>
      <c r="P666">
        <f t="shared" si="567"/>
        <v>1.5706779370077684</v>
      </c>
      <c r="Q666">
        <f t="shared" si="545"/>
        <v>1256.94156395955</v>
      </c>
      <c r="R666">
        <f t="shared" si="568"/>
        <v>1.5700007447772715</v>
      </c>
      <c r="S666">
        <f t="shared" si="546"/>
        <v>2.8165817025317015E-2</v>
      </c>
      <c r="T666">
        <f t="shared" si="569"/>
        <v>-1.542626784386864</v>
      </c>
      <c r="U666">
        <f t="shared" si="547"/>
        <v>2.5760958361759564E-2</v>
      </c>
      <c r="V666">
        <f t="shared" si="570"/>
        <v>-1.5450325183041</v>
      </c>
      <c r="X666">
        <f t="shared" si="548"/>
        <v>-102.48083056261956</v>
      </c>
      <c r="Y666">
        <f t="shared" si="549"/>
        <v>-201.66663958733886</v>
      </c>
      <c r="Z666">
        <f t="shared" si="579"/>
        <v>-21.666639587338864</v>
      </c>
      <c r="AC666">
        <v>1</v>
      </c>
      <c r="AD666">
        <f t="shared" si="550"/>
        <v>8446.6744943489994</v>
      </c>
      <c r="AE666">
        <f t="shared" si="551"/>
        <v>-85.976674047181277</v>
      </c>
      <c r="AF666">
        <f t="shared" si="552"/>
        <v>2.2155768004860001</v>
      </c>
      <c r="AG666">
        <f t="shared" si="553"/>
        <v>2.5183909847816075</v>
      </c>
      <c r="AH666">
        <f t="shared" si="554"/>
        <v>-98.178894441489547</v>
      </c>
      <c r="AJ666">
        <f t="shared" si="571"/>
        <v>18000</v>
      </c>
      <c r="AK666">
        <f t="shared" si="555"/>
        <v>638818.98927336</v>
      </c>
      <c r="AL666">
        <v>41</v>
      </c>
      <c r="AM666">
        <f t="shared" si="556"/>
        <v>1256.9411661685201</v>
      </c>
      <c r="AN666">
        <f t="shared" si="557"/>
        <v>508.1594485562299</v>
      </c>
      <c r="AO666">
        <f t="shared" si="558"/>
        <v>2.2551074522014627</v>
      </c>
      <c r="AQ666">
        <f t="shared" si="559"/>
        <v>3.0864197435604332E-5</v>
      </c>
      <c r="AR666">
        <f t="shared" si="560"/>
        <v>-0.55555555384087796</v>
      </c>
      <c r="AT666">
        <f t="shared" si="561"/>
        <v>-54.543752348810244</v>
      </c>
      <c r="AU666">
        <f t="shared" si="562"/>
        <v>-1.4021363111202714</v>
      </c>
      <c r="AV666">
        <f t="shared" si="580"/>
        <v>-3.1158916793306264</v>
      </c>
      <c r="AW666">
        <f t="shared" si="581"/>
        <v>512.39462045535367</v>
      </c>
      <c r="AX666">
        <f t="shared" si="582"/>
        <v>-393.13069283551653</v>
      </c>
      <c r="AY666">
        <f t="shared" si="590"/>
        <v>-0.65444499895034036</v>
      </c>
      <c r="BA666">
        <f t="shared" si="572"/>
        <v>8.4482814400895487E-2</v>
      </c>
      <c r="BB666">
        <f t="shared" si="583"/>
        <v>-21.464632535783981</v>
      </c>
      <c r="BC666">
        <f t="shared" si="584"/>
        <v>-2.4614466803802859</v>
      </c>
      <c r="BD666">
        <f t="shared" si="573"/>
        <v>-321.03050644342812</v>
      </c>
      <c r="BF666">
        <f t="shared" si="574"/>
        <v>-109.66398118010656</v>
      </c>
      <c r="BG666">
        <f t="shared" si="575"/>
        <v>-255.73493268873281</v>
      </c>
      <c r="BH666">
        <f t="shared" si="585"/>
        <v>-75.734932688732812</v>
      </c>
      <c r="BI666">
        <f t="shared" si="586"/>
        <v>-75.734932688732812</v>
      </c>
      <c r="BJ666">
        <f t="shared" si="576"/>
        <v>0</v>
      </c>
      <c r="BK666">
        <f t="shared" si="587"/>
        <v>0</v>
      </c>
      <c r="BM666">
        <f t="shared" si="588"/>
        <v>-88.199348644322569</v>
      </c>
      <c r="BN666">
        <f t="shared" si="577"/>
        <v>-114.70442624530473</v>
      </c>
      <c r="BQ666" s="56">
        <f t="shared" si="589"/>
        <v>-4.5626717354988431</v>
      </c>
    </row>
    <row r="667" spans="1:69" x14ac:dyDescent="0.2">
      <c r="A667">
        <f t="shared" si="563"/>
        <v>9100000</v>
      </c>
      <c r="B667">
        <f t="shared" si="578"/>
        <v>9100</v>
      </c>
      <c r="C667">
        <f t="shared" si="539"/>
        <v>2.4126008758698281</v>
      </c>
      <c r="D667">
        <f t="shared" si="540"/>
        <v>1.1434135176430631</v>
      </c>
      <c r="F667">
        <f t="shared" si="541"/>
        <v>1.0612675722349693E-6</v>
      </c>
      <c r="G667">
        <f t="shared" si="542"/>
        <v>3.8811390926500692E-4</v>
      </c>
      <c r="H667">
        <f t="shared" si="564"/>
        <v>-3.141204536090735</v>
      </c>
      <c r="J667">
        <f t="shared" si="565"/>
        <v>15</v>
      </c>
      <c r="M667">
        <f t="shared" si="543"/>
        <v>2.4799435945078692E-5</v>
      </c>
      <c r="N667">
        <f t="shared" si="566"/>
        <v>-1.5707963250000001</v>
      </c>
      <c r="O667">
        <f t="shared" si="544"/>
        <v>8540.5264917195018</v>
      </c>
      <c r="P667">
        <f t="shared" si="567"/>
        <v>1.5706792379944281</v>
      </c>
      <c r="Q667">
        <f t="shared" si="545"/>
        <v>1270.9075725456494</v>
      </c>
      <c r="R667">
        <f t="shared" si="568"/>
        <v>1.5700094874331774</v>
      </c>
      <c r="S667">
        <f t="shared" si="546"/>
        <v>2.7856544065015223E-2</v>
      </c>
      <c r="T667">
        <f t="shared" si="569"/>
        <v>-1.5429361787516886</v>
      </c>
      <c r="U667">
        <f t="shared" si="547"/>
        <v>2.5478055688392238E-2</v>
      </c>
      <c r="V667">
        <f t="shared" si="570"/>
        <v>-1.54531551386702</v>
      </c>
      <c r="X667">
        <f t="shared" si="548"/>
        <v>-102.68928864689734</v>
      </c>
      <c r="Y667">
        <f t="shared" si="549"/>
        <v>-201.46057316341745</v>
      </c>
      <c r="Z667">
        <f t="shared" si="579"/>
        <v>-21.46057316341745</v>
      </c>
      <c r="AC667">
        <v>1</v>
      </c>
      <c r="AD667">
        <f t="shared" si="550"/>
        <v>8540.5264331750986</v>
      </c>
      <c r="AE667">
        <f t="shared" si="551"/>
        <v>-87.897881207988661</v>
      </c>
      <c r="AF667">
        <f t="shared" si="552"/>
        <v>2.2401943204913999</v>
      </c>
      <c r="AG667">
        <f t="shared" si="553"/>
        <v>2.4633815806619737</v>
      </c>
      <c r="AH667">
        <f t="shared" si="554"/>
        <v>-97.101407479355558</v>
      </c>
      <c r="AJ667">
        <f t="shared" si="571"/>
        <v>18000</v>
      </c>
      <c r="AK667">
        <f t="shared" si="555"/>
        <v>645916.97804306401</v>
      </c>
      <c r="AL667">
        <v>42</v>
      </c>
      <c r="AM667">
        <f t="shared" si="556"/>
        <v>1270.9071791259482</v>
      </c>
      <c r="AN667">
        <f t="shared" si="557"/>
        <v>508.14610240841466</v>
      </c>
      <c r="AO667">
        <f t="shared" si="558"/>
        <v>2.6297249366802156</v>
      </c>
      <c r="AQ667">
        <f t="shared" si="559"/>
        <v>3.018959053800993E-5</v>
      </c>
      <c r="AR667">
        <f t="shared" si="560"/>
        <v>-0.54945054779178071</v>
      </c>
      <c r="AT667">
        <f t="shared" si="561"/>
        <v>-53.352347162403568</v>
      </c>
      <c r="AU667">
        <f t="shared" si="562"/>
        <v>-1.3564378106473702</v>
      </c>
      <c r="AV667">
        <f t="shared" si="580"/>
        <v>-3.1161739844074954</v>
      </c>
      <c r="AW667">
        <f t="shared" si="581"/>
        <v>512.5197676361239</v>
      </c>
      <c r="AX667">
        <f t="shared" si="582"/>
        <v>-388.4048034547547</v>
      </c>
      <c r="AY667">
        <f t="shared" si="590"/>
        <v>-0.64849591796107198</v>
      </c>
      <c r="BA667">
        <f t="shared" si="572"/>
        <v>8.2992302406502128E-2</v>
      </c>
      <c r="BB667">
        <f t="shared" si="583"/>
        <v>-21.619243737396374</v>
      </c>
      <c r="BC667">
        <f t="shared" si="584"/>
        <v>-2.4676780664464233</v>
      </c>
      <c r="BD667">
        <f t="shared" si="573"/>
        <v>-321.38753856594241</v>
      </c>
      <c r="BF667">
        <f t="shared" si="574"/>
        <v>-109.93121104794808</v>
      </c>
      <c r="BG667">
        <f t="shared" si="575"/>
        <v>-255.85253240293167</v>
      </c>
      <c r="BH667">
        <f t="shared" si="585"/>
        <v>-75.852532402931672</v>
      </c>
      <c r="BI667">
        <f t="shared" si="586"/>
        <v>-75.852532402931672</v>
      </c>
      <c r="BJ667">
        <f t="shared" si="576"/>
        <v>0</v>
      </c>
      <c r="BK667">
        <f t="shared" si="587"/>
        <v>0</v>
      </c>
      <c r="BM667">
        <f t="shared" si="588"/>
        <v>-88.311967310551708</v>
      </c>
      <c r="BN667">
        <f t="shared" si="577"/>
        <v>-114.46499383698931</v>
      </c>
      <c r="BQ667" s="56">
        <f t="shared" si="589"/>
        <v>-4.7172829371112375</v>
      </c>
    </row>
    <row r="668" spans="1:69" x14ac:dyDescent="0.2">
      <c r="A668">
        <f t="shared" si="563"/>
        <v>9200000</v>
      </c>
      <c r="B668">
        <f t="shared" si="578"/>
        <v>9200</v>
      </c>
      <c r="C668">
        <f t="shared" si="539"/>
        <v>2.4345786733439345</v>
      </c>
      <c r="D668">
        <f t="shared" si="540"/>
        <v>1.1475212583244336</v>
      </c>
      <c r="F668">
        <f t="shared" si="541"/>
        <v>1.0383219017463129E-6</v>
      </c>
      <c r="G668">
        <f t="shared" si="542"/>
        <v>3.8389527133917404E-4</v>
      </c>
      <c r="H668">
        <f t="shared" si="564"/>
        <v>-3.1412087547286611</v>
      </c>
      <c r="J668">
        <f t="shared" si="565"/>
        <v>15</v>
      </c>
      <c r="M668">
        <f t="shared" si="543"/>
        <v>2.4529876858719137E-5</v>
      </c>
      <c r="N668">
        <f t="shared" si="566"/>
        <v>-1.5707963250000001</v>
      </c>
      <c r="O668">
        <f t="shared" si="544"/>
        <v>8634.3784299092476</v>
      </c>
      <c r="P668">
        <f t="shared" si="567"/>
        <v>1.5706805106987696</v>
      </c>
      <c r="Q668">
        <f t="shared" si="545"/>
        <v>1284.8735812267776</v>
      </c>
      <c r="R668">
        <f t="shared" si="568"/>
        <v>1.5700180400314625</v>
      </c>
      <c r="S668">
        <f t="shared" si="546"/>
        <v>2.7553986688460298E-2</v>
      </c>
      <c r="T668">
        <f t="shared" si="569"/>
        <v>-1.5432388523150495</v>
      </c>
      <c r="U668">
        <f t="shared" si="547"/>
        <v>2.5201297149399598E-2</v>
      </c>
      <c r="V668">
        <f t="shared" si="570"/>
        <v>-1.5455923613029292</v>
      </c>
      <c r="X668">
        <f t="shared" si="548"/>
        <v>-102.89517453361606</v>
      </c>
      <c r="Y668">
        <f t="shared" si="549"/>
        <v>-201.25809982798222</v>
      </c>
      <c r="Z668">
        <f t="shared" si="579"/>
        <v>-21.258099827982221</v>
      </c>
      <c r="AC668">
        <v>1</v>
      </c>
      <c r="AD668">
        <f t="shared" si="550"/>
        <v>8634.3783720011998</v>
      </c>
      <c r="AE668">
        <f t="shared" si="551"/>
        <v>-89.840317177202778</v>
      </c>
      <c r="AF668">
        <f t="shared" si="552"/>
        <v>2.2648118404968001</v>
      </c>
      <c r="AG668">
        <f t="shared" si="553"/>
        <v>2.410154675593414</v>
      </c>
      <c r="AH668">
        <f t="shared" si="554"/>
        <v>-96.047299211273241</v>
      </c>
      <c r="AJ668">
        <f t="shared" si="571"/>
        <v>18000</v>
      </c>
      <c r="AK668">
        <f t="shared" si="555"/>
        <v>653014.96681276802</v>
      </c>
      <c r="AL668">
        <v>43</v>
      </c>
      <c r="AM668">
        <f t="shared" si="556"/>
        <v>1284.8731920833761</v>
      </c>
      <c r="AN668">
        <f t="shared" si="557"/>
        <v>508.13273653691289</v>
      </c>
      <c r="AO668">
        <f t="shared" si="558"/>
        <v>2.9961771284566154</v>
      </c>
      <c r="AQ668">
        <f t="shared" si="559"/>
        <v>2.9536861916538098E-5</v>
      </c>
      <c r="AR668">
        <f t="shared" si="560"/>
        <v>-0.54347825926430093</v>
      </c>
      <c r="AT668">
        <f t="shared" si="561"/>
        <v>-52.199547793974396</v>
      </c>
      <c r="AU668">
        <f t="shared" si="562"/>
        <v>-1.3127036034634842</v>
      </c>
      <c r="AV668">
        <f t="shared" si="580"/>
        <v>-3.1164501563679194</v>
      </c>
      <c r="AW668">
        <f t="shared" si="581"/>
        <v>512.63789232332078</v>
      </c>
      <c r="AX668">
        <f t="shared" si="582"/>
        <v>-383.78162105093509</v>
      </c>
      <c r="AY668">
        <f t="shared" si="590"/>
        <v>-0.64263062715184505</v>
      </c>
      <c r="BA668">
        <f t="shared" si="572"/>
        <v>8.1539225745292515E-2</v>
      </c>
      <c r="BB668">
        <f t="shared" si="583"/>
        <v>-21.772668334043072</v>
      </c>
      <c r="BC668">
        <f t="shared" si="584"/>
        <v>-2.4738195292160743</v>
      </c>
      <c r="BD668">
        <f t="shared" si="573"/>
        <v>-321.73941846308219</v>
      </c>
      <c r="BF668">
        <f t="shared" si="574"/>
        <v>-110.19572658925526</v>
      </c>
      <c r="BG668">
        <f t="shared" si="575"/>
        <v>-255.96929780557457</v>
      </c>
      <c r="BH668">
        <f t="shared" si="585"/>
        <v>-75.96929780557457</v>
      </c>
      <c r="BI668">
        <f t="shared" si="586"/>
        <v>-75.96929780557457</v>
      </c>
      <c r="BJ668">
        <f t="shared" si="576"/>
        <v>0</v>
      </c>
      <c r="BK668">
        <f t="shared" si="587"/>
        <v>0</v>
      </c>
      <c r="BM668">
        <f t="shared" si="588"/>
        <v>-88.423058255212197</v>
      </c>
      <c r="BN668">
        <f t="shared" si="577"/>
        <v>-114.22987934249238</v>
      </c>
      <c r="BQ668" s="56">
        <f t="shared" si="589"/>
        <v>-4.8707075337579351</v>
      </c>
    </row>
    <row r="669" spans="1:69" x14ac:dyDescent="0.2">
      <c r="A669">
        <f t="shared" si="563"/>
        <v>9300000</v>
      </c>
      <c r="B669">
        <f t="shared" si="578"/>
        <v>9300</v>
      </c>
      <c r="C669">
        <f t="shared" si="539"/>
        <v>2.4565968153241902</v>
      </c>
      <c r="D669">
        <f t="shared" si="540"/>
        <v>1.1515554318259842</v>
      </c>
      <c r="F669">
        <f t="shared" si="541"/>
        <v>1.0161124283914068E-6</v>
      </c>
      <c r="G669">
        <f t="shared" si="542"/>
        <v>3.7976735707865981E-4</v>
      </c>
      <c r="H669">
        <f t="shared" si="564"/>
        <v>-3.1412128826429218</v>
      </c>
      <c r="J669">
        <f t="shared" si="565"/>
        <v>15</v>
      </c>
      <c r="M669">
        <f t="shared" si="543"/>
        <v>2.426611474195872E-5</v>
      </c>
      <c r="N669">
        <f t="shared" si="566"/>
        <v>-1.5707963250000001</v>
      </c>
      <c r="O669">
        <f t="shared" si="544"/>
        <v>8728.2303681126796</v>
      </c>
      <c r="P669">
        <f t="shared" si="567"/>
        <v>1.5706817560331257</v>
      </c>
      <c r="Q669">
        <f t="shared" si="545"/>
        <v>1298.8395899998693</v>
      </c>
      <c r="R669">
        <f t="shared" si="568"/>
        <v>1.5700264087030129</v>
      </c>
      <c r="S669">
        <f t="shared" si="546"/>
        <v>2.7257928591219938E-2</v>
      </c>
      <c r="T669">
        <f t="shared" si="569"/>
        <v>-1.5435350216586672</v>
      </c>
      <c r="U669">
        <f t="shared" si="547"/>
        <v>2.4930484797386621E-2</v>
      </c>
      <c r="V669">
        <f t="shared" si="570"/>
        <v>-1.5458632587714327</v>
      </c>
      <c r="X669">
        <f t="shared" si="548"/>
        <v>-103.09855109475008</v>
      </c>
      <c r="Y669">
        <f t="shared" si="549"/>
        <v>-201.05913491743166</v>
      </c>
      <c r="Z669">
        <f t="shared" si="579"/>
        <v>-21.059134917431663</v>
      </c>
      <c r="AC669">
        <v>1</v>
      </c>
      <c r="AD669">
        <f t="shared" si="550"/>
        <v>8728.230310827299</v>
      </c>
      <c r="AE669">
        <f t="shared" si="551"/>
        <v>-91.80398195482357</v>
      </c>
      <c r="AF669">
        <f t="shared" si="552"/>
        <v>2.2894293605021998</v>
      </c>
      <c r="AG669">
        <f t="shared" si="553"/>
        <v>2.3586340965134194</v>
      </c>
      <c r="AH669">
        <f t="shared" si="554"/>
        <v>-95.015817385443427</v>
      </c>
      <c r="AJ669">
        <f t="shared" si="571"/>
        <v>18000</v>
      </c>
      <c r="AK669">
        <f t="shared" si="555"/>
        <v>660112.95558247203</v>
      </c>
      <c r="AL669">
        <v>44</v>
      </c>
      <c r="AM669">
        <f t="shared" si="556"/>
        <v>1298.839205040804</v>
      </c>
      <c r="AN669">
        <f t="shared" si="557"/>
        <v>508.11936150429034</v>
      </c>
      <c r="AO669">
        <f t="shared" si="558"/>
        <v>3.3547277363342989</v>
      </c>
      <c r="AQ669">
        <f t="shared" si="559"/>
        <v>2.8905075647748077E-5</v>
      </c>
      <c r="AR669">
        <f t="shared" si="560"/>
        <v>-0.53763440704811416</v>
      </c>
      <c r="AT669">
        <f t="shared" si="561"/>
        <v>-51.083704463717787</v>
      </c>
      <c r="AU669">
        <f t="shared" si="562"/>
        <v>-1.2708292833117156</v>
      </c>
      <c r="AV669">
        <f t="shared" si="580"/>
        <v>-3.116720392887292</v>
      </c>
      <c r="AW669">
        <f t="shared" si="581"/>
        <v>512.74935859166249</v>
      </c>
      <c r="AX669">
        <f t="shared" si="582"/>
        <v>-379.25783977887482</v>
      </c>
      <c r="AY669">
        <f t="shared" si="590"/>
        <v>-0.6368476351234309</v>
      </c>
      <c r="BA669">
        <f t="shared" si="572"/>
        <v>8.0122371861223243E-2</v>
      </c>
      <c r="BB669">
        <f t="shared" si="583"/>
        <v>-21.924924055518773</v>
      </c>
      <c r="BC669">
        <f t="shared" si="584"/>
        <v>-2.4798727577638608</v>
      </c>
      <c r="BD669">
        <f t="shared" si="573"/>
        <v>-322.08624291169474</v>
      </c>
      <c r="BF669">
        <f t="shared" si="574"/>
        <v>-110.45758591655938</v>
      </c>
      <c r="BG669">
        <f t="shared" si="575"/>
        <v>-256.08521765052626</v>
      </c>
      <c r="BH669">
        <f t="shared" si="585"/>
        <v>-76.085217650526261</v>
      </c>
      <c r="BI669">
        <f t="shared" si="586"/>
        <v>-76.085217650526261</v>
      </c>
      <c r="BJ669">
        <f t="shared" si="576"/>
        <v>0</v>
      </c>
      <c r="BK669">
        <f t="shared" si="587"/>
        <v>0</v>
      </c>
      <c r="BM669">
        <f t="shared" si="588"/>
        <v>-88.532661861040623</v>
      </c>
      <c r="BN669">
        <f t="shared" si="577"/>
        <v>-113.99897473883152</v>
      </c>
      <c r="BQ669" s="56">
        <f t="shared" si="589"/>
        <v>-5.0229632552336341</v>
      </c>
    </row>
    <row r="670" spans="1:69" x14ac:dyDescent="0.2">
      <c r="A670">
        <f t="shared" si="563"/>
        <v>9400000</v>
      </c>
      <c r="B670">
        <f t="shared" si="578"/>
        <v>9400</v>
      </c>
      <c r="C670">
        <f t="shared" si="539"/>
        <v>2.4786542266575609</v>
      </c>
      <c r="D670">
        <f t="shared" si="540"/>
        <v>1.1555178690739074</v>
      </c>
      <c r="F670">
        <f t="shared" si="541"/>
        <v>9.9460799182324239E-7</v>
      </c>
      <c r="G670">
        <f t="shared" si="542"/>
        <v>3.7572727103606963E-4</v>
      </c>
      <c r="H670">
        <f t="shared" si="564"/>
        <v>-3.1412169227289644</v>
      </c>
      <c r="J670">
        <f t="shared" si="565"/>
        <v>15</v>
      </c>
      <c r="M670">
        <f t="shared" si="543"/>
        <v>2.400796458512937E-5</v>
      </c>
      <c r="N670">
        <f t="shared" si="566"/>
        <v>-1.5707963250000001</v>
      </c>
      <c r="O670">
        <f t="shared" si="544"/>
        <v>8822.0823063293628</v>
      </c>
      <c r="P670">
        <f t="shared" si="567"/>
        <v>1.5706829748710063</v>
      </c>
      <c r="Q670">
        <f t="shared" si="545"/>
        <v>1312.8055988619892</v>
      </c>
      <c r="R670">
        <f t="shared" si="568"/>
        <v>1.5700345993178264</v>
      </c>
      <c r="S670">
        <f t="shared" si="546"/>
        <v>2.6968162656192438E-2</v>
      </c>
      <c r="T670">
        <f t="shared" si="569"/>
        <v>-1.5438248941594361</v>
      </c>
      <c r="U670">
        <f t="shared" si="547"/>
        <v>2.4665429095152264E-2</v>
      </c>
      <c r="V670">
        <f t="shared" si="570"/>
        <v>-1.5461283960085512</v>
      </c>
      <c r="X670">
        <f t="shared" si="548"/>
        <v>-103.29947896765776</v>
      </c>
      <c r="Y670">
        <f t="shared" si="549"/>
        <v>-200.86359605983864</v>
      </c>
      <c r="Z670">
        <f t="shared" si="579"/>
        <v>-20.863596059838642</v>
      </c>
      <c r="AC670">
        <v>1</v>
      </c>
      <c r="AD670">
        <f t="shared" si="550"/>
        <v>8822.0822496534001</v>
      </c>
      <c r="AE670">
        <f t="shared" si="551"/>
        <v>-93.78887554085108</v>
      </c>
      <c r="AF670">
        <f t="shared" si="552"/>
        <v>2.3140468805076</v>
      </c>
      <c r="AG670">
        <f t="shared" si="553"/>
        <v>2.3087476954626118</v>
      </c>
      <c r="AH670">
        <f t="shared" si="554"/>
        <v>-94.006241661470597</v>
      </c>
      <c r="AJ670">
        <f t="shared" si="571"/>
        <v>18000</v>
      </c>
      <c r="AK670">
        <f t="shared" si="555"/>
        <v>667210.94435217604</v>
      </c>
      <c r="AL670">
        <v>45</v>
      </c>
      <c r="AM670">
        <f t="shared" si="556"/>
        <v>1312.8052179982321</v>
      </c>
      <c r="AN670">
        <f t="shared" si="557"/>
        <v>508.10598700471462</v>
      </c>
      <c r="AO670">
        <f t="shared" si="558"/>
        <v>3.7056292498821488</v>
      </c>
      <c r="AQ670">
        <f t="shared" si="559"/>
        <v>2.8293345325109367E-5</v>
      </c>
      <c r="AR670">
        <f t="shared" si="560"/>
        <v>-0.53191489211205611</v>
      </c>
      <c r="AT670">
        <f t="shared" si="561"/>
        <v>-50.003254569025188</v>
      </c>
      <c r="AU670">
        <f t="shared" si="562"/>
        <v>-1.2307170324039971</v>
      </c>
      <c r="AV670">
        <f t="shared" si="580"/>
        <v>-3.1169848832380267</v>
      </c>
      <c r="AW670">
        <f t="shared" si="581"/>
        <v>512.8545092303541</v>
      </c>
      <c r="AX670">
        <f t="shared" si="582"/>
        <v>-374.83029389662369</v>
      </c>
      <c r="AY670">
        <f t="shared" si="590"/>
        <v>-0.6311454789069858</v>
      </c>
      <c r="BA670">
        <f t="shared" si="572"/>
        <v>7.874057682455575E-2</v>
      </c>
      <c r="BB670">
        <f t="shared" si="583"/>
        <v>-22.076028161044306</v>
      </c>
      <c r="BC670">
        <f t="shared" si="584"/>
        <v>-2.485839404331041</v>
      </c>
      <c r="BD670">
        <f t="shared" si="573"/>
        <v>-322.42810657823105</v>
      </c>
      <c r="BF670">
        <f t="shared" si="574"/>
        <v>-110.71684515482779</v>
      </c>
      <c r="BG670">
        <f t="shared" si="575"/>
        <v>-256.20028186579106</v>
      </c>
      <c r="BH670">
        <f t="shared" si="585"/>
        <v>-76.200281865791055</v>
      </c>
      <c r="BI670">
        <f t="shared" si="586"/>
        <v>-76.200281865791055</v>
      </c>
      <c r="BJ670">
        <f t="shared" si="576"/>
        <v>0</v>
      </c>
      <c r="BK670">
        <f t="shared" si="587"/>
        <v>0</v>
      </c>
      <c r="BM670">
        <f t="shared" si="588"/>
        <v>-88.640816993783488</v>
      </c>
      <c r="BN670">
        <f t="shared" si="577"/>
        <v>-113.77217528756003</v>
      </c>
      <c r="BQ670" s="56">
        <f t="shared" si="589"/>
        <v>-5.1740673607591701</v>
      </c>
    </row>
    <row r="671" spans="1:69" x14ac:dyDescent="0.2">
      <c r="A671">
        <f t="shared" si="563"/>
        <v>9500000</v>
      </c>
      <c r="B671">
        <f t="shared" si="578"/>
        <v>9500</v>
      </c>
      <c r="C671">
        <f t="shared" si="539"/>
        <v>2.5007498682396085</v>
      </c>
      <c r="D671">
        <f t="shared" si="540"/>
        <v>1.1594103454691898</v>
      </c>
      <c r="F671">
        <f t="shared" si="541"/>
        <v>9.7377906303776821E-7</v>
      </c>
      <c r="G671">
        <f t="shared" si="542"/>
        <v>3.7177223967816732E-4</v>
      </c>
      <c r="H671">
        <f t="shared" si="564"/>
        <v>-3.1412208777603219</v>
      </c>
      <c r="J671">
        <f t="shared" si="565"/>
        <v>15</v>
      </c>
      <c r="M671">
        <f t="shared" si="543"/>
        <v>2.3755249168443801E-5</v>
      </c>
      <c r="N671">
        <f t="shared" si="566"/>
        <v>-1.5707963250000001</v>
      </c>
      <c r="O671">
        <f t="shared" si="544"/>
        <v>8915.9342445588718</v>
      </c>
      <c r="P671">
        <f t="shared" si="567"/>
        <v>1.5706841680491423</v>
      </c>
      <c r="Q671">
        <f t="shared" si="545"/>
        <v>1326.7716078103263</v>
      </c>
      <c r="R671">
        <f t="shared" si="568"/>
        <v>1.5700426174987427</v>
      </c>
      <c r="S671">
        <f t="shared" si="546"/>
        <v>2.6684490471125425E-2</v>
      </c>
      <c r="T671">
        <f t="shared" si="569"/>
        <v>-1.5441086684731817</v>
      </c>
      <c r="U671">
        <f t="shared" si="547"/>
        <v>2.4405948473861093E-2</v>
      </c>
      <c r="V671">
        <f t="shared" si="570"/>
        <v>-1.5463879547695241</v>
      </c>
      <c r="X671">
        <f t="shared" si="548"/>
        <v>-103.49801665681709</v>
      </c>
      <c r="Y671">
        <f t="shared" si="549"/>
        <v>-200.67140311697364</v>
      </c>
      <c r="Z671">
        <f t="shared" si="579"/>
        <v>-20.671403116973636</v>
      </c>
      <c r="AC671">
        <v>1</v>
      </c>
      <c r="AD671">
        <f t="shared" si="550"/>
        <v>8915.9341884794994</v>
      </c>
      <c r="AE671">
        <f t="shared" si="551"/>
        <v>-95.794997935285309</v>
      </c>
      <c r="AF671">
        <f t="shared" si="552"/>
        <v>2.3386644005130002</v>
      </c>
      <c r="AG671">
        <f t="shared" si="553"/>
        <v>2.2604270970747273</v>
      </c>
      <c r="AH671">
        <f t="shared" si="554"/>
        <v>-93.017881936980046</v>
      </c>
      <c r="AJ671">
        <f t="shared" si="571"/>
        <v>18000</v>
      </c>
      <c r="AK671">
        <f t="shared" si="555"/>
        <v>674308.93312187993</v>
      </c>
      <c r="AL671">
        <v>46</v>
      </c>
      <c r="AM671">
        <f t="shared" si="556"/>
        <v>1326.7712309556603</v>
      </c>
      <c r="AN671">
        <f t="shared" si="557"/>
        <v>508.09262193150096</v>
      </c>
      <c r="AO671">
        <f t="shared" si="558"/>
        <v>4.0491235289895862</v>
      </c>
      <c r="AQ671">
        <f t="shared" si="559"/>
        <v>2.7700830948197144E-5</v>
      </c>
      <c r="AR671">
        <f t="shared" si="560"/>
        <v>-0.52631578801574574</v>
      </c>
      <c r="AT671">
        <f t="shared" si="561"/>
        <v>-48.95671721550837</v>
      </c>
      <c r="AU671">
        <f t="shared" si="562"/>
        <v>-1.1922751414717254</v>
      </c>
      <c r="AV671">
        <f t="shared" si="580"/>
        <v>-3.1172438087312759</v>
      </c>
      <c r="AW671">
        <f t="shared" si="581"/>
        <v>512.95366716474223</v>
      </c>
      <c r="AX671">
        <f t="shared" si="582"/>
        <v>-370.49595043498516</v>
      </c>
      <c r="AY671">
        <f t="shared" si="590"/>
        <v>-0.62552272346040338</v>
      </c>
      <c r="BA671">
        <f t="shared" si="572"/>
        <v>7.7392722952981594E-2</v>
      </c>
      <c r="BB671">
        <f t="shared" si="583"/>
        <v>-22.225997460745614</v>
      </c>
      <c r="BC671">
        <f t="shared" si="584"/>
        <v>-2.4917210852708727</v>
      </c>
      <c r="BD671">
        <f t="shared" si="573"/>
        <v>-322.76510207291102</v>
      </c>
      <c r="BF671">
        <f t="shared" si="574"/>
        <v>-110.97355853450821</v>
      </c>
      <c r="BG671">
        <f t="shared" si="575"/>
        <v>-256.31448149751708</v>
      </c>
      <c r="BH671">
        <f t="shared" si="585"/>
        <v>-76.314481497517079</v>
      </c>
      <c r="BI671">
        <f t="shared" si="586"/>
        <v>-76.314481497517079</v>
      </c>
      <c r="BJ671">
        <f t="shared" si="576"/>
        <v>0</v>
      </c>
      <c r="BK671">
        <f t="shared" si="587"/>
        <v>0</v>
      </c>
      <c r="BM671">
        <f t="shared" si="588"/>
        <v>-88.747561073762597</v>
      </c>
      <c r="BN671">
        <f t="shared" si="577"/>
        <v>-113.5493794246061</v>
      </c>
      <c r="BQ671" s="56">
        <f t="shared" si="589"/>
        <v>-5.3240366604604805</v>
      </c>
    </row>
    <row r="672" spans="1:69" x14ac:dyDescent="0.2">
      <c r="A672">
        <f t="shared" si="563"/>
        <v>9600000</v>
      </c>
      <c r="B672">
        <f t="shared" si="578"/>
        <v>9600</v>
      </c>
      <c r="C672">
        <f t="shared" si="539"/>
        <v>2.5228827355983152</v>
      </c>
      <c r="D672">
        <f t="shared" si="540"/>
        <v>1.1632345827539596</v>
      </c>
      <c r="F672">
        <f t="shared" si="541"/>
        <v>9.5359764294958289E-7</v>
      </c>
      <c r="G672">
        <f t="shared" si="542"/>
        <v>3.6789960503614308E-4</v>
      </c>
      <c r="H672">
        <f t="shared" si="564"/>
        <v>-3.1412247503949642</v>
      </c>
      <c r="J672">
        <f t="shared" si="565"/>
        <v>15</v>
      </c>
      <c r="M672">
        <f t="shared" si="543"/>
        <v>2.3507798656272508E-5</v>
      </c>
      <c r="N672">
        <f t="shared" si="566"/>
        <v>-1.5707963250000001</v>
      </c>
      <c r="O672">
        <f t="shared" si="544"/>
        <v>9009.7861828008135</v>
      </c>
      <c r="P672">
        <f t="shared" si="567"/>
        <v>1.5706853363694011</v>
      </c>
      <c r="Q672">
        <f t="shared" si="545"/>
        <v>1340.7376168421858</v>
      </c>
      <c r="R672">
        <f t="shared" si="568"/>
        <v>1.5700504686343173</v>
      </c>
      <c r="S672">
        <f t="shared" si="546"/>
        <v>2.6406721876213516E-2</v>
      </c>
      <c r="T672">
        <f t="shared" si="569"/>
        <v>-1.5443865349882309</v>
      </c>
      <c r="U672">
        <f t="shared" si="547"/>
        <v>2.4151868918770865E-2</v>
      </c>
      <c r="V672">
        <f t="shared" si="570"/>
        <v>-1.5466421092439768</v>
      </c>
      <c r="X672">
        <f t="shared" si="548"/>
        <v>-103.69422063000899</v>
      </c>
      <c r="Y672">
        <f t="shared" si="549"/>
        <v>-200.48247812666253</v>
      </c>
      <c r="Z672">
        <f t="shared" si="579"/>
        <v>-20.482478126662528</v>
      </c>
      <c r="AC672">
        <v>1</v>
      </c>
      <c r="AD672">
        <f t="shared" si="550"/>
        <v>9009.7861273055987</v>
      </c>
      <c r="AE672">
        <f t="shared" si="551"/>
        <v>-97.822349138126256</v>
      </c>
      <c r="AF672">
        <f t="shared" si="552"/>
        <v>2.3632819205183999</v>
      </c>
      <c r="AG672">
        <f t="shared" si="553"/>
        <v>2.2136074643527279</v>
      </c>
      <c r="AH672">
        <f t="shared" si="554"/>
        <v>-92.05007677837952</v>
      </c>
      <c r="AJ672">
        <f t="shared" si="571"/>
        <v>18000</v>
      </c>
      <c r="AK672">
        <f t="shared" si="555"/>
        <v>681406.92189158406</v>
      </c>
      <c r="AL672">
        <v>47</v>
      </c>
      <c r="AM672">
        <f t="shared" si="556"/>
        <v>1340.7372439130882</v>
      </c>
      <c r="AN672">
        <f t="shared" si="557"/>
        <v>508.07927443908477</v>
      </c>
      <c r="AO672">
        <f t="shared" si="558"/>
        <v>4.3854423566815814</v>
      </c>
      <c r="AQ672">
        <f t="shared" si="559"/>
        <v>2.7126736037525129E-5</v>
      </c>
      <c r="AR672">
        <f t="shared" si="560"/>
        <v>-0.52083333192048253</v>
      </c>
      <c r="AT672">
        <f t="shared" si="561"/>
        <v>-47.942688144074268</v>
      </c>
      <c r="AU672">
        <f t="shared" si="562"/>
        <v>-1.155417569357883</v>
      </c>
      <c r="AV672">
        <f t="shared" si="580"/>
        <v>-3.1174973431310828</v>
      </c>
      <c r="AW672">
        <f t="shared" si="581"/>
        <v>513.04713677052223</v>
      </c>
      <c r="AX672">
        <f t="shared" si="582"/>
        <v>-366.251902321675</v>
      </c>
      <c r="AY672">
        <f t="shared" si="590"/>
        <v>-0.61997796117477189</v>
      </c>
      <c r="BA672">
        <f t="shared" si="572"/>
        <v>7.6077736573649274E-2</v>
      </c>
      <c r="BB672">
        <f t="shared" si="583"/>
        <v>-22.374848335765357</v>
      </c>
      <c r="BC672">
        <f t="shared" si="584"/>
        <v>-2.4975193819563111</v>
      </c>
      <c r="BD672">
        <f t="shared" si="573"/>
        <v>-323.09732000173096</v>
      </c>
      <c r="BF672">
        <f t="shared" si="574"/>
        <v>-111.22777847922082</v>
      </c>
      <c r="BG672">
        <f t="shared" si="575"/>
        <v>-256.42780865543364</v>
      </c>
      <c r="BH672">
        <f t="shared" si="585"/>
        <v>-76.427808655433637</v>
      </c>
      <c r="BI672">
        <f t="shared" si="586"/>
        <v>-76.427808655433637</v>
      </c>
      <c r="BJ672">
        <f t="shared" si="576"/>
        <v>0</v>
      </c>
      <c r="BK672">
        <f t="shared" si="587"/>
        <v>0</v>
      </c>
      <c r="BM672">
        <f t="shared" si="588"/>
        <v>-88.852930143455467</v>
      </c>
      <c r="BN672">
        <f t="shared" si="577"/>
        <v>-113.3304886537027</v>
      </c>
      <c r="BQ672" s="56">
        <f t="shared" si="589"/>
        <v>-5.4728875354802184</v>
      </c>
    </row>
    <row r="673" spans="1:69" x14ac:dyDescent="0.2">
      <c r="A673">
        <f t="shared" si="563"/>
        <v>9700000</v>
      </c>
      <c r="B673">
        <f t="shared" si="578"/>
        <v>9700</v>
      </c>
      <c r="C673">
        <f t="shared" si="539"/>
        <v>2.5450518575396952</v>
      </c>
      <c r="D673">
        <f t="shared" si="540"/>
        <v>1.1669922508160828</v>
      </c>
      <c r="F673">
        <f t="shared" si="541"/>
        <v>9.3403716824885999E-7</v>
      </c>
      <c r="G673">
        <f t="shared" si="542"/>
        <v>3.641068187486514E-4</v>
      </c>
      <c r="H673">
        <f t="shared" si="564"/>
        <v>-3.1412285431812514</v>
      </c>
      <c r="J673">
        <f t="shared" si="565"/>
        <v>15</v>
      </c>
      <c r="M673">
        <f t="shared" si="543"/>
        <v>2.3265450216517121E-5</v>
      </c>
      <c r="N673">
        <f t="shared" si="566"/>
        <v>-1.5707963250000001</v>
      </c>
      <c r="O673">
        <f t="shared" si="544"/>
        <v>9103.638121054797</v>
      </c>
      <c r="P673">
        <f t="shared" si="567"/>
        <v>1.5706864806005825</v>
      </c>
      <c r="Q673">
        <f t="shared" si="545"/>
        <v>1354.703625954985</v>
      </c>
      <c r="R673">
        <f t="shared" si="568"/>
        <v>1.570058157890897</v>
      </c>
      <c r="S673">
        <f t="shared" si="546"/>
        <v>2.6134674539610402E-2</v>
      </c>
      <c r="T673">
        <f t="shared" si="569"/>
        <v>-1.5446586762509733</v>
      </c>
      <c r="U673">
        <f t="shared" si="547"/>
        <v>2.3903023580532225E-2</v>
      </c>
      <c r="V673">
        <f t="shared" si="570"/>
        <v>-1.5468910264454445</v>
      </c>
      <c r="X673">
        <f t="shared" si="548"/>
        <v>-103.88814540929877</v>
      </c>
      <c r="Y673">
        <f t="shared" si="549"/>
        <v>-200.29674524563811</v>
      </c>
      <c r="Z673">
        <f t="shared" si="579"/>
        <v>-20.296745245638107</v>
      </c>
      <c r="AC673">
        <v>1</v>
      </c>
      <c r="AD673">
        <f t="shared" si="550"/>
        <v>9103.6380661316998</v>
      </c>
      <c r="AE673">
        <f t="shared" si="551"/>
        <v>-99.870929149373907</v>
      </c>
      <c r="AF673">
        <f t="shared" si="552"/>
        <v>2.3878994405238001</v>
      </c>
      <c r="AG673">
        <f t="shared" si="553"/>
        <v>2.1682272812334302</v>
      </c>
      <c r="AH673">
        <f t="shared" si="554"/>
        <v>-91.102191948285807</v>
      </c>
      <c r="AJ673">
        <f t="shared" si="571"/>
        <v>18000</v>
      </c>
      <c r="AK673">
        <f t="shared" si="555"/>
        <v>688504.91066128796</v>
      </c>
      <c r="AL673">
        <v>48</v>
      </c>
      <c r="AM673">
        <f t="shared" si="556"/>
        <v>1354.703256870516</v>
      </c>
      <c r="AN673">
        <f t="shared" si="557"/>
        <v>508.0659519999208</v>
      </c>
      <c r="AO673">
        <f t="shared" si="558"/>
        <v>4.7148079578335942</v>
      </c>
      <c r="AQ673">
        <f t="shared" si="559"/>
        <v>2.65703049565036E-5</v>
      </c>
      <c r="AR673">
        <f t="shared" si="560"/>
        <v>-0.51546391615616982</v>
      </c>
      <c r="AT673">
        <f t="shared" si="561"/>
        <v>-46.95983502161441</v>
      </c>
      <c r="AU673">
        <f t="shared" si="562"/>
        <v>-1.1200635385235009</v>
      </c>
      <c r="AV673">
        <f t="shared" si="580"/>
        <v>-3.1177456530429484</v>
      </c>
      <c r="AW673">
        <f t="shared" si="581"/>
        <v>513.13520508957492</v>
      </c>
      <c r="AX673">
        <f t="shared" si="582"/>
        <v>-362.09536192761811</v>
      </c>
      <c r="AY673">
        <f t="shared" si="590"/>
        <v>-0.61450981138998173</v>
      </c>
      <c r="BA673">
        <f t="shared" si="572"/>
        <v>7.4794585916132431E-2</v>
      </c>
      <c r="BB673">
        <f t="shared" si="583"/>
        <v>-22.522596757108388</v>
      </c>
      <c r="BC673">
        <f t="shared" si="584"/>
        <v>-2.5032358416529665</v>
      </c>
      <c r="BD673">
        <f t="shared" si="573"/>
        <v>-323.42484901648021</v>
      </c>
      <c r="BF673">
        <f t="shared" si="574"/>
        <v>-111.47955568845198</v>
      </c>
      <c r="BG673">
        <f t="shared" si="575"/>
        <v>-256.54025645981318</v>
      </c>
      <c r="BH673">
        <f t="shared" si="585"/>
        <v>-76.540256459813179</v>
      </c>
      <c r="BI673">
        <f t="shared" si="586"/>
        <v>-76.540256459813179</v>
      </c>
      <c r="BJ673">
        <f t="shared" si="576"/>
        <v>0</v>
      </c>
      <c r="BK673">
        <f t="shared" si="587"/>
        <v>0</v>
      </c>
      <c r="BM673">
        <f t="shared" si="588"/>
        <v>-88.956958931343593</v>
      </c>
      <c r="BN673">
        <f t="shared" si="577"/>
        <v>-113.11540744333303</v>
      </c>
      <c r="BQ673" s="56">
        <f t="shared" si="589"/>
        <v>-5.6206359568232518</v>
      </c>
    </row>
    <row r="674" spans="1:69" x14ac:dyDescent="0.2">
      <c r="A674">
        <f t="shared" si="563"/>
        <v>9800000</v>
      </c>
      <c r="B674">
        <f t="shared" si="578"/>
        <v>9800</v>
      </c>
      <c r="C674">
        <f t="shared" si="539"/>
        <v>2.5672562948523585</v>
      </c>
      <c r="D674">
        <f t="shared" si="540"/>
        <v>1.1706849694334158</v>
      </c>
      <c r="F674">
        <f t="shared" si="541"/>
        <v>9.150724239481825E-7</v>
      </c>
      <c r="G674">
        <f t="shared" si="542"/>
        <v>3.6039143646956345E-4</v>
      </c>
      <c r="H674">
        <f t="shared" si="564"/>
        <v>-3.1412322585635306</v>
      </c>
      <c r="J674">
        <f t="shared" si="565"/>
        <v>15</v>
      </c>
      <c r="M674">
        <f t="shared" si="543"/>
        <v>2.3028047663287356E-5</v>
      </c>
      <c r="N674">
        <f t="shared" si="566"/>
        <v>-1.5707963250000001</v>
      </c>
      <c r="O674">
        <f t="shared" si="544"/>
        <v>9197.4900593204566</v>
      </c>
      <c r="P674">
        <f t="shared" si="567"/>
        <v>1.5706876014801074</v>
      </c>
      <c r="Q674">
        <f t="shared" si="545"/>
        <v>1368.6696351462458</v>
      </c>
      <c r="R674">
        <f t="shared" si="568"/>
        <v>1.5700656902239576</v>
      </c>
      <c r="S674">
        <f t="shared" si="546"/>
        <v>2.5868173558867124E-2</v>
      </c>
      <c r="T674">
        <f t="shared" si="569"/>
        <v>-1.5449252673654117</v>
      </c>
      <c r="U674">
        <f t="shared" si="547"/>
        <v>2.3659252410238217E-2</v>
      </c>
      <c r="V674">
        <f t="shared" si="570"/>
        <v>-1.5471348665770768</v>
      </c>
      <c r="X674">
        <f t="shared" si="548"/>
        <v>-104.07984365713888</v>
      </c>
      <c r="Y674">
        <f t="shared" si="549"/>
        <v>-200.11413069302188</v>
      </c>
      <c r="Z674">
        <f t="shared" si="579"/>
        <v>-20.114130693021878</v>
      </c>
      <c r="AC674">
        <v>1</v>
      </c>
      <c r="AD674">
        <f t="shared" si="550"/>
        <v>9197.4900049577991</v>
      </c>
      <c r="AE674">
        <f t="shared" si="551"/>
        <v>-101.94073796902828</v>
      </c>
      <c r="AF674">
        <f t="shared" si="552"/>
        <v>2.4125169605291998</v>
      </c>
      <c r="AG674">
        <f t="shared" si="553"/>
        <v>2.1242281505795897</v>
      </c>
      <c r="AH674">
        <f t="shared" si="554"/>
        <v>-90.173619022743637</v>
      </c>
      <c r="AJ674">
        <f t="shared" si="571"/>
        <v>18000</v>
      </c>
      <c r="AK674">
        <f t="shared" si="555"/>
        <v>695602.89943099208</v>
      </c>
      <c r="AL674">
        <v>49</v>
      </c>
      <c r="AM674">
        <f t="shared" si="556"/>
        <v>1368.6692698279442</v>
      </c>
      <c r="AN674">
        <f t="shared" si="557"/>
        <v>508.05266145676012</v>
      </c>
      <c r="AO674">
        <f t="shared" si="558"/>
        <v>5.0374334862124659</v>
      </c>
      <c r="AQ674">
        <f t="shared" si="559"/>
        <v>2.603082042370153E-5</v>
      </c>
      <c r="AR674">
        <f t="shared" si="560"/>
        <v>-0.51020408030455</v>
      </c>
      <c r="AT674">
        <f t="shared" si="561"/>
        <v>-46.006893065830269</v>
      </c>
      <c r="AU674">
        <f t="shared" si="562"/>
        <v>-1.086137163207231</v>
      </c>
      <c r="AV674">
        <f t="shared" si="580"/>
        <v>-3.1179888982786435</v>
      </c>
      <c r="AW674">
        <f t="shared" si="581"/>
        <v>513.21814295566776</v>
      </c>
      <c r="AX674">
        <f t="shared" si="582"/>
        <v>-358.02365500551059</v>
      </c>
      <c r="AY674">
        <f t="shared" si="590"/>
        <v>-0.60911691991868055</v>
      </c>
      <c r="BA674">
        <f t="shared" si="572"/>
        <v>7.354227912719756E-2</v>
      </c>
      <c r="BB674">
        <f t="shared" si="583"/>
        <v>-22.669258303314351</v>
      </c>
      <c r="BC674">
        <f t="shared" si="584"/>
        <v>-2.5088719783599629</v>
      </c>
      <c r="BD674">
        <f t="shared" si="573"/>
        <v>-323.74777586291884</v>
      </c>
      <c r="BF674">
        <f t="shared" si="574"/>
        <v>-111.72893921557785</v>
      </c>
      <c r="BG674">
        <f t="shared" si="575"/>
        <v>-256.6518189900317</v>
      </c>
      <c r="BH674">
        <f t="shared" si="585"/>
        <v>-76.6518189900317</v>
      </c>
      <c r="BI674">
        <f t="shared" si="586"/>
        <v>-76.6518189900317</v>
      </c>
      <c r="BJ674">
        <f t="shared" si="576"/>
        <v>0</v>
      </c>
      <c r="BK674">
        <f t="shared" si="587"/>
        <v>0</v>
      </c>
      <c r="BM674">
        <f t="shared" si="588"/>
        <v>-89.059680912263488</v>
      </c>
      <c r="BN674">
        <f t="shared" si="577"/>
        <v>-112.90404312711281</v>
      </c>
      <c r="BQ674" s="56">
        <f t="shared" si="589"/>
        <v>-5.7672975030292175</v>
      </c>
    </row>
    <row r="675" spans="1:69" x14ac:dyDescent="0.2">
      <c r="A675">
        <f t="shared" si="563"/>
        <v>9900000</v>
      </c>
      <c r="B675">
        <f t="shared" si="578"/>
        <v>9900</v>
      </c>
      <c r="C675">
        <f t="shared" si="539"/>
        <v>2.5894951390683203</v>
      </c>
      <c r="D675">
        <f t="shared" si="540"/>
        <v>1.1743143099591964</v>
      </c>
      <c r="F675">
        <f t="shared" si="541"/>
        <v>8.9667946208144557E-7</v>
      </c>
      <c r="G675">
        <f t="shared" si="542"/>
        <v>3.5675111261464486E-4</v>
      </c>
      <c r="H675">
        <f t="shared" si="564"/>
        <v>-3.1412358988873854</v>
      </c>
      <c r="J675">
        <f t="shared" si="565"/>
        <v>15</v>
      </c>
      <c r="M675">
        <f t="shared" si="543"/>
        <v>2.2795441121233946E-5</v>
      </c>
      <c r="N675">
        <f t="shared" si="566"/>
        <v>-1.5707963250000001</v>
      </c>
      <c r="O675">
        <f t="shared" si="544"/>
        <v>9291.3419975974393</v>
      </c>
      <c r="P675">
        <f t="shared" si="567"/>
        <v>1.5706886997156018</v>
      </c>
      <c r="Q675">
        <f t="shared" si="545"/>
        <v>1382.6356444135911</v>
      </c>
      <c r="R675">
        <f t="shared" si="568"/>
        <v>1.570073070388754</v>
      </c>
      <c r="S675">
        <f t="shared" si="546"/>
        <v>2.5607051086468224E-2</v>
      </c>
      <c r="T675">
        <f t="shared" si="569"/>
        <v>-1.5451864763685328</v>
      </c>
      <c r="U675">
        <f t="shared" si="547"/>
        <v>2.3420401816548052E-2</v>
      </c>
      <c r="V675">
        <f t="shared" si="570"/>
        <v>-1.5473737833752099</v>
      </c>
      <c r="X675">
        <f t="shared" si="548"/>
        <v>-104.2693662578961</v>
      </c>
      <c r="Y675">
        <f t="shared" si="549"/>
        <v>-199.93456269455035</v>
      </c>
      <c r="Z675">
        <f t="shared" si="579"/>
        <v>-19.934562694550351</v>
      </c>
      <c r="AC675">
        <v>1</v>
      </c>
      <c r="AD675">
        <f t="shared" si="550"/>
        <v>9291.3419437839002</v>
      </c>
      <c r="AE675">
        <f t="shared" si="551"/>
        <v>-104.03177559708936</v>
      </c>
      <c r="AF675">
        <f t="shared" si="552"/>
        <v>2.4371344805346</v>
      </c>
      <c r="AG675">
        <f t="shared" si="553"/>
        <v>2.0815546063612649</v>
      </c>
      <c r="AH675">
        <f t="shared" si="554"/>
        <v>-89.263774091917327</v>
      </c>
      <c r="AJ675">
        <f t="shared" si="571"/>
        <v>18000</v>
      </c>
      <c r="AK675">
        <f t="shared" si="555"/>
        <v>702700.88820069598</v>
      </c>
      <c r="AL675">
        <v>50</v>
      </c>
      <c r="AM675">
        <f t="shared" si="556"/>
        <v>1382.6352827853723</v>
      </c>
      <c r="AN675">
        <f t="shared" si="557"/>
        <v>508.03940907070842</v>
      </c>
      <c r="AO675">
        <f t="shared" si="558"/>
        <v>5.3535234820739319</v>
      </c>
      <c r="AQ675">
        <f t="shared" si="559"/>
        <v>2.550760120011325E-5</v>
      </c>
      <c r="AR675">
        <f t="shared" si="560"/>
        <v>-0.50505050376224236</v>
      </c>
      <c r="AT675">
        <f t="shared" si="561"/>
        <v>-45.082660977377067</v>
      </c>
      <c r="AU675">
        <f t="shared" si="562"/>
        <v>-1.0535671073025266</v>
      </c>
      <c r="AV675">
        <f t="shared" si="580"/>
        <v>-3.1182272321989393</v>
      </c>
      <c r="AW675">
        <f t="shared" si="581"/>
        <v>513.29620603747867</v>
      </c>
      <c r="AX675">
        <f t="shared" si="582"/>
        <v>-354.03421499315562</v>
      </c>
      <c r="AY675">
        <f t="shared" si="590"/>
        <v>-0.60379795857791652</v>
      </c>
      <c r="BA675">
        <f t="shared" si="572"/>
        <v>7.2319862398975643E-2</v>
      </c>
      <c r="BB675">
        <f t="shared" si="583"/>
        <v>-22.814848177042812</v>
      </c>
      <c r="BC675">
        <f t="shared" si="584"/>
        <v>-2.5144292736210225</v>
      </c>
      <c r="BD675">
        <f t="shared" si="573"/>
        <v>-324.06618542724948</v>
      </c>
      <c r="BF675">
        <f t="shared" si="574"/>
        <v>-111.9759765415216</v>
      </c>
      <c r="BG675">
        <f t="shared" si="575"/>
        <v>-256.76249123477481</v>
      </c>
      <c r="BH675">
        <f t="shared" si="585"/>
        <v>-76.762491234774814</v>
      </c>
      <c r="BI675">
        <f t="shared" si="586"/>
        <v>-76.762491234774814</v>
      </c>
      <c r="BJ675">
        <f t="shared" si="576"/>
        <v>0</v>
      </c>
      <c r="BK675">
        <f t="shared" si="587"/>
        <v>0</v>
      </c>
      <c r="BM675">
        <f t="shared" si="588"/>
        <v>-89.161128364478799</v>
      </c>
      <c r="BN675">
        <f t="shared" si="577"/>
        <v>-112.69630580752538</v>
      </c>
      <c r="BQ675" s="56">
        <f t="shared" si="589"/>
        <v>-5.9128873767576717</v>
      </c>
    </row>
    <row r="676" spans="1:69" x14ac:dyDescent="0.2">
      <c r="A676">
        <f t="shared" si="563"/>
        <v>10000000</v>
      </c>
      <c r="B676">
        <f t="shared" si="578"/>
        <v>10000</v>
      </c>
      <c r="C676">
        <f t="shared" si="539"/>
        <v>2.611767511277459</v>
      </c>
      <c r="D676">
        <f t="shared" si="540"/>
        <v>1.1778817969500808</v>
      </c>
      <c r="F676">
        <f t="shared" si="541"/>
        <v>8.7883552606515014E-7</v>
      </c>
      <c r="G676">
        <f t="shared" si="542"/>
        <v>3.5318359542343557E-4</v>
      </c>
      <c r="H676">
        <f t="shared" si="564"/>
        <v>-3.1412394664045769</v>
      </c>
      <c r="J676">
        <f t="shared" si="565"/>
        <v>15</v>
      </c>
      <c r="M676">
        <f t="shared" si="543"/>
        <v>2.2567486710021609E-5</v>
      </c>
      <c r="N676">
        <f t="shared" si="566"/>
        <v>-1.5707963250000001</v>
      </c>
      <c r="O676">
        <f t="shared" si="544"/>
        <v>9385.1939358854033</v>
      </c>
      <c r="P676">
        <f t="shared" si="567"/>
        <v>1.5706897759863865</v>
      </c>
      <c r="Q676">
        <f t="shared" si="545"/>
        <v>1396.6016537547378</v>
      </c>
      <c r="R676">
        <f t="shared" si="568"/>
        <v>1.570080302950331</v>
      </c>
      <c r="S676">
        <f t="shared" si="546"/>
        <v>2.5351145977783578E-2</v>
      </c>
      <c r="T676">
        <f t="shared" si="569"/>
        <v>-1.545442464583193</v>
      </c>
      <c r="U676">
        <f t="shared" si="547"/>
        <v>2.3186324343343577E-2</v>
      </c>
      <c r="V676">
        <f t="shared" si="570"/>
        <v>-1.5476079244323511</v>
      </c>
      <c r="X676">
        <f t="shared" si="548"/>
        <v>-104.45676239508279</v>
      </c>
      <c r="Y676">
        <f t="shared" si="549"/>
        <v>-199.75797142764452</v>
      </c>
      <c r="Z676">
        <f t="shared" si="579"/>
        <v>-19.75797142764452</v>
      </c>
      <c r="AC676">
        <v>1</v>
      </c>
      <c r="AD676">
        <f t="shared" si="550"/>
        <v>9385.1938826099995</v>
      </c>
      <c r="AE676">
        <f t="shared" si="551"/>
        <v>-106.14404203355716</v>
      </c>
      <c r="AF676">
        <f t="shared" si="552"/>
        <v>2.4617520005400002</v>
      </c>
      <c r="AG676">
        <f t="shared" si="553"/>
        <v>2.0401539388989103</v>
      </c>
      <c r="AH676">
        <f t="shared" si="554"/>
        <v>-88.372096538437731</v>
      </c>
      <c r="AJ676">
        <f t="shared" si="571"/>
        <v>18000</v>
      </c>
      <c r="AK676">
        <f t="shared" si="555"/>
        <v>709798.87697039999</v>
      </c>
      <c r="AL676">
        <v>51</v>
      </c>
      <c r="AM676">
        <f t="shared" si="556"/>
        <v>1396.6012957428002</v>
      </c>
      <c r="AN676">
        <f t="shared" si="557"/>
        <v>508.0262005654356</v>
      </c>
      <c r="AO676">
        <f t="shared" si="558"/>
        <v>5.6632743023702652</v>
      </c>
      <c r="AQ676">
        <f t="shared" si="559"/>
        <v>2.4999999937500001E-5</v>
      </c>
      <c r="AR676">
        <f t="shared" si="560"/>
        <v>-0.49999999875000001</v>
      </c>
      <c r="AT676">
        <f t="shared" si="561"/>
        <v>-44.185997154905394</v>
      </c>
      <c r="AU676">
        <f t="shared" si="562"/>
        <v>-1.0222862693072003</v>
      </c>
      <c r="AV676">
        <f t="shared" si="580"/>
        <v>-3.1184608020357993</v>
      </c>
      <c r="AW676">
        <f t="shared" si="581"/>
        <v>513.36963580573797</v>
      </c>
      <c r="AX676">
        <f t="shared" si="582"/>
        <v>-350.12457765626425</v>
      </c>
      <c r="AY676">
        <f t="shared" si="590"/>
        <v>-0.59855162472791656</v>
      </c>
      <c r="BA676">
        <f t="shared" si="572"/>
        <v>7.1126418202813346E-2</v>
      </c>
      <c r="BB676">
        <f t="shared" si="583"/>
        <v>-22.959381220650119</v>
      </c>
      <c r="BC676">
        <f t="shared" si="584"/>
        <v>-2.5199091773078828</v>
      </c>
      <c r="BD676">
        <f t="shared" si="573"/>
        <v>-324.3801607810035</v>
      </c>
      <c r="BF676">
        <f t="shared" si="574"/>
        <v>-112.22071364432695</v>
      </c>
      <c r="BG676">
        <f t="shared" si="575"/>
        <v>-256.87226904392844</v>
      </c>
      <c r="BH676">
        <f t="shared" si="585"/>
        <v>-76.872269043928441</v>
      </c>
      <c r="BI676">
        <f t="shared" si="586"/>
        <v>-76.872269043928441</v>
      </c>
      <c r="BJ676">
        <f t="shared" si="576"/>
        <v>0</v>
      </c>
      <c r="BK676">
        <f t="shared" si="587"/>
        <v>0</v>
      </c>
      <c r="BM676">
        <f t="shared" si="588"/>
        <v>-89.261332423676834</v>
      </c>
      <c r="BN676">
        <f t="shared" si="577"/>
        <v>-112.49210826292493</v>
      </c>
      <c r="BQ676" s="56">
        <f t="shared" si="589"/>
        <v>-6.0574204203649815</v>
      </c>
    </row>
    <row r="677" spans="1:69" x14ac:dyDescent="0.2">
      <c r="BD677">
        <f t="shared" si="573"/>
        <v>-180</v>
      </c>
    </row>
    <row r="678" spans="1:69" x14ac:dyDescent="0.2">
      <c r="BD678">
        <f t="shared" si="573"/>
        <v>-180</v>
      </c>
    </row>
    <row r="679" spans="1:69" x14ac:dyDescent="0.2">
      <c r="C679" s="565" t="s">
        <v>46</v>
      </c>
      <c r="D679" s="565"/>
      <c r="E679" s="565"/>
      <c r="F679" s="565"/>
      <c r="G679" s="565"/>
      <c r="H679" s="565"/>
      <c r="J679" s="7" t="s">
        <v>76</v>
      </c>
      <c r="M679" s="7" t="s">
        <v>37</v>
      </c>
      <c r="N679" s="5"/>
      <c r="O679" s="5"/>
      <c r="P679" s="5"/>
      <c r="Q679" s="5"/>
      <c r="R679" s="5"/>
      <c r="S679" s="5"/>
      <c r="T679" s="5"/>
      <c r="U679" s="5"/>
      <c r="V679" s="5"/>
      <c r="X679" s="7" t="s">
        <v>105</v>
      </c>
      <c r="Y679" s="5"/>
      <c r="Z679" s="5"/>
      <c r="AD679" s="5"/>
      <c r="AE679" s="5"/>
      <c r="AF679" s="5"/>
      <c r="AG679" s="5"/>
      <c r="AH679" s="5"/>
      <c r="AJ679" s="7" t="s">
        <v>87</v>
      </c>
      <c r="AK679" s="5"/>
      <c r="AL679" s="5"/>
      <c r="AM679" s="5"/>
      <c r="AN679" s="5"/>
      <c r="AO679" s="5"/>
      <c r="AQ679" s="7" t="s">
        <v>437</v>
      </c>
      <c r="AR679" s="5"/>
      <c r="AT679" s="7" t="s">
        <v>108</v>
      </c>
      <c r="AU679" s="5"/>
      <c r="AV679" s="5"/>
      <c r="AW679" s="5"/>
      <c r="AX679" s="5"/>
      <c r="AY679" s="5"/>
      <c r="BA679" s="7" t="s">
        <v>109</v>
      </c>
      <c r="BB679" s="5"/>
      <c r="BC679" s="5"/>
      <c r="BF679" s="7" t="s">
        <v>110</v>
      </c>
      <c r="BG679" s="5"/>
      <c r="BH679" s="5"/>
      <c r="BJ679" t="s">
        <v>85</v>
      </c>
      <c r="BK679" s="4">
        <f>SUM(BK683:BK1300)</f>
        <v>0</v>
      </c>
    </row>
    <row r="680" spans="1:69" x14ac:dyDescent="0.2">
      <c r="C680" s="2" t="s">
        <v>47</v>
      </c>
      <c r="D680" s="2"/>
      <c r="E680" s="2"/>
      <c r="F680" s="2" t="s">
        <v>48</v>
      </c>
      <c r="G680" s="2"/>
      <c r="H680" s="2"/>
      <c r="M680" s="2" t="s">
        <v>50</v>
      </c>
      <c r="N680" s="2"/>
      <c r="O680" s="2" t="s">
        <v>64</v>
      </c>
      <c r="P680" s="2"/>
      <c r="Q680" s="2" t="s">
        <v>65</v>
      </c>
      <c r="R680" s="2"/>
      <c r="S680" s="2" t="s">
        <v>66</v>
      </c>
      <c r="T680" s="2"/>
      <c r="U680" s="2" t="s">
        <v>67</v>
      </c>
      <c r="V680" s="2"/>
      <c r="AD680" s="2"/>
      <c r="AE680" s="2" t="s">
        <v>91</v>
      </c>
      <c r="AF680" s="2"/>
      <c r="AG680" s="2" t="s">
        <v>92</v>
      </c>
      <c r="AH680" s="2"/>
      <c r="AJ680" s="2" t="s">
        <v>90</v>
      </c>
      <c r="AK680" s="2"/>
      <c r="AL680" s="2" t="s">
        <v>91</v>
      </c>
      <c r="AM680" s="2"/>
      <c r="AN680" s="2" t="s">
        <v>92</v>
      </c>
      <c r="AO680" s="2"/>
      <c r="AQ680" s="2" t="s">
        <v>83</v>
      </c>
      <c r="AR680" s="2"/>
      <c r="AT680" s="2" t="s">
        <v>90</v>
      </c>
      <c r="AU680" s="2"/>
      <c r="AV680" s="2"/>
      <c r="AW680" s="2" t="s">
        <v>91</v>
      </c>
      <c r="AX680" s="2"/>
      <c r="AY680" s="2"/>
    </row>
    <row r="681" spans="1:69" x14ac:dyDescent="0.2">
      <c r="A681" s="2" t="s">
        <v>44</v>
      </c>
      <c r="B681" s="2"/>
      <c r="C681" s="2" t="s">
        <v>68</v>
      </c>
      <c r="D681" s="2" t="s">
        <v>69</v>
      </c>
      <c r="E681" s="2"/>
      <c r="F681" s="2" t="s">
        <v>68</v>
      </c>
      <c r="G681" s="2"/>
      <c r="H681" s="2" t="s">
        <v>69</v>
      </c>
      <c r="J681" s="2" t="s">
        <v>68</v>
      </c>
      <c r="M681" s="2" t="s">
        <v>68</v>
      </c>
      <c r="N681" s="2" t="s">
        <v>69</v>
      </c>
      <c r="O681" s="2" t="s">
        <v>68</v>
      </c>
      <c r="P681" s="2" t="s">
        <v>69</v>
      </c>
      <c r="Q681" s="2" t="s">
        <v>68</v>
      </c>
      <c r="R681" s="2" t="s">
        <v>69</v>
      </c>
      <c r="S681" s="2" t="s">
        <v>68</v>
      </c>
      <c r="T681" s="2" t="s">
        <v>69</v>
      </c>
      <c r="U681" s="2" t="s">
        <v>68</v>
      </c>
      <c r="V681" s="2" t="s">
        <v>69</v>
      </c>
      <c r="X681" s="2" t="s">
        <v>71</v>
      </c>
      <c r="Y681" s="2" t="s">
        <v>72</v>
      </c>
      <c r="Z681" s="2" t="s">
        <v>73</v>
      </c>
      <c r="AC681" s="2" t="s">
        <v>88</v>
      </c>
      <c r="AD681" s="2" t="s">
        <v>89</v>
      </c>
      <c r="AE681" s="2" t="s">
        <v>88</v>
      </c>
      <c r="AF681" s="2" t="s">
        <v>89</v>
      </c>
      <c r="AG681" s="2" t="s">
        <v>97</v>
      </c>
      <c r="AH681" s="2" t="s">
        <v>98</v>
      </c>
      <c r="AJ681" s="2" t="s">
        <v>88</v>
      </c>
      <c r="AK681" s="2" t="s">
        <v>89</v>
      </c>
      <c r="AL681" s="2" t="s">
        <v>88</v>
      </c>
      <c r="AM681" s="2" t="s">
        <v>89</v>
      </c>
      <c r="AN681" s="2" t="s">
        <v>100</v>
      </c>
      <c r="AO681" s="2" t="s">
        <v>99</v>
      </c>
      <c r="AQ681" s="2" t="s">
        <v>88</v>
      </c>
      <c r="AR681" s="2" t="s">
        <v>89</v>
      </c>
      <c r="AT681" s="2" t="s">
        <v>88</v>
      </c>
      <c r="AU681" s="2" t="s">
        <v>89</v>
      </c>
      <c r="AV681" s="2" t="s">
        <v>69</v>
      </c>
      <c r="AW681" s="2" t="s">
        <v>88</v>
      </c>
      <c r="AX681" s="2" t="s">
        <v>89</v>
      </c>
      <c r="AY681" s="2" t="s">
        <v>69</v>
      </c>
      <c r="BA681" s="2" t="s">
        <v>436</v>
      </c>
      <c r="BB681" s="2" t="s">
        <v>434</v>
      </c>
      <c r="BC681" s="2" t="s">
        <v>435</v>
      </c>
      <c r="BF681" s="2" t="s">
        <v>71</v>
      </c>
      <c r="BG681" s="2" t="s">
        <v>72</v>
      </c>
      <c r="BH681" s="2" t="s">
        <v>104</v>
      </c>
    </row>
    <row r="682" spans="1:69" x14ac:dyDescent="0.2">
      <c r="A682">
        <f>Fesr</f>
        <v>4144659.9810874057</v>
      </c>
      <c r="B682">
        <f t="shared" ref="B682:B692" si="591">A682/1000</f>
        <v>4144.6599810874059</v>
      </c>
      <c r="C682">
        <f t="shared" ref="C682:C686" si="592">SQRT((A682/Fesr)^2+1)</f>
        <v>1.4142135623730951</v>
      </c>
      <c r="D682">
        <f t="shared" ref="D682:D686" si="593">ATAN(A682/Fesr)</f>
        <v>0.78539816339744828</v>
      </c>
      <c r="F682">
        <f t="shared" ref="F682:F687" si="594">(Ro/(Ro+Rdcr))/SQRT((A682/(Q*Fo))^2+(1-(A682^2/Fo^2))^2)</f>
        <v>5.1160115514284656E-6</v>
      </c>
      <c r="G682">
        <f t="shared" ref="G682:G687" si="595">-ATAN(A682*Fo/(Q*(Fo^2-A682^2)))</f>
        <v>8.5214477720587517E-4</v>
      </c>
      <c r="H682">
        <f t="shared" ref="H682:H687" si="596">IF(G682&gt;0,G682-Pi,G682)</f>
        <v>-3.1407405052227944</v>
      </c>
      <c r="J682">
        <f t="shared" ref="J682:J688" si="597">Vin/Vramp</f>
        <v>15</v>
      </c>
      <c r="M682">
        <f t="shared" ref="M682:M687" si="598">1/(2*Pi*_Rfb1*(Cc1ea_u+Cc2ea_u)*A682)</f>
        <v>5.4449549089671599E-5</v>
      </c>
      <c r="N682">
        <f t="shared" ref="N682:N688" si="599">-Pi/2</f>
        <v>-1.5707963250000001</v>
      </c>
      <c r="O682">
        <f t="shared" ref="O682:O687" si="600">SQRT(1+(A682/Fz1_u)^2)</f>
        <v>3889.8438785398648</v>
      </c>
      <c r="P682">
        <f t="shared" ref="P682:P687" si="601">ATAN(A682/Fz1_u)</f>
        <v>1.5705392470656736</v>
      </c>
      <c r="Q682">
        <f t="shared" ref="Q682:Q687" si="602">SQRT(1+(A682/Fz2_u)^2)</f>
        <v>578.84461379031814</v>
      </c>
      <c r="R682">
        <f t="shared" ref="R682:R687" si="603">ATAN(A682/Fz2_u)</f>
        <v>1.5690687465883981</v>
      </c>
      <c r="S682">
        <f t="shared" ref="S682:S687" si="604">1/SQRT(1+(A682/Fp1_u)^2)</f>
        <v>6.1071260176418125E-2</v>
      </c>
      <c r="T682">
        <f t="shared" ref="T682:T687" si="605">-ATAN(A682/Fp1_u)</f>
        <v>-1.5096870398599171</v>
      </c>
      <c r="U682">
        <f t="shared" ref="U682:U687" si="606">1/SQRT(1+(A682/Fp2_u)^2)</f>
        <v>5.5870285051079466E-2</v>
      </c>
      <c r="V682">
        <f t="shared" ref="V682:V687" si="607">-ATAN(A682/Fp2_u)</f>
        <v>-1.5148969344280241</v>
      </c>
      <c r="X682">
        <f t="shared" ref="X682:X686" si="608">20*LOG(C682*J682*O682*Q682*F682*M682*S682*U682)</f>
        <v>-86.859120058920183</v>
      </c>
      <c r="Y682">
        <f t="shared" ref="Y682:Y686" si="609">(180/Pi)*(D682+H682+N682+P682+R682+T682+V682)</f>
        <v>-218.36078478941522</v>
      </c>
      <c r="Z682">
        <f t="shared" ref="Z682:Z687" si="610">Y682+180</f>
        <v>-38.36078478941522</v>
      </c>
      <c r="AC682">
        <v>1</v>
      </c>
      <c r="AD682">
        <f t="shared" ref="AD682:AD687" si="611">Rcea1_u*Cc1ea_u*A682*2*Pi</f>
        <v>3889.84375</v>
      </c>
      <c r="AE682">
        <f t="shared" ref="AE682:AE687" si="612">-Rcea1_u*Cc1ea_u*Cc2ea_u*(A682*2*Pi)^2</f>
        <v>-18.233642578125</v>
      </c>
      <c r="AF682">
        <f t="shared" ref="AF682:AF687" si="613">(Cc2ea_u+Cc1ea_u)*A682*2*Pi</f>
        <v>1.0203125</v>
      </c>
      <c r="AG682">
        <f t="shared" ref="AG682:AG687" si="614">AC682*AE682/(AE682^2+AF682^2)+AD682*AF682/(AE682^2+AF682^2)</f>
        <v>11.845704618720864</v>
      </c>
      <c r="AH682">
        <f t="shared" ref="AH682:AH687" si="615">AD682*AE682/(AE682^2+AF682^2)-AC682*AF682/(AE682^2+AF682^2)</f>
        <v>-212.67047507876336</v>
      </c>
      <c r="AJ682">
        <f t="shared" ref="AJ682:AJ688" si="616">_Rfb1</f>
        <v>18000</v>
      </c>
      <c r="AK682">
        <f t="shared" ref="AK682:AK687" si="617">_Rfb1*Rcea2_u*Cc3ea_u*A682*2*Pi</f>
        <v>294187.5</v>
      </c>
      <c r="AL682">
        <v>1</v>
      </c>
      <c r="AM682">
        <f t="shared" ref="AM682:AM687" si="618">(_Rfb1+Rcea2_u)*Cc3ea_u*A682*2*Pi</f>
        <v>578.84375000000011</v>
      </c>
      <c r="AN682">
        <f t="shared" ref="AN682:AN687" si="619">AJ682*AL682/(AL682^2+AM682^2)+AK682*AM682/(AL682^2+AM682^2)</f>
        <v>508.28521232250921</v>
      </c>
      <c r="AO682">
        <f t="shared" ref="AO682:AO687" si="620">AK682*AL682/(AL682^2+AM682^2)-AJ682*AM682/(AL682^2+AM682^2)</f>
        <v>-30.218370307492286</v>
      </c>
      <c r="AQ682">
        <f t="shared" ref="AQ682:AQ687" si="621">Eadcg/(1+(Eadcg*A682/GBP)^2)</f>
        <v>1.4553323620611903E-4</v>
      </c>
      <c r="AR682">
        <f t="shared" ref="AR682:AR687" si="622">-(A682*Eadcg*Eadcg/GBP)/(1+(Eadcg*A682/GBP)^2)</f>
        <v>-1.2063715600432845</v>
      </c>
      <c r="AT682">
        <f t="shared" ref="AT682:AT687" si="623">-AR682*AH682+AG682*AQ682</f>
        <v>-256.55788885218595</v>
      </c>
      <c r="AU682">
        <f t="shared" ref="AU682:AU687" si="624">AQ682*AH682+AG682*AR682</f>
        <v>-14.321271783181935</v>
      </c>
      <c r="AV682">
        <f t="shared" ref="AV682:AV687" si="625">IF(AT682&lt;0,ATAN(AU682/AT682)+Pi,ATAN(AU682/AT682))</f>
        <v>3.1973555997948244</v>
      </c>
      <c r="AW682">
        <f t="shared" ref="AW682:AW687" si="626">AG682-AH682*AO682/_Rfb2+AG682*AN682/_Rfb2+AN682-AO682*AR682+AQ682*AN682</f>
        <v>483.62920247457822</v>
      </c>
      <c r="AX682">
        <f t="shared" ref="AX682:AX687" si="627">AH682+AH682*AN682/_Rfb2+AG682*AO682/_Rfb2+AO682+AO682*AQ682+AN682*AR682</f>
        <v>-888.46000009686804</v>
      </c>
      <c r="AY682">
        <f t="shared" ref="AY682:AY687" si="628">IF(AW682&lt;0,ATAN(AX682/AW682)+Pi,ATAN(AX682/AW682))</f>
        <v>-1.0723047460719626</v>
      </c>
      <c r="BA682">
        <f t="shared" ref="BA682:BA687" si="629">SQRT(AT682^2+AU682^2)/SQRT(AW682^2+AX682^2)</f>
        <v>0.25402022116907924</v>
      </c>
      <c r="BB682">
        <f t="shared" ref="BB682:BB687" si="630">20*LOG(BA682)</f>
        <v>-11.902634203617133</v>
      </c>
      <c r="BC682">
        <f t="shared" ref="BC682:BC687" si="631">AV682-AY682</f>
        <v>4.2696603458667868</v>
      </c>
      <c r="BD682">
        <f t="shared" ref="BD682:BD687" si="632">BC682*180/Pi</f>
        <v>244.63351805206878</v>
      </c>
      <c r="BF682">
        <f t="shared" ref="BF682:BF686" si="633">20*LOG(BA682*J682*F682*C682)</f>
        <v>-91.191878737862808</v>
      </c>
      <c r="BG682">
        <f t="shared" ref="BG682:BG686" si="634">(180/Pi)*(D682+H682+BC682)</f>
        <v>109.68234240281257</v>
      </c>
      <c r="BH682">
        <f t="shared" ref="BH682:BH687" si="635">IF(BG682&gt;180,BG682-180,BG682+180)</f>
        <v>289.68234240281254</v>
      </c>
      <c r="BI682">
        <f t="shared" ref="BI682:BI687" si="636">IF(BH682&gt;180,BH682-360,BH682)</f>
        <v>-70.317657597187463</v>
      </c>
    </row>
    <row r="683" spans="1:69" x14ac:dyDescent="0.2">
      <c r="A683">
        <f>Fo+1</f>
        <v>9420.917478209647</v>
      </c>
      <c r="B683">
        <f t="shared" si="591"/>
        <v>9.4209174782096472</v>
      </c>
      <c r="C683">
        <f t="shared" si="592"/>
        <v>1.0000025833189345</v>
      </c>
      <c r="D683">
        <f t="shared" si="593"/>
        <v>2.2730215014994523E-3</v>
      </c>
      <c r="F683">
        <f t="shared" si="594"/>
        <v>2.6412762174532527</v>
      </c>
      <c r="G683">
        <f t="shared" si="595"/>
        <v>1.570230078714056</v>
      </c>
      <c r="H683">
        <f t="shared" si="596"/>
        <v>-1.5713625712859443</v>
      </c>
      <c r="J683">
        <f t="shared" si="597"/>
        <v>15</v>
      </c>
      <c r="M683">
        <f t="shared" si="598"/>
        <v>2.395465915312352E-2</v>
      </c>
      <c r="N683">
        <f t="shared" si="599"/>
        <v>-1.5707963250000001</v>
      </c>
      <c r="O683">
        <f t="shared" si="600"/>
        <v>8.8980841366664425</v>
      </c>
      <c r="P683">
        <f t="shared" si="601"/>
        <v>1.4581746593761205</v>
      </c>
      <c r="Q683">
        <f t="shared" si="602"/>
        <v>1.6526150094364387</v>
      </c>
      <c r="R683">
        <f t="shared" si="603"/>
        <v>0.920902840795501</v>
      </c>
      <c r="S683">
        <f t="shared" si="604"/>
        <v>0.9993106611355429</v>
      </c>
      <c r="T683">
        <f t="shared" si="605"/>
        <v>-3.7132683098059067E-2</v>
      </c>
      <c r="U683">
        <f t="shared" si="606"/>
        <v>0.99917600987209831</v>
      </c>
      <c r="V683">
        <f t="shared" si="607"/>
        <v>-4.0598111106997549E-2</v>
      </c>
      <c r="X683">
        <f t="shared" si="608"/>
        <v>22.882138343776855</v>
      </c>
      <c r="Y683">
        <f t="shared" si="609"/>
        <v>-48.044755384571701</v>
      </c>
      <c r="Z683">
        <f t="shared" si="610"/>
        <v>131.95524461542828</v>
      </c>
      <c r="AC683">
        <v>1</v>
      </c>
      <c r="AD683">
        <f t="shared" si="611"/>
        <v>8.8417137085066813</v>
      </c>
      <c r="AE683">
        <f t="shared" si="612"/>
        <v>-9.4206749913470527E-5</v>
      </c>
      <c r="AF683">
        <f t="shared" si="613"/>
        <v>2.319196244890485E-3</v>
      </c>
      <c r="AG683">
        <f t="shared" si="614"/>
        <v>3788.6380874353695</v>
      </c>
      <c r="AH683">
        <f t="shared" si="615"/>
        <v>-585.07997492887807</v>
      </c>
      <c r="AJ683">
        <f t="shared" si="616"/>
        <v>18000</v>
      </c>
      <c r="AK683">
        <f t="shared" si="617"/>
        <v>668.69566460640203</v>
      </c>
      <c r="AL683">
        <v>1</v>
      </c>
      <c r="AM683">
        <f t="shared" si="618"/>
        <v>1.3157265557153586</v>
      </c>
      <c r="AN683">
        <f t="shared" si="619"/>
        <v>6912.8077437089414</v>
      </c>
      <c r="AO683">
        <f t="shared" si="620"/>
        <v>-8426.6690583462223</v>
      </c>
      <c r="AQ683">
        <f t="shared" si="621"/>
        <v>28.088724284000413</v>
      </c>
      <c r="AR683">
        <f t="shared" si="622"/>
        <v>-529.24310709550241</v>
      </c>
      <c r="AT683">
        <f t="shared" si="623"/>
        <v>-203231.53318088333</v>
      </c>
      <c r="AU683">
        <f t="shared" si="624"/>
        <v>-2021544.7431545237</v>
      </c>
      <c r="AV683">
        <f t="shared" si="625"/>
        <v>4.6121928373064627</v>
      </c>
      <c r="AW683">
        <f t="shared" si="626"/>
        <v>-4248534.6904873075</v>
      </c>
      <c r="AX683">
        <f t="shared" si="627"/>
        <v>-3915003.0667635198</v>
      </c>
      <c r="AY683">
        <f t="shared" si="628"/>
        <v>3.8861572632253099</v>
      </c>
      <c r="BA683">
        <f t="shared" si="629"/>
        <v>0.35167495388154651</v>
      </c>
      <c r="BB683">
        <f t="shared" si="630"/>
        <v>-9.0771712164515659</v>
      </c>
      <c r="BC683">
        <f t="shared" si="631"/>
        <v>0.72603557408115282</v>
      </c>
      <c r="BD683">
        <f t="shared" si="632"/>
        <v>41.598774218741411</v>
      </c>
      <c r="BF683">
        <f t="shared" si="633"/>
        <v>22.880952821310622</v>
      </c>
      <c r="BG683">
        <f t="shared" si="634"/>
        <v>-48.303434764717998</v>
      </c>
      <c r="BH683">
        <f t="shared" si="635"/>
        <v>131.69656523528201</v>
      </c>
      <c r="BI683">
        <f t="shared" si="636"/>
        <v>131.69656523528201</v>
      </c>
    </row>
    <row r="684" spans="1:69" x14ac:dyDescent="0.2">
      <c r="A684">
        <f>Fz1_u</f>
        <v>1065.5080891327334</v>
      </c>
      <c r="B684">
        <f t="shared" si="591"/>
        <v>1.0655080891327333</v>
      </c>
      <c r="C684">
        <f t="shared" si="592"/>
        <v>1.0000000330449945</v>
      </c>
      <c r="D684">
        <f t="shared" si="593"/>
        <v>2.5707972922305792E-4</v>
      </c>
      <c r="F684">
        <f t="shared" si="594"/>
        <v>1.0023169141315054</v>
      </c>
      <c r="G684">
        <f t="shared" si="595"/>
        <v>-4.2932694366798231E-2</v>
      </c>
      <c r="H684">
        <f t="shared" si="596"/>
        <v>-4.2932694366798231E-2</v>
      </c>
      <c r="J684">
        <f t="shared" si="597"/>
        <v>15</v>
      </c>
      <c r="M684">
        <f t="shared" si="598"/>
        <v>0.21180023821677726</v>
      </c>
      <c r="N684">
        <f t="shared" si="599"/>
        <v>-1.5707963250000001</v>
      </c>
      <c r="O684">
        <f t="shared" si="600"/>
        <v>1.4142135623730951</v>
      </c>
      <c r="P684">
        <f t="shared" si="601"/>
        <v>0.78539816339744828</v>
      </c>
      <c r="Q684">
        <f t="shared" si="602"/>
        <v>1.0110114330824747</v>
      </c>
      <c r="R684">
        <f t="shared" si="603"/>
        <v>0.14772495025240587</v>
      </c>
      <c r="S684">
        <f t="shared" si="604"/>
        <v>0.9999911731984622</v>
      </c>
      <c r="T684">
        <f t="shared" si="605"/>
        <v>-4.2016221922504997E-3</v>
      </c>
      <c r="U684">
        <f t="shared" si="606"/>
        <v>0.99998944691888103</v>
      </c>
      <c r="V684">
        <f t="shared" si="607"/>
        <v>-4.5941483824976145E-3</v>
      </c>
      <c r="X684">
        <f t="shared" si="608"/>
        <v>13.165708497438979</v>
      </c>
      <c r="Y684">
        <f t="shared" si="609"/>
        <v>-39.48507690239358</v>
      </c>
      <c r="Z684">
        <f t="shared" si="610"/>
        <v>140.51492309760641</v>
      </c>
      <c r="AC684">
        <v>1</v>
      </c>
      <c r="AD684">
        <f t="shared" si="611"/>
        <v>1</v>
      </c>
      <c r="AE684">
        <f t="shared" si="612"/>
        <v>-1.2050612572805783E-6</v>
      </c>
      <c r="AF684">
        <f t="shared" si="613"/>
        <v>2.6230166700140592E-4</v>
      </c>
      <c r="AG684">
        <f t="shared" si="614"/>
        <v>3794.8093185559705</v>
      </c>
      <c r="AH684">
        <f t="shared" si="615"/>
        <v>-3829.8383276503332</v>
      </c>
      <c r="AJ684">
        <f t="shared" si="616"/>
        <v>18000</v>
      </c>
      <c r="AK684">
        <f t="shared" si="617"/>
        <v>75.629644506929111</v>
      </c>
      <c r="AL684">
        <v>1</v>
      </c>
      <c r="AM684">
        <f t="shared" si="618"/>
        <v>0.14880899779072104</v>
      </c>
      <c r="AN684">
        <f t="shared" si="619"/>
        <v>17621.051726008009</v>
      </c>
      <c r="AO684">
        <f t="shared" si="620"/>
        <v>-2546.5414028587775</v>
      </c>
      <c r="AQ684">
        <f t="shared" si="621"/>
        <v>1804.6534950851615</v>
      </c>
      <c r="AR684">
        <f t="shared" si="622"/>
        <v>-3845.7457941897983</v>
      </c>
      <c r="AT684">
        <f t="shared" si="623"/>
        <v>-7880268.7410743879</v>
      </c>
      <c r="AU684">
        <f t="shared" si="624"/>
        <v>-21505403.100194164</v>
      </c>
      <c r="AV684">
        <f t="shared" si="625"/>
        <v>4.3611510187437368</v>
      </c>
      <c r="AW684">
        <f t="shared" si="626"/>
        <v>22045012.935168076</v>
      </c>
      <c r="AX684">
        <f t="shared" si="627"/>
        <v>-72391124.460800797</v>
      </c>
      <c r="AY684">
        <f t="shared" si="628"/>
        <v>-1.2751920067236999</v>
      </c>
      <c r="BA684">
        <f t="shared" si="629"/>
        <v>0.30266573481599723</v>
      </c>
      <c r="BB684">
        <f t="shared" si="630"/>
        <v>-10.380734866145115</v>
      </c>
      <c r="BC684">
        <f t="shared" si="631"/>
        <v>5.6363430254674363</v>
      </c>
      <c r="BD684">
        <f t="shared" si="632"/>
        <v>322.93866761629278</v>
      </c>
      <c r="BF684">
        <f t="shared" si="633"/>
        <v>13.161191785064927</v>
      </c>
      <c r="BG684">
        <f t="shared" si="634"/>
        <v>320.49353500663904</v>
      </c>
      <c r="BH684">
        <f t="shared" si="635"/>
        <v>140.49353500663904</v>
      </c>
      <c r="BI684">
        <f t="shared" si="636"/>
        <v>140.49353500663904</v>
      </c>
    </row>
    <row r="685" spans="1:69" x14ac:dyDescent="0.2">
      <c r="A685">
        <f>Fz2_u</f>
        <v>7160.2396693190612</v>
      </c>
      <c r="B685">
        <f t="shared" si="591"/>
        <v>7.1602396693190613</v>
      </c>
      <c r="C685">
        <f t="shared" si="592"/>
        <v>1.0000014922685407</v>
      </c>
      <c r="D685">
        <f t="shared" si="593"/>
        <v>1.727580206498464E-3</v>
      </c>
      <c r="F685">
        <f t="shared" si="594"/>
        <v>1.9442443351140168</v>
      </c>
      <c r="G685">
        <f t="shared" si="595"/>
        <v>-0.59373768601523491</v>
      </c>
      <c r="H685">
        <f t="shared" si="596"/>
        <v>-0.59373768601523491</v>
      </c>
      <c r="J685">
        <f t="shared" si="597"/>
        <v>15</v>
      </c>
      <c r="M685">
        <f t="shared" si="598"/>
        <v>3.1517781180874602E-2</v>
      </c>
      <c r="N685">
        <f t="shared" si="599"/>
        <v>-1.5707963250000001</v>
      </c>
      <c r="O685">
        <f t="shared" si="600"/>
        <v>6.7940208461340497</v>
      </c>
      <c r="P685">
        <f t="shared" si="601"/>
        <v>1.4230713765424907</v>
      </c>
      <c r="Q685">
        <f t="shared" si="602"/>
        <v>1.4142135623730951</v>
      </c>
      <c r="R685">
        <f t="shared" si="603"/>
        <v>0.78539816339744828</v>
      </c>
      <c r="S685">
        <f t="shared" si="604"/>
        <v>0.99960162584916679</v>
      </c>
      <c r="T685">
        <f t="shared" si="605"/>
        <v>-2.8227667419424375E-2</v>
      </c>
      <c r="U685">
        <f t="shared" si="606"/>
        <v>0.99952376923827024</v>
      </c>
      <c r="V685">
        <f t="shared" si="607"/>
        <v>-3.0863200281902259E-2</v>
      </c>
      <c r="X685">
        <f t="shared" si="608"/>
        <v>18.913206769683999</v>
      </c>
      <c r="Y685">
        <f t="shared" si="609"/>
        <v>-0.76935389526784725</v>
      </c>
      <c r="Z685">
        <f t="shared" si="610"/>
        <v>179.23064610473216</v>
      </c>
      <c r="AC685">
        <v>1</v>
      </c>
      <c r="AD685">
        <f t="shared" si="611"/>
        <v>6.7200237542514705</v>
      </c>
      <c r="AE685">
        <f t="shared" si="612"/>
        <v>-5.4419023005869489E-5</v>
      </c>
      <c r="AF685">
        <f t="shared" si="613"/>
        <v>1.7626734330292069E-3</v>
      </c>
      <c r="AG685">
        <f t="shared" si="614"/>
        <v>3791.2757881974117</v>
      </c>
      <c r="AH685">
        <f t="shared" si="615"/>
        <v>-684.36813180216734</v>
      </c>
      <c r="AJ685">
        <f t="shared" si="616"/>
        <v>18000</v>
      </c>
      <c r="AK685">
        <f t="shared" si="617"/>
        <v>508.23300761215779</v>
      </c>
      <c r="AL685">
        <v>1</v>
      </c>
      <c r="AM685">
        <f t="shared" si="618"/>
        <v>1</v>
      </c>
      <c r="AN685">
        <f t="shared" si="619"/>
        <v>9254.116503806079</v>
      </c>
      <c r="AO685">
        <f t="shared" si="620"/>
        <v>-8745.883496193921</v>
      </c>
      <c r="AQ685">
        <f t="shared" si="621"/>
        <v>48.525756347197543</v>
      </c>
      <c r="AR685">
        <f t="shared" si="622"/>
        <v>-694.91209116183018</v>
      </c>
      <c r="AT685">
        <f t="shared" si="623"/>
        <v>-291601.16445206222</v>
      </c>
      <c r="AU685">
        <f t="shared" si="624"/>
        <v>-2667812.8673630976</v>
      </c>
      <c r="AV685">
        <f t="shared" si="625"/>
        <v>4.6035177193044605</v>
      </c>
      <c r="AW685">
        <f t="shared" si="626"/>
        <v>-5606822.3592433706</v>
      </c>
      <c r="AX685">
        <f t="shared" si="627"/>
        <v>-6876420.8493526867</v>
      </c>
      <c r="AY685">
        <f t="shared" si="628"/>
        <v>4.028346524294351</v>
      </c>
      <c r="BA685">
        <f t="shared" si="629"/>
        <v>0.30247346813378945</v>
      </c>
      <c r="BB685">
        <f t="shared" si="630"/>
        <v>-10.386254281283939</v>
      </c>
      <c r="BC685">
        <f t="shared" si="631"/>
        <v>0.57517119501010949</v>
      </c>
      <c r="BD685">
        <f t="shared" si="632"/>
        <v>32.954882009231753</v>
      </c>
      <c r="BF685">
        <f t="shared" si="633"/>
        <v>18.910600706265747</v>
      </c>
      <c r="BG685">
        <f t="shared" si="634"/>
        <v>-0.96479852146103551</v>
      </c>
      <c r="BH685">
        <f t="shared" si="635"/>
        <v>179.03520147853897</v>
      </c>
      <c r="BI685">
        <f t="shared" si="636"/>
        <v>179.03520147853897</v>
      </c>
    </row>
    <row r="686" spans="1:69" x14ac:dyDescent="0.2">
      <c r="A686">
        <f>Fp1_u</f>
        <v>253592.96251395214</v>
      </c>
      <c r="B686">
        <f t="shared" si="591"/>
        <v>253.59296251395213</v>
      </c>
      <c r="C686">
        <f t="shared" si="592"/>
        <v>1.0018700821711357</v>
      </c>
      <c r="D686">
        <f t="shared" si="593"/>
        <v>6.110928693497953E-2</v>
      </c>
      <c r="F686">
        <f t="shared" si="594"/>
        <v>1.3683282035820135E-3</v>
      </c>
      <c r="G686">
        <f t="shared" si="595"/>
        <v>1.3945511959965054E-2</v>
      </c>
      <c r="H686">
        <f t="shared" si="596"/>
        <v>-3.127647138040035</v>
      </c>
      <c r="J686">
        <f t="shared" si="597"/>
        <v>15</v>
      </c>
      <c r="M686">
        <f t="shared" si="598"/>
        <v>8.8990981793432035E-4</v>
      </c>
      <c r="N686">
        <f t="shared" si="599"/>
        <v>-1.5707963250000001</v>
      </c>
      <c r="O686">
        <f t="shared" si="600"/>
        <v>238.00401286007579</v>
      </c>
      <c r="P686">
        <f t="shared" si="601"/>
        <v>1.566594704602646</v>
      </c>
      <c r="Q686">
        <f t="shared" si="602"/>
        <v>35.430940774768466</v>
      </c>
      <c r="R686">
        <f t="shared" si="603"/>
        <v>1.5425686593754722</v>
      </c>
      <c r="S686">
        <f t="shared" si="604"/>
        <v>0.70710678118654746</v>
      </c>
      <c r="T686">
        <f t="shared" si="605"/>
        <v>-0.78539816339744828</v>
      </c>
      <c r="U686">
        <f t="shared" si="606"/>
        <v>0.6748788270581455</v>
      </c>
      <c r="V686">
        <f t="shared" si="607"/>
        <v>-0.82999584379682534</v>
      </c>
      <c r="X686">
        <f t="shared" si="608"/>
        <v>-22.657665746129364</v>
      </c>
      <c r="Y686">
        <f t="shared" si="609"/>
        <v>-180.11299697871968</v>
      </c>
      <c r="Z686">
        <f t="shared" si="610"/>
        <v>-0.11299697871967851</v>
      </c>
      <c r="AC686">
        <v>1</v>
      </c>
      <c r="AD686">
        <f t="shared" si="611"/>
        <v>238.00191204588907</v>
      </c>
      <c r="AE686">
        <f t="shared" si="612"/>
        <v>-6.8260586628840075E-2</v>
      </c>
      <c r="AF686">
        <f t="shared" si="613"/>
        <v>6.2428298279158689E-2</v>
      </c>
      <c r="AG686">
        <f t="shared" si="614"/>
        <v>1728.4257636458708</v>
      </c>
      <c r="AH686">
        <f t="shared" si="615"/>
        <v>-1905.9202292975185</v>
      </c>
      <c r="AJ686">
        <f t="shared" si="616"/>
        <v>18000</v>
      </c>
      <c r="AK686">
        <f t="shared" si="617"/>
        <v>17999.999999999996</v>
      </c>
      <c r="AL686">
        <v>1</v>
      </c>
      <c r="AM686">
        <f t="shared" si="618"/>
        <v>35.416826003824092</v>
      </c>
      <c r="AN686">
        <f t="shared" si="619"/>
        <v>522.16676727871118</v>
      </c>
      <c r="AO686">
        <f t="shared" si="620"/>
        <v>-493.48954168942572</v>
      </c>
      <c r="AQ686">
        <f t="shared" si="621"/>
        <v>3.8874420308563966E-2</v>
      </c>
      <c r="AR686">
        <f t="shared" si="622"/>
        <v>-19.716558824122561</v>
      </c>
      <c r="AT686">
        <f t="shared" si="623"/>
        <v>-37510.996765421565</v>
      </c>
      <c r="AU686">
        <f t="shared" si="624"/>
        <v>-34152.699786121077</v>
      </c>
      <c r="AV686">
        <f t="shared" si="625"/>
        <v>3.8801631717980478</v>
      </c>
      <c r="AW686">
        <f t="shared" si="626"/>
        <v>-7470.3788658049816</v>
      </c>
      <c r="AX686">
        <f t="shared" si="627"/>
        <v>-13265.80924639466</v>
      </c>
      <c r="AY686">
        <f t="shared" si="628"/>
        <v>4.1995208576108052</v>
      </c>
      <c r="BA686">
        <f t="shared" si="629"/>
        <v>3.3320755181438662</v>
      </c>
      <c r="BB686">
        <f t="shared" si="630"/>
        <v>10.454296713887707</v>
      </c>
      <c r="BC686">
        <f t="shared" si="631"/>
        <v>-0.31935768581275736</v>
      </c>
      <c r="BD686">
        <f t="shared" si="632"/>
        <v>-18.297847573044304</v>
      </c>
      <c r="BF686">
        <f t="shared" si="633"/>
        <v>-23.283844374833535</v>
      </c>
      <c r="BG686">
        <f t="shared" si="634"/>
        <v>-193.99752435924697</v>
      </c>
      <c r="BH686">
        <f t="shared" si="635"/>
        <v>-13.997524359246967</v>
      </c>
      <c r="BI686">
        <f t="shared" si="636"/>
        <v>-13.997524359246967</v>
      </c>
    </row>
    <row r="687" spans="1:69" x14ac:dyDescent="0.2">
      <c r="A687">
        <f>Fp2_u</f>
        <v>231925.59406789159</v>
      </c>
      <c r="B687">
        <f t="shared" si="591"/>
        <v>231.92559406789158</v>
      </c>
      <c r="C687">
        <f>SQRT((A687/Fesr)^2+1)</f>
        <v>1.0015644077910204</v>
      </c>
      <c r="D687">
        <f>ATAN(A687/Fesr)</f>
        <v>5.5899392366872525E-2</v>
      </c>
      <c r="F687">
        <f t="shared" si="594"/>
        <v>1.6363507778624196E-3</v>
      </c>
      <c r="G687">
        <f t="shared" si="595"/>
        <v>1.5252282246451294E-2</v>
      </c>
      <c r="H687">
        <f t="shared" si="596"/>
        <v>-3.1263403677535488</v>
      </c>
      <c r="J687">
        <f t="shared" si="597"/>
        <v>15</v>
      </c>
      <c r="M687">
        <f t="shared" si="598"/>
        <v>9.730485676115345E-4</v>
      </c>
      <c r="N687">
        <f t="shared" si="599"/>
        <v>-1.5707963250000001</v>
      </c>
      <c r="O687">
        <f t="shared" si="600"/>
        <v>217.66896374489809</v>
      </c>
      <c r="P687">
        <f t="shared" si="601"/>
        <v>1.5662021784123989</v>
      </c>
      <c r="Q687">
        <f t="shared" si="602"/>
        <v>32.406191344302265</v>
      </c>
      <c r="R687">
        <f t="shared" si="603"/>
        <v>1.5399331265129943</v>
      </c>
      <c r="S687">
        <f t="shared" si="604"/>
        <v>0.73792856618281266</v>
      </c>
      <c r="T687">
        <f t="shared" si="605"/>
        <v>-0.74080048299807133</v>
      </c>
      <c r="U687">
        <f t="shared" si="606"/>
        <v>0.70710678118654746</v>
      </c>
      <c r="V687">
        <f t="shared" si="607"/>
        <v>-0.78539816339744828</v>
      </c>
      <c r="X687">
        <f>20*LOG(C687*J687*O687*Q687*F687*M687*S687*U687)</f>
        <v>-21.105902131247195</v>
      </c>
      <c r="Y687">
        <f>(180/Pi)*(D687+H687+N687+P687+R687+T687+V687)</f>
        <v>-175.39960679950804</v>
      </c>
      <c r="Z687">
        <f t="shared" si="610"/>
        <v>4.6003932004919648</v>
      </c>
      <c r="AC687">
        <v>1</v>
      </c>
      <c r="AD687">
        <f t="shared" si="611"/>
        <v>217.6666666666666</v>
      </c>
      <c r="AE687">
        <f t="shared" si="612"/>
        <v>-5.7094329517305989E-2</v>
      </c>
      <c r="AF687">
        <f t="shared" si="613"/>
        <v>5.7094329517306017E-2</v>
      </c>
      <c r="AG687">
        <f t="shared" si="614"/>
        <v>1897.4447068424922</v>
      </c>
      <c r="AH687">
        <f t="shared" si="615"/>
        <v>-1914.9595810594988</v>
      </c>
      <c r="AJ687">
        <f t="shared" si="616"/>
        <v>18000</v>
      </c>
      <c r="AK687">
        <f t="shared" si="617"/>
        <v>16462.052621008232</v>
      </c>
      <c r="AL687">
        <v>1</v>
      </c>
      <c r="AM687">
        <f t="shared" si="618"/>
        <v>32.390758519113611</v>
      </c>
      <c r="AN687">
        <f t="shared" si="619"/>
        <v>524.88927559151023</v>
      </c>
      <c r="AO687">
        <f t="shared" si="620"/>
        <v>-539.50915394884998</v>
      </c>
      <c r="AQ687">
        <f t="shared" si="621"/>
        <v>4.6477272612872135E-2</v>
      </c>
      <c r="AR687">
        <f t="shared" si="622"/>
        <v>-21.558538122791436</v>
      </c>
      <c r="AT687">
        <f t="shared" si="623"/>
        <v>-41195.541076968155</v>
      </c>
      <c r="AU687">
        <f t="shared" si="624"/>
        <v>-40995.136146844219</v>
      </c>
      <c r="AV687">
        <f t="shared" si="625"/>
        <v>3.9245525255071354</v>
      </c>
      <c r="AW687">
        <f t="shared" si="626"/>
        <v>-9195.4045597826662</v>
      </c>
      <c r="AX687">
        <f t="shared" si="627"/>
        <v>-14401.220447651789</v>
      </c>
      <c r="AY687">
        <f t="shared" si="628"/>
        <v>4.1441295283947532</v>
      </c>
      <c r="BA687">
        <f t="shared" si="629"/>
        <v>3.4013721743520691</v>
      </c>
      <c r="BB687">
        <f t="shared" si="630"/>
        <v>10.633083091016813</v>
      </c>
      <c r="BC687">
        <f t="shared" si="631"/>
        <v>-0.21957700288761783</v>
      </c>
      <c r="BD687">
        <f t="shared" si="632"/>
        <v>-12.580835557968093</v>
      </c>
      <c r="BF687">
        <f>20*LOG(BA687*J687*F687*C687)</f>
        <v>-21.553985927028549</v>
      </c>
      <c r="BG687">
        <f>(180/Pi)*(D687+H687+BC687)</f>
        <v>-188.5041448926782</v>
      </c>
      <c r="BH687">
        <f t="shared" si="635"/>
        <v>-8.5041448926781982</v>
      </c>
      <c r="BI687">
        <f t="shared" si="636"/>
        <v>-8.5041448926781982</v>
      </c>
    </row>
    <row r="688" spans="1:69" x14ac:dyDescent="0.2">
      <c r="A688">
        <f>'Bode Plots Calculations'!BK5*1000</f>
        <v>40500</v>
      </c>
      <c r="B688">
        <f t="shared" si="591"/>
        <v>40.5</v>
      </c>
      <c r="C688">
        <f>SQRT((A688/Fesr)^2+1)</f>
        <v>1.0000477410392288</v>
      </c>
      <c r="D688">
        <f>ATAN(A688/Fesr)</f>
        <v>9.7712987844158338E-3</v>
      </c>
      <c r="F688">
        <f t="shared" ref="F688" si="637">(Ro/(Ro+Rdcr))/SQRT((A688/(Q*Fo))^2+(1-(A688^2/Fo^2))^2)</f>
        <v>5.6404448839697842E-2</v>
      </c>
      <c r="G688">
        <f t="shared" ref="G688" si="638">-ATAN(A688*Fo/(Q*(Fo^2-A688^2)))</f>
        <v>9.1933379053508624E-2</v>
      </c>
      <c r="H688">
        <f t="shared" ref="H688" si="639">IF(G688&gt;0,G688-Pi,G688)</f>
        <v>-3.0496592709464916</v>
      </c>
      <c r="J688">
        <f t="shared" si="597"/>
        <v>15</v>
      </c>
      <c r="M688">
        <f t="shared" ref="M688" si="640">1/(2*Pi*_Rfb1*(Cc1ea_u+Cc2ea_u)*A688)</f>
        <v>5.572218940746076E-3</v>
      </c>
      <c r="N688">
        <f t="shared" si="599"/>
        <v>-1.5707963250000001</v>
      </c>
      <c r="O688">
        <f t="shared" ref="O688" si="641">SQRT(1+(A688/Fz1_u)^2)</f>
        <v>38.02318736998636</v>
      </c>
      <c r="P688">
        <f t="shared" ref="P688" si="642">ATAN(A688/Fz1_u)</f>
        <v>1.5444935525018029</v>
      </c>
      <c r="Q688">
        <f t="shared" ref="Q688" si="643">SQRT(1+(A688/Fz2_u)^2)</f>
        <v>5.74395309677785</v>
      </c>
      <c r="R688">
        <f t="shared" ref="R688" si="644">ATAN(A688/Fz2_u)</f>
        <v>1.3958085215103382</v>
      </c>
      <c r="S688">
        <f t="shared" ref="S688" si="645">1/SQRT(1+(A688/Fp1_u)^2)</f>
        <v>0.98748607584876591</v>
      </c>
      <c r="T688">
        <f t="shared" ref="T688" si="646">-ATAN(A688/Fp1_u)</f>
        <v>-0.15836736605356252</v>
      </c>
      <c r="U688">
        <f t="shared" ref="U688" si="647">1/SQRT(1+(A688/Fp2_u)^2)</f>
        <v>0.98509313264304466</v>
      </c>
      <c r="V688">
        <f t="shared" ref="V688" si="648">-ATAN(A688/Fp2_u)</f>
        <v>-0.17288175769506148</v>
      </c>
      <c r="X688">
        <f>20*LOG(C688*J688*O688*Q688*F688*M688*S688*U688)</f>
        <v>1.4424017160391572E-2</v>
      </c>
      <c r="Y688">
        <f>(180/Pi)*(D688+H688+N688+P688+R688+T688+V688)</f>
        <v>-114.6850284494206</v>
      </c>
      <c r="Z688">
        <f t="shared" ref="Z688" si="649">Y688+180</f>
        <v>65.314971550579401</v>
      </c>
      <c r="AC688">
        <v>1</v>
      </c>
      <c r="AD688">
        <f t="shared" ref="AD688" si="650">Rcea1_u*Cc1ea_u*A688*2*Pi</f>
        <v>38.010035224570501</v>
      </c>
      <c r="AE688">
        <f t="shared" ref="AE688" si="651">-Rcea1_u*Cc1ea_u*Cc2ea_u*(A688*2*Pi)^2</f>
        <v>-1.7410276494554209E-3</v>
      </c>
      <c r="AF688">
        <f t="shared" ref="AF688" si="652">(Cc2ea_u+Cc1ea_u)*A688*2*Pi</f>
        <v>9.9700956021869999E-3</v>
      </c>
      <c r="AG688">
        <f t="shared" ref="AG688" si="653">AC688*AE688/(AE688^2+AF688^2)+AD688*AF688/(AE688^2+AF688^2)</f>
        <v>3682.5928676280864</v>
      </c>
      <c r="AH688">
        <f t="shared" ref="AH688" si="654">AD688*AE688/(AE688^2+AF688^2)-AC688*AF688/(AE688^2+AF688^2)</f>
        <v>-743.37261145239859</v>
      </c>
      <c r="AJ688">
        <f t="shared" si="616"/>
        <v>18000</v>
      </c>
      <c r="AK688">
        <f t="shared" ref="AK688" si="655">_Rfb1*Rcea2_u*Cc3ea_u*A688*2*Pi</f>
        <v>2874.6854517301203</v>
      </c>
      <c r="AL688">
        <v>1</v>
      </c>
      <c r="AM688">
        <f t="shared" ref="AM688" si="656">(_Rfb1+Rcea2_u)*Cc3ea_u*A688*2*Pi</f>
        <v>5.6562352477583406</v>
      </c>
      <c r="AN688">
        <f t="shared" ref="AN688" si="657">AJ688*AL688/(AL688^2+AM688^2)+AK688*AM688/(AL688^2+AM688^2)</f>
        <v>1038.3990576386786</v>
      </c>
      <c r="AO688">
        <f t="shared" ref="AO688" si="658">AK688*AL688/(AL688^2+AM688^2)-AJ688*AM688/(AL688^2+AM688^2)</f>
        <v>-2998.7438993248179</v>
      </c>
      <c r="AQ688">
        <f t="shared" ref="AQ688" si="659">Eadcg/(1+(Eadcg*A688/GBP)^2)</f>
        <v>1.5239256324291375</v>
      </c>
      <c r="AR688">
        <f t="shared" ref="AR688" si="660">-(A688*Eadcg*Eadcg/GBP)/(1+(Eadcg*A688/GBP)^2)</f>
        <v>-123.43797622676013</v>
      </c>
      <c r="AT688">
        <f t="shared" ref="AT688" si="661">-AR688*AH688+AG688*AQ688</f>
        <v>-86148.413075306613</v>
      </c>
      <c r="AU688">
        <f t="shared" ref="AU688" si="662">AQ688*AH688+AG688*AR688</f>
        <v>-455704.65542415023</v>
      </c>
      <c r="AV688">
        <f t="shared" ref="AV688" si="663">IF(AT688&lt;0,ATAN(AU688/AT688)+Pi,ATAN(AU688/AT688))</f>
        <v>4.5255494966509664</v>
      </c>
      <c r="AW688">
        <f t="shared" ref="AW688" si="664">AG688-AH688*AO688/_Rfb2+AG688*AN688/_Rfb2+AN688-AO688*AR688+AQ688*AN688</f>
        <v>-363379.21324858238</v>
      </c>
      <c r="AX688">
        <f t="shared" ref="AX688" si="665">AH688+AH688*AN688/_Rfb2+AG688*AO688/_Rfb2+AO688+AO688*AQ688+AN688*AR688</f>
        <v>-140017.96866927162</v>
      </c>
      <c r="AY688">
        <f t="shared" ref="AY688" si="666">IF(AW688&lt;0,ATAN(AX688/AW688)+Pi,ATAN(AX688/AW688))</f>
        <v>3.5093818071896195</v>
      </c>
      <c r="BA688">
        <f t="shared" ref="BA688" si="667">SQRT(AT688^2+AU688^2)/SQRT(AW688^2+AX688^2)</f>
        <v>1.1909345829082434</v>
      </c>
      <c r="BB688">
        <f t="shared" ref="BB688" si="668">20*LOG(BA688)</f>
        <v>1.5177581337322101</v>
      </c>
      <c r="BC688">
        <f t="shared" ref="BC688" si="669">AV688-AY688</f>
        <v>1.0161676894613469</v>
      </c>
      <c r="BD688">
        <f t="shared" ref="BD688" si="670">BC688*180/Pi</f>
        <v>58.222119950224112</v>
      </c>
      <c r="BF688">
        <v>0</v>
      </c>
      <c r="BG688">
        <f>(180/Pi)*(D688+H688+BC688)</f>
        <v>-115.9506312462665</v>
      </c>
      <c r="BH688">
        <f t="shared" ref="BH688:BH690" si="671">IF(BG688&gt;180,BG688-180,BG688+180)</f>
        <v>64.049368753733503</v>
      </c>
      <c r="BI688">
        <f t="shared" ref="BI688:BI690" si="672">IF(BH688&gt;180,BH688-360,BH688)</f>
        <v>64.049368753733503</v>
      </c>
    </row>
    <row r="689" spans="1:61" x14ac:dyDescent="0.2">
      <c r="A689">
        <v>1000000</v>
      </c>
      <c r="B689">
        <f t="shared" si="591"/>
        <v>1000</v>
      </c>
      <c r="BG689">
        <f>BG688</f>
        <v>-115.9506312462665</v>
      </c>
      <c r="BH689">
        <f t="shared" si="671"/>
        <v>64.049368753733503</v>
      </c>
      <c r="BI689">
        <f t="shared" si="672"/>
        <v>64.049368753733503</v>
      </c>
    </row>
    <row r="690" spans="1:61" x14ac:dyDescent="0.2">
      <c r="A690">
        <f>'Bode Plots Calculations'!BK5*1000</f>
        <v>40500</v>
      </c>
      <c r="B690">
        <f t="shared" si="591"/>
        <v>40.5</v>
      </c>
      <c r="BG690">
        <f>BG688</f>
        <v>-115.9506312462665</v>
      </c>
      <c r="BH690">
        <f t="shared" si="671"/>
        <v>64.049368753733503</v>
      </c>
      <c r="BI690">
        <f t="shared" si="672"/>
        <v>64.049368753733503</v>
      </c>
    </row>
    <row r="691" spans="1:61" x14ac:dyDescent="0.2">
      <c r="A691">
        <f>'Bode Plots Calculations'!BK5*1000</f>
        <v>40500</v>
      </c>
      <c r="B691">
        <f t="shared" si="591"/>
        <v>40.5</v>
      </c>
      <c r="BG691">
        <v>-90</v>
      </c>
    </row>
    <row r="692" spans="1:61" x14ac:dyDescent="0.2">
      <c r="A692">
        <f>'Bode Plots Calculations'!BK5*1000</f>
        <v>40500</v>
      </c>
      <c r="B692">
        <f t="shared" si="591"/>
        <v>40.5</v>
      </c>
      <c r="BG692">
        <v>-80</v>
      </c>
    </row>
  </sheetData>
  <mergeCells count="8">
    <mergeCell ref="A1:G1"/>
    <mergeCell ref="C6:H6"/>
    <mergeCell ref="C679:H679"/>
    <mergeCell ref="O7:P7"/>
    <mergeCell ref="U7:V7"/>
    <mergeCell ref="S7:T7"/>
    <mergeCell ref="Q7:R7"/>
    <mergeCell ref="M7:N7"/>
  </mergeCells>
  <phoneticPr fontId="5" type="noConversion"/>
  <pageMargins left="0.75" right="0.75" top="1" bottom="1" header="0.5" footer="0.5"/>
  <pageSetup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1"/>
  <dimension ref="A2:B9"/>
  <sheetViews>
    <sheetView zoomScale="85" zoomScaleNormal="85" workbookViewId="0">
      <selection activeCell="B2" sqref="B2"/>
    </sheetView>
  </sheetViews>
  <sheetFormatPr defaultColWidth="9.140625" defaultRowHeight="12.75" x14ac:dyDescent="0.2"/>
  <cols>
    <col min="1" max="1" width="10.5703125" style="384" customWidth="1"/>
    <col min="2" max="2" width="129.7109375" style="384" customWidth="1"/>
    <col min="3" max="16384" width="9.140625" style="384"/>
  </cols>
  <sheetData>
    <row r="2" spans="1:2" x14ac:dyDescent="0.2">
      <c r="A2" s="384" t="str">
        <f>IF(RDSON_sense=1, "SCH_RDSON", "SCH_SHUNT")</f>
        <v>SCH_RDSON</v>
      </c>
    </row>
    <row r="5" spans="1:2" ht="403.5" customHeight="1" x14ac:dyDescent="0.2">
      <c r="B5" s="346"/>
    </row>
    <row r="6" spans="1:2" ht="12" customHeight="1" x14ac:dyDescent="0.2">
      <c r="B6" s="346"/>
    </row>
    <row r="7" spans="1:2" ht="34.5" customHeight="1" x14ac:dyDescent="0.2"/>
    <row r="8" spans="1:2" ht="404.1" customHeight="1" x14ac:dyDescent="0.2">
      <c r="B8" s="346"/>
    </row>
    <row r="9" spans="1:2" x14ac:dyDescent="0.2">
      <c r="B9" s="346"/>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BQ209"/>
  <sheetViews>
    <sheetView topLeftCell="V1" workbookViewId="0">
      <selection activeCell="AJ9" sqref="AJ9"/>
    </sheetView>
  </sheetViews>
  <sheetFormatPr defaultRowHeight="12.75" x14ac:dyDescent="0.2"/>
  <cols>
    <col min="1" max="1" width="19.85546875" customWidth="1"/>
    <col min="2" max="2" width="13.140625" bestFit="1" customWidth="1"/>
    <col min="4" max="4" width="61.5703125" customWidth="1"/>
    <col min="8" max="8" width="11" bestFit="1" customWidth="1"/>
    <col min="10" max="10" width="12.42578125" bestFit="1" customWidth="1"/>
    <col min="11" max="11" width="12.42578125" customWidth="1"/>
    <col min="12" max="12" width="10" customWidth="1"/>
    <col min="13" max="13" width="11" customWidth="1"/>
    <col min="14" max="14" width="11.42578125" customWidth="1"/>
    <col min="15" max="15" width="10.28515625" bestFit="1" customWidth="1"/>
    <col min="16" max="16" width="8" customWidth="1"/>
    <col min="17" max="17" width="11.85546875" style="40" customWidth="1"/>
    <col min="18" max="18" width="10.28515625" style="9" customWidth="1"/>
    <col min="19" max="19" width="9.42578125" bestFit="1" customWidth="1"/>
    <col min="20" max="20" width="11.5703125" customWidth="1"/>
    <col min="21" max="21" width="12.5703125" bestFit="1" customWidth="1"/>
    <col min="22" max="22" width="12.28515625" bestFit="1" customWidth="1"/>
    <col min="23" max="23" width="10.5703125" bestFit="1" customWidth="1"/>
    <col min="24" max="25" width="10.28515625" customWidth="1"/>
    <col min="26" max="27" width="12.42578125" customWidth="1"/>
    <col min="28" max="28" width="11.140625" bestFit="1" customWidth="1"/>
    <col min="29" max="29" width="11.85546875" customWidth="1"/>
    <col min="30" max="30" width="12.42578125" customWidth="1"/>
    <col min="31" max="31" width="9.5703125" bestFit="1" customWidth="1"/>
    <col min="32" max="32" width="11.5703125" customWidth="1"/>
    <col min="33" max="34" width="12.7109375" customWidth="1"/>
    <col min="35" max="35" width="14.28515625" customWidth="1"/>
    <col min="36" max="36" width="10.85546875" bestFit="1" customWidth="1"/>
    <col min="37" max="37" width="10" customWidth="1"/>
    <col min="38" max="38" width="11.28515625" customWidth="1"/>
    <col min="39" max="39" width="10.7109375" customWidth="1"/>
    <col min="41" max="41" width="10" style="4" bestFit="1" customWidth="1"/>
    <col min="42" max="42" width="15" customWidth="1"/>
    <col min="43" max="43" width="14.85546875" style="10" customWidth="1"/>
    <col min="55" max="55" width="28.42578125" customWidth="1"/>
    <col min="58" max="58" width="12.42578125" bestFit="1" customWidth="1"/>
  </cols>
  <sheetData>
    <row r="1" spans="1:69" ht="12.75" customHeight="1" x14ac:dyDescent="0.2">
      <c r="A1" s="566" t="s">
        <v>195</v>
      </c>
      <c r="B1" s="566"/>
      <c r="C1" s="566"/>
      <c r="D1" s="566"/>
    </row>
    <row r="2" spans="1:69" ht="12.75" customHeight="1" x14ac:dyDescent="0.2">
      <c r="A2" s="566"/>
      <c r="B2" s="566"/>
      <c r="C2" s="566"/>
      <c r="D2" s="566"/>
    </row>
    <row r="3" spans="1:69" ht="12.75" customHeight="1" x14ac:dyDescent="0.2">
      <c r="A3" s="566"/>
      <c r="B3" s="566"/>
      <c r="C3" s="566"/>
      <c r="D3" s="566"/>
      <c r="AG3">
        <f>VsdBot</f>
        <v>1.3</v>
      </c>
      <c r="AK3">
        <f>Iq</f>
        <v>2E-3</v>
      </c>
    </row>
    <row r="4" spans="1:69" ht="12.75" customHeight="1" x14ac:dyDescent="0.2">
      <c r="A4" s="566"/>
      <c r="B4" s="566"/>
      <c r="C4" s="566"/>
      <c r="D4" s="566"/>
    </row>
    <row r="5" spans="1:69" x14ac:dyDescent="0.2">
      <c r="A5" s="11"/>
      <c r="B5" s="12"/>
      <c r="C5" s="6"/>
      <c r="D5" s="6"/>
    </row>
    <row r="6" spans="1:69" ht="13.5" customHeight="1" thickBot="1" x14ac:dyDescent="0.25">
      <c r="A6" s="567" t="s">
        <v>198</v>
      </c>
      <c r="B6" s="567"/>
      <c r="C6" s="567"/>
      <c r="D6" s="567"/>
      <c r="BH6">
        <v>80</v>
      </c>
      <c r="BI6">
        <v>100</v>
      </c>
      <c r="BJ6">
        <v>120</v>
      </c>
      <c r="BK6">
        <v>140</v>
      </c>
      <c r="BL6">
        <v>160</v>
      </c>
      <c r="BM6">
        <v>180</v>
      </c>
      <c r="BN6">
        <v>20</v>
      </c>
      <c r="BO6">
        <v>30</v>
      </c>
      <c r="BP6">
        <v>40</v>
      </c>
      <c r="BQ6">
        <v>50</v>
      </c>
    </row>
    <row r="7" spans="1:69" ht="13.5" thickBot="1" x14ac:dyDescent="0.25">
      <c r="A7" s="567"/>
      <c r="B7" s="567"/>
      <c r="C7" s="567"/>
      <c r="D7" s="567"/>
      <c r="G7" s="13" t="s">
        <v>118</v>
      </c>
      <c r="H7" s="14"/>
      <c r="I7" s="15"/>
      <c r="J7" s="15"/>
      <c r="K7" s="496"/>
      <c r="L7" s="496"/>
      <c r="M7" s="496"/>
      <c r="N7" s="13" t="s">
        <v>143</v>
      </c>
      <c r="O7" s="14"/>
      <c r="P7" s="14"/>
      <c r="Q7" s="16"/>
      <c r="R7" s="67" t="s">
        <v>36</v>
      </c>
      <c r="S7" s="17"/>
      <c r="T7" s="15"/>
      <c r="U7" s="13" t="s">
        <v>127</v>
      </c>
      <c r="V7" s="18"/>
      <c r="W7" s="15"/>
      <c r="X7" s="13" t="s">
        <v>256</v>
      </c>
      <c r="Y7" s="14"/>
      <c r="Z7" s="14"/>
      <c r="AA7" s="478"/>
      <c r="AB7" s="14"/>
      <c r="AC7" s="15"/>
      <c r="AD7" s="13" t="s">
        <v>255</v>
      </c>
      <c r="AE7" s="18"/>
      <c r="AF7" s="68"/>
      <c r="AG7" s="15"/>
      <c r="AH7" s="414" t="s">
        <v>611</v>
      </c>
      <c r="AI7" s="69" t="s">
        <v>371</v>
      </c>
      <c r="AJ7" s="14" t="s">
        <v>370</v>
      </c>
      <c r="AK7" s="70" t="s">
        <v>237</v>
      </c>
      <c r="AL7" s="71"/>
      <c r="AM7" s="72"/>
      <c r="AN7" s="73"/>
      <c r="AO7" s="13" t="s">
        <v>254</v>
      </c>
      <c r="AP7" s="14"/>
      <c r="AQ7" s="14"/>
      <c r="AR7" s="14"/>
      <c r="AS7" s="14"/>
    </row>
    <row r="8" spans="1:69" ht="64.5" thickBot="1" x14ac:dyDescent="0.45">
      <c r="A8" s="19" t="s">
        <v>189</v>
      </c>
      <c r="B8" s="19"/>
      <c r="C8" s="19"/>
      <c r="D8" s="6"/>
      <c r="G8" s="20" t="s">
        <v>120</v>
      </c>
      <c r="H8" s="21" t="s">
        <v>6</v>
      </c>
      <c r="I8" s="21" t="s">
        <v>247</v>
      </c>
      <c r="J8" s="22" t="s">
        <v>248</v>
      </c>
      <c r="K8" s="497" t="s">
        <v>732</v>
      </c>
      <c r="L8" s="497" t="s">
        <v>733</v>
      </c>
      <c r="M8" s="497" t="s">
        <v>731</v>
      </c>
      <c r="N8" s="20" t="s">
        <v>252</v>
      </c>
      <c r="O8" s="21" t="s">
        <v>165</v>
      </c>
      <c r="P8" s="21" t="s">
        <v>121</v>
      </c>
      <c r="Q8" s="74" t="s">
        <v>372</v>
      </c>
      <c r="R8" s="75" t="s">
        <v>157</v>
      </c>
      <c r="S8" s="23" t="s">
        <v>164</v>
      </c>
      <c r="T8" s="74" t="s">
        <v>373</v>
      </c>
      <c r="U8" s="20" t="s">
        <v>157</v>
      </c>
      <c r="V8" s="21" t="s">
        <v>163</v>
      </c>
      <c r="W8" s="74" t="s">
        <v>374</v>
      </c>
      <c r="X8" s="20" t="s">
        <v>157</v>
      </c>
      <c r="Y8" s="21" t="s">
        <v>162</v>
      </c>
      <c r="Z8" s="21" t="s">
        <v>734</v>
      </c>
      <c r="AA8" s="498" t="s">
        <v>723</v>
      </c>
      <c r="AB8" s="76" t="s">
        <v>376</v>
      </c>
      <c r="AC8" s="74" t="s">
        <v>375</v>
      </c>
      <c r="AD8" s="20" t="s">
        <v>157</v>
      </c>
      <c r="AE8" s="21" t="s">
        <v>162</v>
      </c>
      <c r="AF8" s="21" t="s">
        <v>172</v>
      </c>
      <c r="AG8" s="77" t="s">
        <v>735</v>
      </c>
      <c r="AH8" s="77" t="s">
        <v>612</v>
      </c>
      <c r="AI8" s="74" t="s">
        <v>172</v>
      </c>
      <c r="AJ8" s="78" t="s">
        <v>171</v>
      </c>
      <c r="AK8" s="79" t="s">
        <v>197</v>
      </c>
      <c r="AL8" s="80" t="s">
        <v>270</v>
      </c>
      <c r="AM8" s="81" t="s">
        <v>378</v>
      </c>
      <c r="AN8" s="82" t="s">
        <v>253</v>
      </c>
      <c r="AO8" s="83" t="s">
        <v>122</v>
      </c>
      <c r="AP8" s="21" t="s">
        <v>123</v>
      </c>
      <c r="AQ8" s="84" t="s">
        <v>124</v>
      </c>
      <c r="AR8" s="21" t="s">
        <v>257</v>
      </c>
      <c r="AS8" s="21" t="s">
        <v>258</v>
      </c>
      <c r="BF8" t="s">
        <v>220</v>
      </c>
      <c r="BH8" t="s">
        <v>212</v>
      </c>
      <c r="BI8" t="s">
        <v>213</v>
      </c>
      <c r="BJ8" t="s">
        <v>214</v>
      </c>
      <c r="BK8" t="s">
        <v>215</v>
      </c>
      <c r="BL8" t="s">
        <v>216</v>
      </c>
      <c r="BM8" t="s">
        <v>217</v>
      </c>
      <c r="BN8" t="s">
        <v>221</v>
      </c>
      <c r="BO8" t="s">
        <v>222</v>
      </c>
      <c r="BP8" t="s">
        <v>223</v>
      </c>
      <c r="BQ8" t="s">
        <v>224</v>
      </c>
    </row>
    <row r="9" spans="1:69" x14ac:dyDescent="0.2">
      <c r="A9" s="24" t="s">
        <v>125</v>
      </c>
      <c r="B9" s="25" t="s">
        <v>201</v>
      </c>
      <c r="C9" s="26" t="s">
        <v>148</v>
      </c>
      <c r="D9" s="27" t="s">
        <v>188</v>
      </c>
      <c r="G9">
        <v>0</v>
      </c>
      <c r="H9">
        <f t="shared" ref="H9:H72" si="0">Iout*(G9/200)</f>
        <v>0</v>
      </c>
      <c r="I9" s="406">
        <f t="shared" ref="I9:I73" si="1">(Vout+Rdcr*H9+RdsonBot*H9)/(Vin-RdsonTop*H9+RdsonBot*H9)</f>
        <v>0.33999999999999997</v>
      </c>
      <c r="J9" s="407">
        <f t="shared" ref="J9:J72" si="2">(Vin-Vout)*I9/(Fsw*Lout2)</f>
        <v>0.44879999999999998</v>
      </c>
      <c r="K9" s="407">
        <f>H9+J9/2</f>
        <v>0.22439999999999999</v>
      </c>
      <c r="L9" s="407">
        <f>H9-J9/2</f>
        <v>-0.22439999999999999</v>
      </c>
      <c r="M9" s="63">
        <f t="shared" ref="M9:M72" si="3">IF(MIN(Vin, -L9/(CossTop+CossBot)*0.00000002)&lt;0, 0, MIN(Vin, -L9/(CossTop+CossBot)*0.00000002))</f>
        <v>8.4679245283018858</v>
      </c>
      <c r="N9" s="406">
        <f t="shared" ref="N9:N40" si="4">SQRT(H9^2+(J9^2)/12)</f>
        <v>0.12955740040615202</v>
      </c>
      <c r="O9" s="406">
        <f t="shared" ref="O9:O73" si="5">(N9^2*Rdcr*(1+Ltc*Ta-Ltc*25))/(1-N9^2*Rdcr*Ltc*ThetaCa)</f>
        <v>4.1460621540899493E-4</v>
      </c>
      <c r="P9">
        <f t="shared" ref="P9:P72" si="6">Core_Loss</f>
        <v>0.2</v>
      </c>
      <c r="Q9" s="406">
        <f>O9+P9</f>
        <v>0.20041460621540902</v>
      </c>
      <c r="R9" s="9">
        <f>J9/(2*SQRT(3))</f>
        <v>0.12955740040615202</v>
      </c>
      <c r="S9" s="9">
        <f t="shared" ref="S9:S73" si="7">RCoutEsr*R9^2</f>
        <v>3.3570240000000002E-5</v>
      </c>
      <c r="T9" s="9">
        <f>S9</f>
        <v>3.3570240000000002E-5</v>
      </c>
      <c r="U9" s="406">
        <f t="shared" ref="U9:U40" si="8">SQRT(I9)*SQRT(H9^2+(J9^2)/12)</f>
        <v>7.5544296938948333E-2</v>
      </c>
      <c r="V9" s="408">
        <f t="shared" ref="V9:V73" si="9">RCinEsr*U9^2</f>
        <v>1.8262210559999997E-5</v>
      </c>
      <c r="W9" s="406">
        <f>V9</f>
        <v>1.8262210559999997E-5</v>
      </c>
      <c r="X9" s="406">
        <f t="shared" ref="X9:X40" si="10">SQRT(I9)*SQRT(H9^2+(J9^2)/12)</f>
        <v>7.5544296938948333E-2</v>
      </c>
      <c r="Y9" s="406">
        <f t="shared" ref="Y9:Y73" si="11">RdsonTop*X9^2</f>
        <v>1.1413881599999996E-4</v>
      </c>
      <c r="Z9" s="406">
        <f t="shared" ref="Z9:Z72" si="12">IF(L9&lt;0, (Vin*K9*Tf/2)*Fsw, (Vin*L9*Tr/2+Vin*K9*Tf/2)*Fsw)</f>
        <v>1.8196151589242053E-3</v>
      </c>
      <c r="AA9" s="406">
        <f t="shared" ref="AA9:AA72" si="13">(0.5*CossTop*(Vin-M9)^2-0.5*CossBot*(Vin-M9)^2+(QossBot*(Vin-M9)/Vin)*Vin)*Fsw</f>
        <v>2.2328914026343898E-2</v>
      </c>
      <c r="AB9" s="406">
        <f t="shared" ref="AB9:AB72" si="14">IF(L9&gt;0,0,-L9*VsdTop*Deadtime*Fsw)</f>
        <v>3.3659999999999992E-3</v>
      </c>
      <c r="AC9" s="406">
        <f t="shared" ref="AC9:AC40" si="15">(AB9+AA9+Z9+Y9*(1+RdsonTopTc*Ta-RdsonTopTc*25))/(1-Y9*RdsonTopTc*ThetaJaTop)</f>
        <v>2.7629235643551901E-2</v>
      </c>
      <c r="AD9" s="406">
        <f t="shared" ref="AD9:AD40" si="16">SQRT(1-I9)*SQRT(H9^2+(J9^2)/12)</f>
        <v>0.10525292965043775</v>
      </c>
      <c r="AE9" s="406">
        <f t="shared" ref="AE9:AE73" si="17">RdsonBot*AD9^2</f>
        <v>2.21563584E-4</v>
      </c>
      <c r="AF9" s="406">
        <f t="shared" ref="AF9:AF72" si="18">IF(L9&lt;0, Deadtime*Fsw*IF(VfdSky&gt;0,0,VsdBot)*K9, Deadtime*Fsw*IF(VfdSky&gt;0,0,VsdBot)*(K9+L9))</f>
        <v>4.3758E-3</v>
      </c>
      <c r="AG9" s="406">
        <f t="shared" ref="AG9:AG40" si="19">(AF9+AE9*(1+RdsonBotTc*Ta-RdsonBotTc*25))/(1-AE9*RdsonBotTc*ThetaJaBot)</f>
        <v>4.5975265671141996E-3</v>
      </c>
      <c r="AH9" s="406">
        <f t="shared" ref="AH9:AH40" si="20">IF(RDSON_sense=1, 0, AD9^2*Rshunt)</f>
        <v>0</v>
      </c>
      <c r="AI9">
        <f t="shared" ref="AI9:AI72" si="21">2*Deadtime*Fsw*IF(VfdSky&gt;0,VfdSky,0)*H9</f>
        <v>0</v>
      </c>
      <c r="AJ9" s="407">
        <f t="shared" ref="AJ9:AJ72" si="22">IF(QrrSky&gt;0,QrrSky,QrrBot)*Fsw*(Vin-H9*RdsonTop)</f>
        <v>0.03</v>
      </c>
      <c r="AK9">
        <f t="shared" ref="AK9:AK73" si="23">Iq*Vin</f>
        <v>0.03</v>
      </c>
      <c r="AL9" s="407">
        <f t="shared" ref="AL9:AL72" si="24">IF(Ext_VCC=1, Vdd*(QgTop+QgBot)*Fsw, Vin*(QgTop+QgBot)*Fsw)</f>
        <v>0.13500000000000001</v>
      </c>
      <c r="AM9" s="407">
        <f t="shared" ref="AM9:AM73" si="25">(Vin-Vdd)*Fsw*(QgTop+QgBot)+(RdsonDRT+RdsonDRT2)*Fsw*QgTop*Vdd/(RdsonDRT+2*RGateTop+RdsonDRT2)+(RdsonDRB+RdsonDRB2)*Fsw*QgBot*Vdd/(RdsonDRB+2*RGateBot+RdsonDRB2)</f>
        <v>9.8855098389982105E-2</v>
      </c>
      <c r="AN9" s="407">
        <f>SUM(AK9:AL9)</f>
        <v>0.16500000000000001</v>
      </c>
      <c r="AO9" s="407">
        <f t="shared" ref="AO9:AO40" si="26">SUM(Q9,T9,W9,AC9,AJ9,AI9,AG9,AN9, AH9)</f>
        <v>0.4276932008766352</v>
      </c>
      <c r="AP9">
        <f t="shared" ref="AP9:AP72" si="27">Vout*H9</f>
        <v>0</v>
      </c>
      <c r="AQ9" s="10">
        <f>AP9/(AP9+AO9)</f>
        <v>0</v>
      </c>
      <c r="AR9" s="63">
        <f t="shared" ref="AR9:AR40" si="28">ThetaJaTop*AC9</f>
        <v>1.2433156039598356</v>
      </c>
      <c r="AS9" s="63">
        <f>AG9*ThetaJaBot</f>
        <v>0.18390106268456799</v>
      </c>
      <c r="AU9">
        <f>AQ9*100</f>
        <v>0</v>
      </c>
      <c r="BC9" t="s">
        <v>225</v>
      </c>
      <c r="BD9" s="28">
        <v>70</v>
      </c>
      <c r="BE9" s="28">
        <v>70</v>
      </c>
      <c r="BF9" s="28">
        <v>70</v>
      </c>
      <c r="BG9" s="29">
        <f>250000*(5-Vdd)*BF9/1000000000+((250000*BF9/1000000000*Vdd)*2.5/(2*4))</f>
        <v>-2.7343749999999972E-3</v>
      </c>
      <c r="BH9">
        <f t="shared" ref="BH9:BQ17" si="29">BH$6*$BG9</f>
        <v>-0.21874999999999978</v>
      </c>
      <c r="BI9">
        <f t="shared" si="29"/>
        <v>-0.27343749999999972</v>
      </c>
      <c r="BJ9">
        <f t="shared" si="29"/>
        <v>-0.32812499999999967</v>
      </c>
      <c r="BK9">
        <f t="shared" si="29"/>
        <v>-0.38281249999999961</v>
      </c>
      <c r="BL9">
        <f t="shared" si="29"/>
        <v>-0.43749999999999956</v>
      </c>
      <c r="BM9">
        <f t="shared" si="29"/>
        <v>-0.4921874999999995</v>
      </c>
      <c r="BN9">
        <f t="shared" si="29"/>
        <v>-5.4687499999999944E-2</v>
      </c>
      <c r="BO9">
        <f t="shared" si="29"/>
        <v>-8.2031249999999917E-2</v>
      </c>
      <c r="BP9">
        <f t="shared" si="29"/>
        <v>-0.10937499999999989</v>
      </c>
      <c r="BQ9">
        <f t="shared" si="29"/>
        <v>-0.13671874999999986</v>
      </c>
    </row>
    <row r="10" spans="1:69" x14ac:dyDescent="0.2">
      <c r="A10" s="356"/>
      <c r="B10" s="34"/>
      <c r="C10" s="26"/>
      <c r="D10" s="27"/>
      <c r="G10">
        <v>1</v>
      </c>
      <c r="H10">
        <f t="shared" si="0"/>
        <v>0.01</v>
      </c>
      <c r="I10" s="406">
        <f t="shared" ref="I10" si="30">(Vout+Rdcr*H10+RdsonBot*H10)/(Vin-RdsonTop*H10+RdsonBot*H10)</f>
        <v>0.34002979999999999</v>
      </c>
      <c r="J10" s="407">
        <f t="shared" si="2"/>
        <v>0.44883933599999998</v>
      </c>
      <c r="K10" s="407">
        <f t="shared" ref="K10:K73" si="31">H10+J10/2</f>
        <v>0.234419668</v>
      </c>
      <c r="L10" s="407">
        <f t="shared" ref="L10:L73" si="32">H10-J10/2</f>
        <v>-0.21441966799999998</v>
      </c>
      <c r="M10" s="63">
        <f t="shared" si="3"/>
        <v>8.0913082264150926</v>
      </c>
      <c r="N10" s="406">
        <f t="shared" si="4"/>
        <v>0.12995407828053496</v>
      </c>
      <c r="O10" s="406">
        <f t="shared" ref="O10" si="33">(N10^2*Rdcr*(1+Ltc*Ta-Ltc*25))/(1-N10^2*Rdcr*Ltc*ThetaCa)</f>
        <v>4.1714906340779297E-4</v>
      </c>
      <c r="P10">
        <f t="shared" si="6"/>
        <v>0.2</v>
      </c>
      <c r="Q10" s="406">
        <f t="shared" ref="Q10:Q73" si="34">O10+P10</f>
        <v>0.2004171490634078</v>
      </c>
      <c r="R10" s="9">
        <f>J10/(2*SQRT(3))</f>
        <v>0.12956875573124643</v>
      </c>
      <c r="S10" s="9">
        <f t="shared" ref="S10" si="35">RCoutEsr*R10^2</f>
        <v>3.3576124923486816E-5</v>
      </c>
      <c r="T10" s="9">
        <f>S10</f>
        <v>3.3576124923486816E-5</v>
      </c>
      <c r="U10" s="406">
        <f t="shared" si="8"/>
        <v>7.5778918580658813E-2</v>
      </c>
      <c r="V10" s="408">
        <f t="shared" ref="V10" si="36">RCinEsr*U10^2</f>
        <v>1.8375822404013175E-5</v>
      </c>
      <c r="W10" s="406">
        <f>V10</f>
        <v>1.8375822404013175E-5</v>
      </c>
      <c r="X10" s="406">
        <f t="shared" si="10"/>
        <v>7.5778918580658813E-2</v>
      </c>
      <c r="Y10" s="406">
        <f t="shared" ref="Y10" si="37">RdsonTop*X10^2</f>
        <v>1.1484889002508236E-4</v>
      </c>
      <c r="Z10" s="406">
        <f t="shared" si="12"/>
        <v>1.9008626624009779E-3</v>
      </c>
      <c r="AA10" s="406">
        <f t="shared" si="13"/>
        <v>2.3583795932267178E-2</v>
      </c>
      <c r="AB10" s="406">
        <f t="shared" si="14"/>
        <v>3.2162950199999996E-3</v>
      </c>
      <c r="AC10" s="406">
        <f t="shared" si="15"/>
        <v>2.881639822033626E-2</v>
      </c>
      <c r="AD10" s="406">
        <f t="shared" si="16"/>
        <v>0.1055728088121619</v>
      </c>
      <c r="AE10" s="406">
        <f t="shared" ref="AE10" si="38">RdsonBot*AD10^2</f>
        <v>2.2291235920978577E-4</v>
      </c>
      <c r="AF10" s="406">
        <f t="shared" si="18"/>
        <v>4.571183526E-3</v>
      </c>
      <c r="AG10" s="406">
        <f t="shared" si="19"/>
        <v>4.7942668774242385E-3</v>
      </c>
      <c r="AH10" s="406">
        <f t="shared" si="20"/>
        <v>0</v>
      </c>
      <c r="AI10">
        <f t="shared" si="21"/>
        <v>0</v>
      </c>
      <c r="AJ10" s="407">
        <f t="shared" si="22"/>
        <v>2.9999600000000001E-2</v>
      </c>
      <c r="AK10">
        <f t="shared" si="23"/>
        <v>0.03</v>
      </c>
      <c r="AL10" s="407">
        <f t="shared" si="24"/>
        <v>0.13500000000000001</v>
      </c>
      <c r="AM10" s="407">
        <f t="shared" si="25"/>
        <v>9.8855098389982105E-2</v>
      </c>
      <c r="AN10" s="407">
        <f>SUM(AK10:AL10)</f>
        <v>0.16500000000000001</v>
      </c>
      <c r="AO10" s="407">
        <f t="shared" si="26"/>
        <v>0.42907936610849584</v>
      </c>
      <c r="AP10">
        <f t="shared" si="27"/>
        <v>5.0999999999999997E-2</v>
      </c>
      <c r="AQ10" s="10">
        <f>AP10/(AP10+AO10)</f>
        <v>0.10623243488551479</v>
      </c>
      <c r="AR10" s="63">
        <f t="shared" si="28"/>
        <v>1.2967379199151317</v>
      </c>
      <c r="AS10" s="63">
        <f>AG10*ThetaJaBot</f>
        <v>0.19177067509696955</v>
      </c>
      <c r="AU10">
        <f>AQ10*100</f>
        <v>10.623243488551479</v>
      </c>
      <c r="BD10" s="28"/>
      <c r="BE10" s="28"/>
      <c r="BF10" s="28"/>
      <c r="BG10" s="29"/>
    </row>
    <row r="11" spans="1:69" x14ac:dyDescent="0.2">
      <c r="A11" s="30" t="s">
        <v>4</v>
      </c>
      <c r="B11" s="5">
        <f>Vin</f>
        <v>15</v>
      </c>
      <c r="C11" s="416" t="s">
        <v>0</v>
      </c>
      <c r="D11" s="31" t="s">
        <v>4</v>
      </c>
      <c r="G11">
        <v>2</v>
      </c>
      <c r="H11">
        <f t="shared" si="0"/>
        <v>0.02</v>
      </c>
      <c r="I11" s="406">
        <f t="shared" si="1"/>
        <v>0.34005959999999996</v>
      </c>
      <c r="J11" s="407">
        <f t="shared" si="2"/>
        <v>0.44887867199999998</v>
      </c>
      <c r="K11" s="407">
        <f t="shared" si="31"/>
        <v>0.24443933599999998</v>
      </c>
      <c r="L11" s="407">
        <f t="shared" si="32"/>
        <v>-0.204439336</v>
      </c>
      <c r="M11" s="63">
        <f t="shared" si="3"/>
        <v>7.7146919245283021</v>
      </c>
      <c r="N11" s="406">
        <f t="shared" si="4"/>
        <v>0.13111447357699924</v>
      </c>
      <c r="O11" s="406">
        <f t="shared" si="5"/>
        <v>4.246322524939082E-4</v>
      </c>
      <c r="P11">
        <f t="shared" si="6"/>
        <v>0.2</v>
      </c>
      <c r="Q11" s="406">
        <f t="shared" si="34"/>
        <v>0.20042463225249391</v>
      </c>
      <c r="R11" s="9">
        <f t="shared" ref="R11:R74" si="39">J11/(2*SQRT(3))</f>
        <v>0.12958011105634087</v>
      </c>
      <c r="S11" s="9">
        <f t="shared" si="7"/>
        <v>3.3582010362747273E-5</v>
      </c>
      <c r="T11" s="9">
        <f t="shared" ref="T11:T74" si="40">S11</f>
        <v>3.3582010362747273E-5</v>
      </c>
      <c r="U11" s="406">
        <f t="shared" si="8"/>
        <v>7.645891933303689E-2</v>
      </c>
      <c r="V11" s="408">
        <f t="shared" si="9"/>
        <v>1.8707092305842696E-5</v>
      </c>
      <c r="W11" s="406">
        <f t="shared" ref="W11:W74" si="41">V11</f>
        <v>1.8707092305842696E-5</v>
      </c>
      <c r="X11" s="406">
        <f t="shared" si="10"/>
        <v>7.645891933303689E-2</v>
      </c>
      <c r="Y11" s="406">
        <f t="shared" si="11"/>
        <v>1.1691932691151686E-4</v>
      </c>
      <c r="Z11" s="406">
        <f t="shared" si="12"/>
        <v>1.9821101658777504E-3</v>
      </c>
      <c r="AA11" s="406">
        <f t="shared" si="13"/>
        <v>2.4835131842219273E-2</v>
      </c>
      <c r="AB11" s="406">
        <f t="shared" si="14"/>
        <v>3.0665900399999995E-3</v>
      </c>
      <c r="AC11" s="406">
        <f t="shared" si="15"/>
        <v>3.0001382768474888E-2</v>
      </c>
      <c r="AD11" s="406">
        <f t="shared" si="16"/>
        <v>0.10651309232107473</v>
      </c>
      <c r="AE11" s="406">
        <f t="shared" si="17"/>
        <v>2.2690077671595578E-4</v>
      </c>
      <c r="AF11" s="406">
        <f t="shared" si="18"/>
        <v>4.766567052E-3</v>
      </c>
      <c r="AG11" s="406">
        <f t="shared" si="19"/>
        <v>4.9936491187741478E-3</v>
      </c>
      <c r="AH11" s="406">
        <f t="shared" si="20"/>
        <v>0</v>
      </c>
      <c r="AI11">
        <f t="shared" si="21"/>
        <v>0</v>
      </c>
      <c r="AJ11" s="407">
        <f t="shared" si="22"/>
        <v>2.99992E-2</v>
      </c>
      <c r="AK11">
        <f t="shared" si="23"/>
        <v>0.03</v>
      </c>
      <c r="AL11" s="407">
        <f t="shared" si="24"/>
        <v>0.13500000000000001</v>
      </c>
      <c r="AM11" s="407">
        <f t="shared" si="25"/>
        <v>9.8855098389982105E-2</v>
      </c>
      <c r="AN11" s="407">
        <f t="shared" ref="AN11:AN74" si="42">SUM(AK11:AL11)</f>
        <v>0.16500000000000001</v>
      </c>
      <c r="AO11" s="407">
        <f t="shared" si="26"/>
        <v>0.43047115324241148</v>
      </c>
      <c r="AP11">
        <f t="shared" si="27"/>
        <v>0.10199999999999999</v>
      </c>
      <c r="AQ11" s="10">
        <f t="shared" ref="AQ11:AQ74" si="43">AP11/(AP11+AO11)</f>
        <v>0.19155967300554164</v>
      </c>
      <c r="AR11" s="63">
        <f t="shared" si="28"/>
        <v>1.35006222458137</v>
      </c>
      <c r="AS11" s="63">
        <f t="shared" ref="AS11:AS74" si="44">AG11*ThetaJaBot</f>
        <v>0.1997459647509659</v>
      </c>
      <c r="AT11" s="10"/>
      <c r="AU11">
        <f t="shared" ref="AU11:AU74" si="45">AQ11*100</f>
        <v>19.155967300554163</v>
      </c>
      <c r="BC11" t="s">
        <v>226</v>
      </c>
      <c r="BD11" s="28">
        <v>90</v>
      </c>
      <c r="BE11" s="28">
        <v>90</v>
      </c>
      <c r="BF11" s="28">
        <v>90</v>
      </c>
      <c r="BG11" s="29">
        <f>250000*(12-Vdd)*BF11/1000000000+((250000*BF9/1000000000*Vdd)*2.5/(2*4))</f>
        <v>0.14226562500000001</v>
      </c>
      <c r="BH11">
        <f t="shared" si="29"/>
        <v>11.381250000000001</v>
      </c>
      <c r="BI11">
        <f t="shared" si="29"/>
        <v>14.2265625</v>
      </c>
      <c r="BJ11">
        <f t="shared" si="29"/>
        <v>17.071875000000002</v>
      </c>
      <c r="BK11">
        <f t="shared" si="29"/>
        <v>19.917187500000001</v>
      </c>
      <c r="BL11">
        <f t="shared" si="29"/>
        <v>22.762500000000003</v>
      </c>
      <c r="BM11">
        <f t="shared" si="29"/>
        <v>25.607812500000001</v>
      </c>
      <c r="BN11">
        <f t="shared" si="29"/>
        <v>2.8453125000000004</v>
      </c>
      <c r="BO11">
        <f t="shared" si="29"/>
        <v>4.2679687500000005</v>
      </c>
      <c r="BP11">
        <f t="shared" si="29"/>
        <v>5.6906250000000007</v>
      </c>
      <c r="BQ11">
        <f t="shared" si="29"/>
        <v>7.11328125</v>
      </c>
    </row>
    <row r="12" spans="1:69" x14ac:dyDescent="0.2">
      <c r="A12" s="32" t="s">
        <v>5</v>
      </c>
      <c r="B12" s="5">
        <f>Vout</f>
        <v>5.0999999999999996</v>
      </c>
      <c r="C12" s="416" t="s">
        <v>0</v>
      </c>
      <c r="D12" s="31" t="s">
        <v>5</v>
      </c>
      <c r="G12">
        <v>3</v>
      </c>
      <c r="H12">
        <f t="shared" si="0"/>
        <v>0.03</v>
      </c>
      <c r="I12" s="406">
        <f t="shared" si="1"/>
        <v>0.34008939999999999</v>
      </c>
      <c r="J12" s="407">
        <f t="shared" si="2"/>
        <v>0.44891800799999998</v>
      </c>
      <c r="K12" s="407">
        <f t="shared" si="31"/>
        <v>0.25445900399999999</v>
      </c>
      <c r="L12" s="407">
        <f t="shared" si="32"/>
        <v>-0.19445900399999999</v>
      </c>
      <c r="M12" s="63">
        <f t="shared" si="3"/>
        <v>7.3380756226415089</v>
      </c>
      <c r="N12" s="406">
        <f t="shared" si="4"/>
        <v>0.13301860080037931</v>
      </c>
      <c r="O12" s="406">
        <f t="shared" si="5"/>
        <v>4.3705580041212541E-4</v>
      </c>
      <c r="P12">
        <f t="shared" si="6"/>
        <v>0.2</v>
      </c>
      <c r="Q12" s="406">
        <f t="shared" si="34"/>
        <v>0.20043705580041213</v>
      </c>
      <c r="R12" s="9">
        <f t="shared" si="39"/>
        <v>0.12959146638143529</v>
      </c>
      <c r="S12" s="9">
        <f t="shared" si="7"/>
        <v>3.3587896317781344E-5</v>
      </c>
      <c r="T12" s="9">
        <f t="shared" si="40"/>
        <v>3.3587896317781344E-5</v>
      </c>
      <c r="U12" s="406">
        <f t="shared" si="8"/>
        <v>7.7572702756757372E-2</v>
      </c>
      <c r="V12" s="408">
        <f t="shared" si="9"/>
        <v>1.9256077481562344E-5</v>
      </c>
      <c r="W12" s="406">
        <f t="shared" si="41"/>
        <v>1.9256077481562344E-5</v>
      </c>
      <c r="X12" s="406">
        <f t="shared" si="10"/>
        <v>7.7572702756757372E-2</v>
      </c>
      <c r="Y12" s="406">
        <f t="shared" si="11"/>
        <v>1.2035048425976465E-4</v>
      </c>
      <c r="Z12" s="406">
        <f t="shared" si="12"/>
        <v>2.0633576693545232E-3</v>
      </c>
      <c r="AA12" s="406">
        <f t="shared" si="13"/>
        <v>2.6082921756200212E-2</v>
      </c>
      <c r="AB12" s="406">
        <f t="shared" si="14"/>
        <v>2.9168850599999999E-3</v>
      </c>
      <c r="AC12" s="406">
        <f t="shared" si="15"/>
        <v>3.1184190515651865E-2</v>
      </c>
      <c r="AD12" s="406">
        <f t="shared" si="16"/>
        <v>0.10805750295977803</v>
      </c>
      <c r="AE12" s="406">
        <f t="shared" si="17"/>
        <v>2.3352847891804876E-4</v>
      </c>
      <c r="AF12" s="406">
        <f t="shared" si="18"/>
        <v>4.961950578E-3</v>
      </c>
      <c r="AG12" s="406">
        <f t="shared" si="19"/>
        <v>5.1956731909432062E-3</v>
      </c>
      <c r="AH12" s="406">
        <f t="shared" si="20"/>
        <v>0</v>
      </c>
      <c r="AI12">
        <f t="shared" si="21"/>
        <v>0</v>
      </c>
      <c r="AJ12" s="407">
        <f t="shared" si="22"/>
        <v>2.9998799999999999E-2</v>
      </c>
      <c r="AK12">
        <f t="shared" si="23"/>
        <v>0.03</v>
      </c>
      <c r="AL12" s="407">
        <f t="shared" si="24"/>
        <v>0.13500000000000001</v>
      </c>
      <c r="AM12" s="407">
        <f t="shared" si="25"/>
        <v>9.8855098389982105E-2</v>
      </c>
      <c r="AN12" s="407">
        <f t="shared" si="42"/>
        <v>0.16500000000000001</v>
      </c>
      <c r="AO12" s="407">
        <f t="shared" si="26"/>
        <v>0.4318685634808066</v>
      </c>
      <c r="AP12">
        <f t="shared" si="27"/>
        <v>0.153</v>
      </c>
      <c r="AQ12" s="10">
        <f t="shared" si="43"/>
        <v>0.26159723663284379</v>
      </c>
      <c r="AR12" s="63">
        <f t="shared" si="28"/>
        <v>1.4032885732043339</v>
      </c>
      <c r="AS12" s="63">
        <f t="shared" si="44"/>
        <v>0.20782692763772825</v>
      </c>
      <c r="AT12" s="10"/>
      <c r="AU12">
        <f t="shared" si="45"/>
        <v>26.159723663284378</v>
      </c>
      <c r="BC12" t="s">
        <v>231</v>
      </c>
      <c r="BD12" s="28">
        <v>60</v>
      </c>
      <c r="BE12" s="28">
        <v>60</v>
      </c>
      <c r="BF12" s="28">
        <v>60</v>
      </c>
      <c r="BG12" s="29">
        <f>250000*(18-Vdd)*BF12/1000000000+((250000*BF9/1000000000*Vdd)*2.5/(2*4))</f>
        <v>0.198515625</v>
      </c>
      <c r="BH12">
        <f t="shared" si="29"/>
        <v>15.88125</v>
      </c>
      <c r="BI12">
        <f t="shared" si="29"/>
        <v>19.8515625</v>
      </c>
      <c r="BJ12">
        <f t="shared" si="29"/>
        <v>23.821874999999999</v>
      </c>
      <c r="BK12">
        <f t="shared" si="29"/>
        <v>27.792187500000001</v>
      </c>
      <c r="BL12">
        <f t="shared" si="29"/>
        <v>31.762499999999999</v>
      </c>
      <c r="BM12">
        <f t="shared" si="29"/>
        <v>35.732812500000001</v>
      </c>
      <c r="BN12">
        <f t="shared" si="29"/>
        <v>3.9703124999999999</v>
      </c>
      <c r="BO12">
        <f t="shared" si="29"/>
        <v>5.9554687499999996</v>
      </c>
      <c r="BP12">
        <f t="shared" si="29"/>
        <v>7.9406249999999998</v>
      </c>
      <c r="BQ12">
        <f t="shared" si="29"/>
        <v>9.92578125</v>
      </c>
    </row>
    <row r="13" spans="1:69" x14ac:dyDescent="0.2">
      <c r="A13" s="32" t="s">
        <v>7</v>
      </c>
      <c r="B13" s="5">
        <f>Fsw/1000</f>
        <v>500</v>
      </c>
      <c r="C13" s="416" t="s">
        <v>3</v>
      </c>
      <c r="D13" s="31" t="s">
        <v>173</v>
      </c>
      <c r="G13">
        <v>4</v>
      </c>
      <c r="H13">
        <f t="shared" si="0"/>
        <v>0.04</v>
      </c>
      <c r="I13" s="406">
        <f t="shared" si="1"/>
        <v>0.34011920000000001</v>
      </c>
      <c r="J13" s="407">
        <f t="shared" si="2"/>
        <v>0.44895734400000004</v>
      </c>
      <c r="K13" s="407">
        <f t="shared" si="31"/>
        <v>0.26447867200000003</v>
      </c>
      <c r="L13" s="407">
        <f t="shared" si="32"/>
        <v>-0.18447867200000001</v>
      </c>
      <c r="M13" s="63">
        <f t="shared" si="3"/>
        <v>6.9614593207547166</v>
      </c>
      <c r="N13" s="406">
        <f t="shared" si="4"/>
        <v>0.13563514070584559</v>
      </c>
      <c r="O13" s="406">
        <f t="shared" si="5"/>
        <v>4.5441973662230614E-4</v>
      </c>
      <c r="P13">
        <f t="shared" si="6"/>
        <v>0.2</v>
      </c>
      <c r="Q13" s="406">
        <f t="shared" si="34"/>
        <v>0.20045441973662231</v>
      </c>
      <c r="R13" s="9">
        <f t="shared" si="39"/>
        <v>0.12960282170652973</v>
      </c>
      <c r="S13" s="9">
        <f t="shared" si="7"/>
        <v>3.3593782788589064E-5</v>
      </c>
      <c r="T13" s="9">
        <f t="shared" si="40"/>
        <v>3.3593782788589064E-5</v>
      </c>
      <c r="U13" s="406">
        <f t="shared" si="8"/>
        <v>7.9102060551633796E-2</v>
      </c>
      <c r="V13" s="408">
        <f t="shared" si="9"/>
        <v>2.002283514724589E-5</v>
      </c>
      <c r="W13" s="406">
        <f t="shared" si="41"/>
        <v>2.002283514724589E-5</v>
      </c>
      <c r="X13" s="406">
        <f t="shared" si="10"/>
        <v>7.9102060551633796E-2</v>
      </c>
      <c r="Y13" s="406">
        <f t="shared" si="11"/>
        <v>1.2514271967028681E-4</v>
      </c>
      <c r="Z13" s="406">
        <f t="shared" si="12"/>
        <v>2.1446051728312961E-3</v>
      </c>
      <c r="AA13" s="406">
        <f t="shared" si="13"/>
        <v>2.7327165674209977E-2</v>
      </c>
      <c r="AB13" s="406">
        <f t="shared" si="14"/>
        <v>2.7671800799999998E-3</v>
      </c>
      <c r="AC13" s="406">
        <f t="shared" si="15"/>
        <v>3.2364822686659432E-2</v>
      </c>
      <c r="AD13" s="406">
        <f t="shared" si="16"/>
        <v>0.11018055822503439</v>
      </c>
      <c r="AE13" s="406">
        <f t="shared" si="17"/>
        <v>2.4279510821560387E-4</v>
      </c>
      <c r="AF13" s="406">
        <f t="shared" si="18"/>
        <v>5.1573341040000008E-3</v>
      </c>
      <c r="AG13" s="406">
        <f t="shared" si="19"/>
        <v>5.4003390003583233E-3</v>
      </c>
      <c r="AH13" s="406">
        <f t="shared" si="20"/>
        <v>0</v>
      </c>
      <c r="AI13">
        <f t="shared" si="21"/>
        <v>0</v>
      </c>
      <c r="AJ13" s="407">
        <f t="shared" si="22"/>
        <v>2.9998400000000001E-2</v>
      </c>
      <c r="AK13">
        <f t="shared" si="23"/>
        <v>0.03</v>
      </c>
      <c r="AL13" s="407">
        <f t="shared" si="24"/>
        <v>0.13500000000000001</v>
      </c>
      <c r="AM13" s="407">
        <f t="shared" si="25"/>
        <v>9.8855098389982105E-2</v>
      </c>
      <c r="AN13" s="407">
        <f t="shared" si="42"/>
        <v>0.16500000000000001</v>
      </c>
      <c r="AO13" s="407">
        <f t="shared" si="26"/>
        <v>0.43327159804157589</v>
      </c>
      <c r="AP13">
        <f t="shared" si="27"/>
        <v>0.20399999999999999</v>
      </c>
      <c r="AQ13" s="10">
        <f t="shared" si="43"/>
        <v>0.32011468991701547</v>
      </c>
      <c r="AR13" s="63">
        <f t="shared" si="28"/>
        <v>1.4564170208996745</v>
      </c>
      <c r="AS13" s="63">
        <f t="shared" si="44"/>
        <v>0.21601356001433292</v>
      </c>
      <c r="AT13" s="10"/>
      <c r="AU13">
        <f t="shared" si="45"/>
        <v>32.011468991701548</v>
      </c>
      <c r="BC13" t="s">
        <v>227</v>
      </c>
      <c r="BD13" s="28">
        <v>30</v>
      </c>
      <c r="BE13" s="28">
        <v>30</v>
      </c>
      <c r="BF13" s="28">
        <v>30</v>
      </c>
      <c r="BG13" s="29">
        <f>500000*(5-Vdd)*BF13/1000000000+((500000*BF9/1000000000*Vdd)*2.5/(2*4))</f>
        <v>4.4531250000000001E-2</v>
      </c>
      <c r="BH13">
        <f t="shared" si="29"/>
        <v>3.5625</v>
      </c>
      <c r="BI13">
        <f t="shared" si="29"/>
        <v>4.453125</v>
      </c>
      <c r="BJ13">
        <f t="shared" si="29"/>
        <v>5.34375</v>
      </c>
      <c r="BK13">
        <f t="shared" si="29"/>
        <v>6.234375</v>
      </c>
      <c r="BL13">
        <f t="shared" si="29"/>
        <v>7.125</v>
      </c>
      <c r="BM13">
        <f t="shared" si="29"/>
        <v>8.015625</v>
      </c>
      <c r="BN13">
        <f t="shared" si="29"/>
        <v>0.890625</v>
      </c>
      <c r="BO13">
        <f t="shared" si="29"/>
        <v>1.3359375</v>
      </c>
      <c r="BP13">
        <f t="shared" si="29"/>
        <v>1.78125</v>
      </c>
      <c r="BQ13">
        <f t="shared" si="29"/>
        <v>2.2265625</v>
      </c>
    </row>
    <row r="14" spans="1:69" x14ac:dyDescent="0.2">
      <c r="A14" s="32" t="s">
        <v>6</v>
      </c>
      <c r="B14" s="5">
        <f>Iout</f>
        <v>2</v>
      </c>
      <c r="C14" s="416" t="s">
        <v>2</v>
      </c>
      <c r="D14" s="31" t="s">
        <v>174</v>
      </c>
      <c r="G14">
        <v>5</v>
      </c>
      <c r="H14">
        <f t="shared" si="0"/>
        <v>0.05</v>
      </c>
      <c r="I14" s="406">
        <f t="shared" si="1"/>
        <v>0.34014900000000003</v>
      </c>
      <c r="J14" s="407">
        <f t="shared" si="2"/>
        <v>0.44899668000000009</v>
      </c>
      <c r="K14" s="407">
        <f t="shared" si="31"/>
        <v>0.27449834000000006</v>
      </c>
      <c r="L14" s="407">
        <f t="shared" si="32"/>
        <v>-0.17449834000000003</v>
      </c>
      <c r="M14" s="63">
        <f t="shared" si="3"/>
        <v>6.5848430188679252</v>
      </c>
      <c r="N14" s="406">
        <f t="shared" si="4"/>
        <v>0.13892384564064303</v>
      </c>
      <c r="O14" s="406">
        <f t="shared" si="5"/>
        <v>4.7672410229956225E-4</v>
      </c>
      <c r="P14">
        <f t="shared" si="6"/>
        <v>0.2</v>
      </c>
      <c r="Q14" s="406">
        <f t="shared" si="34"/>
        <v>0.20047672410229958</v>
      </c>
      <c r="R14" s="9">
        <f t="shared" si="39"/>
        <v>0.12961417703162417</v>
      </c>
      <c r="S14" s="9">
        <f t="shared" si="7"/>
        <v>3.3599669775170419E-5</v>
      </c>
      <c r="T14" s="9">
        <f t="shared" si="40"/>
        <v>3.3599669775170419E-5</v>
      </c>
      <c r="U14" s="406">
        <f t="shared" si="8"/>
        <v>8.1023573959541073E-2</v>
      </c>
      <c r="V14" s="408">
        <f t="shared" si="9"/>
        <v>2.1007422518967114E-5</v>
      </c>
      <c r="W14" s="406">
        <f t="shared" si="41"/>
        <v>2.1007422518967114E-5</v>
      </c>
      <c r="X14" s="406">
        <f t="shared" si="10"/>
        <v>8.1023573959541073E-2</v>
      </c>
      <c r="Y14" s="406">
        <f t="shared" si="11"/>
        <v>1.3129639074354444E-4</v>
      </c>
      <c r="Z14" s="406">
        <f t="shared" si="12"/>
        <v>2.225852676308069E-3</v>
      </c>
      <c r="AA14" s="406">
        <f t="shared" si="13"/>
        <v>2.856786359624856E-2</v>
      </c>
      <c r="AB14" s="406">
        <f t="shared" si="14"/>
        <v>2.6174751000000002E-3</v>
      </c>
      <c r="AC14" s="406">
        <f t="shared" si="15"/>
        <v>3.3543280503399657E-2</v>
      </c>
      <c r="AD14" s="406">
        <f t="shared" si="16"/>
        <v>0.11284952525557203</v>
      </c>
      <c r="AE14" s="406">
        <f t="shared" si="17"/>
        <v>2.5470030700815979E-4</v>
      </c>
      <c r="AF14" s="406">
        <f t="shared" si="18"/>
        <v>5.3527176300000008E-3</v>
      </c>
      <c r="AG14" s="406">
        <f t="shared" si="19"/>
        <v>5.6076464600921571E-3</v>
      </c>
      <c r="AH14" s="406">
        <f t="shared" si="20"/>
        <v>0</v>
      </c>
      <c r="AI14">
        <f t="shared" si="21"/>
        <v>0</v>
      </c>
      <c r="AJ14" s="407">
        <f t="shared" si="22"/>
        <v>2.9998E-2</v>
      </c>
      <c r="AK14">
        <f t="shared" si="23"/>
        <v>0.03</v>
      </c>
      <c r="AL14" s="407">
        <f t="shared" si="24"/>
        <v>0.13500000000000001</v>
      </c>
      <c r="AM14" s="407">
        <f t="shared" si="25"/>
        <v>9.8855098389982105E-2</v>
      </c>
      <c r="AN14" s="407">
        <f t="shared" si="42"/>
        <v>0.16500000000000001</v>
      </c>
      <c r="AO14" s="407">
        <f t="shared" si="26"/>
        <v>0.43468025815808553</v>
      </c>
      <c r="AP14">
        <f t="shared" si="27"/>
        <v>0.255</v>
      </c>
      <c r="AQ14" s="10">
        <f t="shared" si="43"/>
        <v>0.36973655108096481</v>
      </c>
      <c r="AR14" s="63">
        <f t="shared" si="28"/>
        <v>1.5094476226529845</v>
      </c>
      <c r="AS14" s="63">
        <f t="shared" si="44"/>
        <v>0.22430585840368628</v>
      </c>
      <c r="AT14" s="10"/>
      <c r="AU14">
        <f t="shared" si="45"/>
        <v>36.97365510809648</v>
      </c>
      <c r="BC14" t="s">
        <v>230</v>
      </c>
      <c r="BD14" s="28">
        <v>45</v>
      </c>
      <c r="BE14" s="28">
        <v>45</v>
      </c>
      <c r="BF14" s="28">
        <v>45</v>
      </c>
      <c r="BG14" s="29">
        <f>500000*(12-Vdd)*BF14/1000000000+((500000*BF9/1000000000*Vdd)*2.5/(2*4))</f>
        <v>0.18328125000000001</v>
      </c>
      <c r="BH14">
        <f t="shared" si="29"/>
        <v>14.662500000000001</v>
      </c>
      <c r="BI14">
        <f t="shared" si="29"/>
        <v>18.328125</v>
      </c>
      <c r="BJ14">
        <f t="shared" si="29"/>
        <v>21.993750000000002</v>
      </c>
      <c r="BK14">
        <f t="shared" si="29"/>
        <v>25.659375000000001</v>
      </c>
      <c r="BL14">
        <f t="shared" si="29"/>
        <v>29.325000000000003</v>
      </c>
      <c r="BM14">
        <f t="shared" si="29"/>
        <v>32.990625000000001</v>
      </c>
      <c r="BN14">
        <f t="shared" si="29"/>
        <v>3.6656250000000004</v>
      </c>
      <c r="BO14">
        <f t="shared" si="29"/>
        <v>5.4984375000000005</v>
      </c>
      <c r="BP14">
        <f t="shared" si="29"/>
        <v>7.3312500000000007</v>
      </c>
      <c r="BQ14">
        <f t="shared" si="29"/>
        <v>9.1640625</v>
      </c>
    </row>
    <row r="15" spans="1:69" x14ac:dyDescent="0.2">
      <c r="A15" s="33" t="s">
        <v>156</v>
      </c>
      <c r="B15" s="5">
        <f>Ta</f>
        <v>25</v>
      </c>
      <c r="C15" s="416" t="s">
        <v>711</v>
      </c>
      <c r="D15" s="31" t="s">
        <v>175</v>
      </c>
      <c r="G15">
        <v>6</v>
      </c>
      <c r="H15">
        <f t="shared" si="0"/>
        <v>0.06</v>
      </c>
      <c r="I15" s="406">
        <f t="shared" si="1"/>
        <v>0.3401788</v>
      </c>
      <c r="J15" s="407">
        <f t="shared" si="2"/>
        <v>0.44903601600000004</v>
      </c>
      <c r="K15" s="407">
        <f t="shared" si="31"/>
        <v>0.28451800800000004</v>
      </c>
      <c r="L15" s="407">
        <f t="shared" si="32"/>
        <v>-0.16451800800000002</v>
      </c>
      <c r="M15" s="63">
        <f t="shared" si="3"/>
        <v>6.208226716981132</v>
      </c>
      <c r="N15" s="406">
        <f t="shared" si="4"/>
        <v>0.14283829542095036</v>
      </c>
      <c r="O15" s="406">
        <f t="shared" si="5"/>
        <v>5.0396895033450102E-4</v>
      </c>
      <c r="P15">
        <f t="shared" si="6"/>
        <v>0.2</v>
      </c>
      <c r="Q15" s="406">
        <f t="shared" si="34"/>
        <v>0.20050396895033451</v>
      </c>
      <c r="R15" s="9">
        <f t="shared" si="39"/>
        <v>0.12962553235671856</v>
      </c>
      <c r="S15" s="9">
        <f t="shared" si="7"/>
        <v>3.3605557277525383E-5</v>
      </c>
      <c r="T15" s="9">
        <f t="shared" si="40"/>
        <v>3.3605557277525383E-5</v>
      </c>
      <c r="U15" s="406">
        <f t="shared" si="8"/>
        <v>8.3310219985305078E-2</v>
      </c>
      <c r="V15" s="408">
        <f t="shared" si="9"/>
        <v>2.2209896812799763E-5</v>
      </c>
      <c r="W15" s="406">
        <f t="shared" si="41"/>
        <v>2.2209896812799763E-5</v>
      </c>
      <c r="X15" s="406">
        <f t="shared" si="10"/>
        <v>8.3310219985305078E-2</v>
      </c>
      <c r="Y15" s="406">
        <f t="shared" si="11"/>
        <v>1.388118550799985E-4</v>
      </c>
      <c r="Z15" s="406">
        <f t="shared" si="12"/>
        <v>2.3071001797848418E-3</v>
      </c>
      <c r="AA15" s="406">
        <f t="shared" si="13"/>
        <v>2.9805015522315979E-2</v>
      </c>
      <c r="AB15" s="406">
        <f t="shared" si="14"/>
        <v>2.4677701200000002E-3</v>
      </c>
      <c r="AC15" s="406">
        <f t="shared" si="15"/>
        <v>3.4719565184885968E-2</v>
      </c>
      <c r="AD15" s="406">
        <f t="shared" si="16"/>
        <v>0.11602666023273601</v>
      </c>
      <c r="AE15" s="406">
        <f t="shared" si="17"/>
        <v>2.6924371769525529E-4</v>
      </c>
      <c r="AF15" s="406">
        <f t="shared" si="18"/>
        <v>5.5481011560000008E-3</v>
      </c>
      <c r="AG15" s="406">
        <f t="shared" si="19"/>
        <v>5.8175954898612939E-3</v>
      </c>
      <c r="AH15" s="406">
        <f t="shared" si="20"/>
        <v>0</v>
      </c>
      <c r="AI15">
        <f t="shared" si="21"/>
        <v>0</v>
      </c>
      <c r="AJ15" s="407">
        <f t="shared" si="22"/>
        <v>2.9997599999999999E-2</v>
      </c>
      <c r="AK15">
        <f t="shared" si="23"/>
        <v>0.03</v>
      </c>
      <c r="AL15" s="407">
        <f t="shared" si="24"/>
        <v>0.13500000000000001</v>
      </c>
      <c r="AM15" s="407">
        <f t="shared" si="25"/>
        <v>9.8855098389982105E-2</v>
      </c>
      <c r="AN15" s="407">
        <f t="shared" si="42"/>
        <v>0.16500000000000001</v>
      </c>
      <c r="AO15" s="407">
        <f t="shared" si="26"/>
        <v>0.43609454507917211</v>
      </c>
      <c r="AP15">
        <f t="shared" si="27"/>
        <v>0.30599999999999999</v>
      </c>
      <c r="AQ15" s="10">
        <f t="shared" si="43"/>
        <v>0.41234638096868598</v>
      </c>
      <c r="AR15" s="63">
        <f t="shared" si="28"/>
        <v>1.5623804333198685</v>
      </c>
      <c r="AS15" s="63">
        <f t="shared" si="44"/>
        <v>0.23270381959445174</v>
      </c>
      <c r="AT15" s="10"/>
      <c r="AU15">
        <f t="shared" si="45"/>
        <v>41.234638096868601</v>
      </c>
      <c r="BC15" t="s">
        <v>228</v>
      </c>
      <c r="BD15" s="28">
        <v>20</v>
      </c>
      <c r="BE15" s="28">
        <v>20</v>
      </c>
      <c r="BF15" s="28">
        <v>20</v>
      </c>
      <c r="BG15" s="29">
        <f>1000000*(5-Vdd)*BF15/1000000000+((1000000*BF9/1000000000*Vdd)*2.5/(2*4))</f>
        <v>0.1140625</v>
      </c>
      <c r="BH15">
        <f t="shared" si="29"/>
        <v>9.125</v>
      </c>
      <c r="BI15">
        <f t="shared" si="29"/>
        <v>11.40625</v>
      </c>
      <c r="BJ15">
        <f t="shared" si="29"/>
        <v>13.6875</v>
      </c>
      <c r="BK15">
        <f t="shared" si="29"/>
        <v>15.96875</v>
      </c>
      <c r="BL15">
        <f t="shared" si="29"/>
        <v>18.25</v>
      </c>
      <c r="BM15">
        <f t="shared" si="29"/>
        <v>20.53125</v>
      </c>
      <c r="BN15">
        <f t="shared" si="29"/>
        <v>2.28125</v>
      </c>
      <c r="BO15">
        <f t="shared" si="29"/>
        <v>3.421875</v>
      </c>
      <c r="BP15">
        <f t="shared" si="29"/>
        <v>4.5625</v>
      </c>
      <c r="BQ15">
        <f t="shared" si="29"/>
        <v>5.703125</v>
      </c>
    </row>
    <row r="16" spans="1:69" x14ac:dyDescent="0.2">
      <c r="A16" s="405" t="s">
        <v>610</v>
      </c>
      <c r="B16" s="5">
        <v>7.5</v>
      </c>
      <c r="C16" s="416" t="s">
        <v>0</v>
      </c>
      <c r="D16" s="416" t="s">
        <v>615</v>
      </c>
      <c r="G16">
        <v>7</v>
      </c>
      <c r="H16">
        <f t="shared" si="0"/>
        <v>7.0000000000000007E-2</v>
      </c>
      <c r="I16" s="406">
        <f t="shared" si="1"/>
        <v>0.34020860000000003</v>
      </c>
      <c r="J16" s="407">
        <f t="shared" si="2"/>
        <v>0.44907535200000009</v>
      </c>
      <c r="K16" s="407">
        <f t="shared" si="31"/>
        <v>0.29453767600000003</v>
      </c>
      <c r="L16" s="407">
        <f t="shared" si="32"/>
        <v>-0.15453767600000004</v>
      </c>
      <c r="M16" s="63">
        <f t="shared" si="3"/>
        <v>5.8316104150943415</v>
      </c>
      <c r="N16" s="406">
        <f t="shared" si="4"/>
        <v>0.14732862127851126</v>
      </c>
      <c r="O16" s="406">
        <f t="shared" si="5"/>
        <v>5.3615434533353906E-4</v>
      </c>
      <c r="P16">
        <f t="shared" si="6"/>
        <v>0.2</v>
      </c>
      <c r="Q16" s="406">
        <f t="shared" si="34"/>
        <v>0.20053615434533356</v>
      </c>
      <c r="R16" s="9">
        <f t="shared" si="39"/>
        <v>0.129636887681813</v>
      </c>
      <c r="S16" s="9">
        <f t="shared" si="7"/>
        <v>3.3611445295654002E-5</v>
      </c>
      <c r="T16" s="9">
        <f t="shared" si="40"/>
        <v>3.3611445295654002E-5</v>
      </c>
      <c r="U16" s="406">
        <f t="shared" si="8"/>
        <v>8.5932959416079216E-2</v>
      </c>
      <c r="V16" s="408">
        <f t="shared" si="9"/>
        <v>2.3630315244817659E-5</v>
      </c>
      <c r="W16" s="406">
        <f t="shared" si="41"/>
        <v>2.3630315244817659E-5</v>
      </c>
      <c r="X16" s="406">
        <f t="shared" si="10"/>
        <v>8.5932959416079216E-2</v>
      </c>
      <c r="Y16" s="406">
        <f t="shared" si="11"/>
        <v>1.4768947028011035E-4</v>
      </c>
      <c r="Z16" s="406">
        <f t="shared" si="12"/>
        <v>2.3883476832616138E-3</v>
      </c>
      <c r="AA16" s="406">
        <f t="shared" si="13"/>
        <v>3.1038621452412221E-2</v>
      </c>
      <c r="AB16" s="406">
        <f t="shared" si="14"/>
        <v>2.3180651400000001E-3</v>
      </c>
      <c r="AC16" s="406">
        <f t="shared" si="15"/>
        <v>3.5893677947244781E-2</v>
      </c>
      <c r="AD16" s="406">
        <f t="shared" si="16"/>
        <v>0.11967142154174272</v>
      </c>
      <c r="AE16" s="406">
        <f t="shared" si="17"/>
        <v>2.8642498267642967E-4</v>
      </c>
      <c r="AF16" s="406">
        <f t="shared" si="18"/>
        <v>5.7434846820000008E-3</v>
      </c>
      <c r="AG16" s="406">
        <f t="shared" si="19"/>
        <v>6.0301860160244577E-3</v>
      </c>
      <c r="AH16" s="406">
        <f t="shared" si="20"/>
        <v>0</v>
      </c>
      <c r="AI16">
        <f t="shared" si="21"/>
        <v>0</v>
      </c>
      <c r="AJ16" s="407">
        <f t="shared" si="22"/>
        <v>2.9997200000000002E-2</v>
      </c>
      <c r="AK16">
        <f t="shared" si="23"/>
        <v>0.03</v>
      </c>
      <c r="AL16" s="407">
        <f t="shared" si="24"/>
        <v>0.13500000000000001</v>
      </c>
      <c r="AM16" s="407">
        <f t="shared" si="25"/>
        <v>9.8855098389982105E-2</v>
      </c>
      <c r="AN16" s="407">
        <f t="shared" si="42"/>
        <v>0.16500000000000001</v>
      </c>
      <c r="AO16" s="407">
        <f t="shared" si="26"/>
        <v>0.4375144600691433</v>
      </c>
      <c r="AP16">
        <f t="shared" si="27"/>
        <v>0.35699999999999998</v>
      </c>
      <c r="AQ16" s="10">
        <f t="shared" si="43"/>
        <v>0.44933102912806866</v>
      </c>
      <c r="AR16" s="63">
        <f t="shared" si="28"/>
        <v>1.6152155076260151</v>
      </c>
      <c r="AS16" s="63">
        <f t="shared" si="44"/>
        <v>0.24120744064097832</v>
      </c>
      <c r="AT16" s="10"/>
      <c r="AU16">
        <f t="shared" si="45"/>
        <v>44.933102912806866</v>
      </c>
      <c r="BC16" t="s">
        <v>229</v>
      </c>
      <c r="BD16" s="28">
        <v>25</v>
      </c>
      <c r="BE16" s="28">
        <v>25</v>
      </c>
      <c r="BF16" s="28">
        <v>25</v>
      </c>
      <c r="BG16" s="29">
        <f>1000000*(12-Vdd)*BF16/1000000000+((1000000*BF9/1000000000*Vdd)*2.5/(2*4))</f>
        <v>0.27656249999999999</v>
      </c>
      <c r="BH16">
        <f t="shared" si="29"/>
        <v>22.125</v>
      </c>
      <c r="BI16">
        <f t="shared" si="29"/>
        <v>27.65625</v>
      </c>
      <c r="BJ16">
        <f t="shared" si="29"/>
        <v>33.1875</v>
      </c>
      <c r="BK16">
        <f t="shared" si="29"/>
        <v>38.71875</v>
      </c>
      <c r="BL16">
        <f t="shared" si="29"/>
        <v>44.25</v>
      </c>
      <c r="BM16">
        <f t="shared" si="29"/>
        <v>49.78125</v>
      </c>
      <c r="BN16">
        <f t="shared" si="29"/>
        <v>5.53125</v>
      </c>
      <c r="BO16">
        <f t="shared" si="29"/>
        <v>8.296875</v>
      </c>
      <c r="BP16">
        <f t="shared" si="29"/>
        <v>11.0625</v>
      </c>
      <c r="BQ16">
        <f t="shared" si="29"/>
        <v>13.828125</v>
      </c>
    </row>
    <row r="17" spans="1:69" x14ac:dyDescent="0.2">
      <c r="A17" s="34" t="s">
        <v>128</v>
      </c>
      <c r="B17" s="26" t="s">
        <v>201</v>
      </c>
      <c r="C17" s="34" t="s">
        <v>148</v>
      </c>
      <c r="D17" s="27" t="s">
        <v>188</v>
      </c>
      <c r="G17">
        <v>8</v>
      </c>
      <c r="H17">
        <f t="shared" si="0"/>
        <v>0.08</v>
      </c>
      <c r="I17" s="406">
        <f t="shared" si="1"/>
        <v>0.34023839999999994</v>
      </c>
      <c r="J17" s="407">
        <f t="shared" si="2"/>
        <v>0.44911468799999993</v>
      </c>
      <c r="K17" s="407">
        <f t="shared" si="31"/>
        <v>0.30455734399999995</v>
      </c>
      <c r="L17" s="407">
        <f t="shared" si="32"/>
        <v>-0.14455734399999998</v>
      </c>
      <c r="M17" s="63">
        <f t="shared" si="3"/>
        <v>5.4549941132075466</v>
      </c>
      <c r="N17" s="406">
        <f t="shared" si="4"/>
        <v>0.15234391000226463</v>
      </c>
      <c r="O17" s="406">
        <f t="shared" si="5"/>
        <v>5.7328036361928303E-4</v>
      </c>
      <c r="P17">
        <f t="shared" si="6"/>
        <v>0.2</v>
      </c>
      <c r="Q17" s="406">
        <f t="shared" si="34"/>
        <v>0.20057328036361929</v>
      </c>
      <c r="R17" s="9">
        <f t="shared" si="39"/>
        <v>0.12964824300690739</v>
      </c>
      <c r="S17" s="9">
        <f t="shared" si="7"/>
        <v>3.3617333829556223E-5</v>
      </c>
      <c r="T17" s="9">
        <f t="shared" si="40"/>
        <v>3.3617333829556223E-5</v>
      </c>
      <c r="U17" s="406">
        <f t="shared" si="8"/>
        <v>8.8862138716199246E-2</v>
      </c>
      <c r="V17" s="408">
        <f t="shared" si="9"/>
        <v>2.5268735031094522E-5</v>
      </c>
      <c r="W17" s="406">
        <f t="shared" si="41"/>
        <v>2.5268735031094522E-5</v>
      </c>
      <c r="X17" s="406">
        <f t="shared" si="10"/>
        <v>8.8862138716199246E-2</v>
      </c>
      <c r="Y17" s="406">
        <f t="shared" si="11"/>
        <v>1.5792959394434074E-4</v>
      </c>
      <c r="Z17" s="406">
        <f t="shared" si="12"/>
        <v>2.4695951867383858E-3</v>
      </c>
      <c r="AA17" s="406">
        <f t="shared" si="13"/>
        <v>3.2268681386537303E-2</v>
      </c>
      <c r="AB17" s="406">
        <f t="shared" si="14"/>
        <v>2.1683601599999996E-3</v>
      </c>
      <c r="AC17" s="406">
        <f t="shared" si="15"/>
        <v>3.7065620003716999E-2</v>
      </c>
      <c r="AD17" s="406">
        <f t="shared" si="16"/>
        <v>0.12374242286928548</v>
      </c>
      <c r="AE17" s="406">
        <f t="shared" si="17"/>
        <v>3.0624374435122133E-4</v>
      </c>
      <c r="AF17" s="406">
        <f t="shared" si="18"/>
        <v>5.9388682079999991E-3</v>
      </c>
      <c r="AG17" s="406">
        <f t="shared" si="19"/>
        <v>6.2454179715807651E-3</v>
      </c>
      <c r="AH17" s="406">
        <f t="shared" si="20"/>
        <v>0</v>
      </c>
      <c r="AI17">
        <f t="shared" si="21"/>
        <v>0</v>
      </c>
      <c r="AJ17" s="407">
        <f t="shared" si="22"/>
        <v>2.9996800000000001E-2</v>
      </c>
      <c r="AK17">
        <f t="shared" si="23"/>
        <v>0.03</v>
      </c>
      <c r="AL17" s="407">
        <f t="shared" si="24"/>
        <v>0.13500000000000001</v>
      </c>
      <c r="AM17" s="407">
        <f t="shared" si="25"/>
        <v>9.8855098389982105E-2</v>
      </c>
      <c r="AN17" s="407">
        <f t="shared" si="42"/>
        <v>0.16500000000000001</v>
      </c>
      <c r="AO17" s="407">
        <f t="shared" si="26"/>
        <v>0.4389400044077777</v>
      </c>
      <c r="AP17">
        <f t="shared" si="27"/>
        <v>0.40799999999999997</v>
      </c>
      <c r="AQ17" s="10">
        <f t="shared" si="43"/>
        <v>0.4817342407686761</v>
      </c>
      <c r="AR17" s="63">
        <f t="shared" si="28"/>
        <v>1.6679529001672651</v>
      </c>
      <c r="AS17" s="63">
        <f t="shared" si="44"/>
        <v>0.24981671886323059</v>
      </c>
      <c r="AT17" s="10"/>
      <c r="AU17">
        <f t="shared" si="45"/>
        <v>48.173424076867612</v>
      </c>
      <c r="BC17" t="s">
        <v>232</v>
      </c>
      <c r="BD17" s="28">
        <v>50</v>
      </c>
      <c r="BE17" s="28">
        <v>50</v>
      </c>
      <c r="BF17" s="28">
        <v>50</v>
      </c>
      <c r="BG17" s="29">
        <f>500000*(18-Vdd)*BF17/1000000000+((500000*BF15/1000000000*Vdd)*2.5/(2*4))</f>
        <v>0.28593750000000001</v>
      </c>
      <c r="BH17">
        <f t="shared" si="29"/>
        <v>22.875</v>
      </c>
      <c r="BI17">
        <f t="shared" si="29"/>
        <v>28.59375</v>
      </c>
      <c r="BJ17">
        <f t="shared" si="29"/>
        <v>34.3125</v>
      </c>
      <c r="BK17">
        <f t="shared" si="29"/>
        <v>40.03125</v>
      </c>
      <c r="BL17">
        <f t="shared" si="29"/>
        <v>45.75</v>
      </c>
      <c r="BM17">
        <f t="shared" si="29"/>
        <v>51.46875</v>
      </c>
      <c r="BN17">
        <f t="shared" si="29"/>
        <v>5.71875</v>
      </c>
      <c r="BO17">
        <f t="shared" si="29"/>
        <v>8.578125</v>
      </c>
      <c r="BP17">
        <f t="shared" si="29"/>
        <v>11.4375</v>
      </c>
      <c r="BQ17">
        <f t="shared" si="29"/>
        <v>14.296875</v>
      </c>
    </row>
    <row r="18" spans="1:69" x14ac:dyDescent="0.2">
      <c r="A18" s="45" t="s">
        <v>126</v>
      </c>
      <c r="B18" s="48">
        <f>Lout2*1000000</f>
        <v>15</v>
      </c>
      <c r="C18" s="418" t="s">
        <v>11</v>
      </c>
      <c r="D18" s="31" t="s">
        <v>190</v>
      </c>
      <c r="G18">
        <v>9</v>
      </c>
      <c r="H18">
        <f t="shared" si="0"/>
        <v>0.09</v>
      </c>
      <c r="I18" s="406">
        <f t="shared" si="1"/>
        <v>0.34026819999999997</v>
      </c>
      <c r="J18" s="407">
        <f t="shared" si="2"/>
        <v>0.44915402399999999</v>
      </c>
      <c r="K18" s="407">
        <f t="shared" si="31"/>
        <v>0.31457701199999999</v>
      </c>
      <c r="L18" s="407">
        <f t="shared" si="32"/>
        <v>-0.134577012</v>
      </c>
      <c r="M18" s="63">
        <f t="shared" si="3"/>
        <v>5.0783778113207543</v>
      </c>
      <c r="N18" s="406">
        <f t="shared" si="4"/>
        <v>0.15783412634666827</v>
      </c>
      <c r="O18" s="406">
        <f t="shared" si="5"/>
        <v>6.1534709323098589E-4</v>
      </c>
      <c r="P18">
        <f t="shared" si="6"/>
        <v>0.2</v>
      </c>
      <c r="Q18" s="406">
        <f t="shared" si="34"/>
        <v>0.20061534709323101</v>
      </c>
      <c r="R18" s="9">
        <f t="shared" si="39"/>
        <v>0.12965959833200183</v>
      </c>
      <c r="S18" s="9">
        <f t="shared" si="7"/>
        <v>3.3623222879232106E-5</v>
      </c>
      <c r="T18" s="9">
        <f t="shared" si="40"/>
        <v>3.3623222879232106E-5</v>
      </c>
      <c r="U18" s="406">
        <f t="shared" si="8"/>
        <v>9.2068611283420351E-2</v>
      </c>
      <c r="V18" s="408">
        <f t="shared" si="9"/>
        <v>2.7125213387704186E-5</v>
      </c>
      <c r="W18" s="406">
        <f t="shared" si="41"/>
        <v>2.7125213387704186E-5</v>
      </c>
      <c r="X18" s="406">
        <f t="shared" si="10"/>
        <v>9.2068611283420351E-2</v>
      </c>
      <c r="Y18" s="406">
        <f t="shared" si="11"/>
        <v>1.6953258367315114E-4</v>
      </c>
      <c r="Z18" s="406">
        <f t="shared" si="12"/>
        <v>2.5508426902151587E-3</v>
      </c>
      <c r="AA18" s="406">
        <f t="shared" si="13"/>
        <v>3.349519532469121E-2</v>
      </c>
      <c r="AB18" s="406">
        <f t="shared" si="14"/>
        <v>2.0186551799999996E-3</v>
      </c>
      <c r="AC18" s="406">
        <f t="shared" si="15"/>
        <v>3.823539256465959E-2</v>
      </c>
      <c r="AD18" s="406">
        <f t="shared" si="16"/>
        <v>0.12819899475408722</v>
      </c>
      <c r="AE18" s="406">
        <f t="shared" si="17"/>
        <v>3.2869964511916962E-4</v>
      </c>
      <c r="AF18" s="406">
        <f t="shared" si="18"/>
        <v>6.134251734E-3</v>
      </c>
      <c r="AG18" s="406">
        <f t="shared" si="19"/>
        <v>6.4632912961680262E-3</v>
      </c>
      <c r="AH18" s="406">
        <f t="shared" si="20"/>
        <v>0</v>
      </c>
      <c r="AI18">
        <f t="shared" si="21"/>
        <v>0</v>
      </c>
      <c r="AJ18" s="407">
        <f t="shared" si="22"/>
        <v>2.9996400000000003E-2</v>
      </c>
      <c r="AK18">
        <f t="shared" si="23"/>
        <v>0.03</v>
      </c>
      <c r="AL18" s="407">
        <f t="shared" si="24"/>
        <v>0.13500000000000001</v>
      </c>
      <c r="AM18" s="407">
        <f t="shared" si="25"/>
        <v>9.8855098389982105E-2</v>
      </c>
      <c r="AN18" s="407">
        <f t="shared" si="42"/>
        <v>0.16500000000000001</v>
      </c>
      <c r="AO18" s="407">
        <f t="shared" si="26"/>
        <v>0.44037117939032555</v>
      </c>
      <c r="AP18">
        <f t="shared" si="27"/>
        <v>0.45899999999999996</v>
      </c>
      <c r="AQ18" s="10">
        <f t="shared" si="43"/>
        <v>0.51035658081811264</v>
      </c>
      <c r="AR18" s="63">
        <f t="shared" si="28"/>
        <v>1.7205926654096815</v>
      </c>
      <c r="AS18" s="63">
        <f t="shared" si="44"/>
        <v>0.25853165184672106</v>
      </c>
      <c r="AT18" s="10"/>
      <c r="AU18">
        <f t="shared" si="45"/>
        <v>51.035658081811263</v>
      </c>
      <c r="BC18" t="s">
        <v>233</v>
      </c>
      <c r="BE18" s="28"/>
      <c r="BF18" s="29"/>
    </row>
    <row r="19" spans="1:69" x14ac:dyDescent="0.2">
      <c r="A19" s="45" t="s">
        <v>12</v>
      </c>
      <c r="B19" s="49">
        <f>Rdcr*1000</f>
        <v>24.7</v>
      </c>
      <c r="C19" s="416" t="s">
        <v>613</v>
      </c>
      <c r="D19" s="31" t="s">
        <v>191</v>
      </c>
      <c r="G19">
        <v>10</v>
      </c>
      <c r="H19">
        <f t="shared" si="0"/>
        <v>0.1</v>
      </c>
      <c r="I19" s="406">
        <f t="shared" si="1"/>
        <v>0.34029799999999993</v>
      </c>
      <c r="J19" s="407">
        <f t="shared" si="2"/>
        <v>0.44919335999999993</v>
      </c>
      <c r="K19" s="407">
        <f t="shared" si="31"/>
        <v>0.32459667999999997</v>
      </c>
      <c r="L19" s="407">
        <f t="shared" si="32"/>
        <v>-0.12459667999999996</v>
      </c>
      <c r="M19" s="63">
        <f t="shared" si="3"/>
        <v>4.7017615094339602</v>
      </c>
      <c r="N19" s="406">
        <f t="shared" si="4"/>
        <v>0.16375150754219273</v>
      </c>
      <c r="O19" s="406">
        <f t="shared" si="5"/>
        <v>6.6235463392506509E-4</v>
      </c>
      <c r="P19">
        <f t="shared" si="6"/>
        <v>0.2</v>
      </c>
      <c r="Q19" s="406">
        <f t="shared" si="34"/>
        <v>0.20066235463392507</v>
      </c>
      <c r="R19" s="9">
        <f t="shared" si="39"/>
        <v>0.12967095365709622</v>
      </c>
      <c r="S19" s="9">
        <f t="shared" si="7"/>
        <v>3.362911244468159E-5</v>
      </c>
      <c r="T19" s="9">
        <f t="shared" si="40"/>
        <v>3.362911244468159E-5</v>
      </c>
      <c r="U19" s="406">
        <f t="shared" si="8"/>
        <v>9.5524551050241158E-2</v>
      </c>
      <c r="V19" s="408">
        <f t="shared" si="9"/>
        <v>2.9199807530720413E-5</v>
      </c>
      <c r="W19" s="406">
        <f t="shared" si="41"/>
        <v>2.9199807530720413E-5</v>
      </c>
      <c r="X19" s="406">
        <f t="shared" si="10"/>
        <v>9.5524551050241158E-2</v>
      </c>
      <c r="Y19" s="406">
        <f t="shared" si="11"/>
        <v>1.8249879706700258E-4</v>
      </c>
      <c r="Z19" s="406">
        <f t="shared" si="12"/>
        <v>2.6320901936919311E-3</v>
      </c>
      <c r="AA19" s="406">
        <f t="shared" si="13"/>
        <v>3.4718163266873936E-2</v>
      </c>
      <c r="AB19" s="406">
        <f t="shared" si="14"/>
        <v>1.8689501999999991E-3</v>
      </c>
      <c r="AC19" s="406">
        <f t="shared" si="15"/>
        <v>3.9402996837547138E-2</v>
      </c>
      <c r="AD19" s="406">
        <f t="shared" si="16"/>
        <v>0.13300231715647165</v>
      </c>
      <c r="AE19" s="406">
        <f t="shared" si="17"/>
        <v>3.5379232737981349E-4</v>
      </c>
      <c r="AF19" s="406">
        <f t="shared" si="18"/>
        <v>6.3296352599999991E-3</v>
      </c>
      <c r="AG19" s="406">
        <f t="shared" si="19"/>
        <v>6.6838059360610725E-3</v>
      </c>
      <c r="AH19" s="406">
        <f t="shared" si="20"/>
        <v>0</v>
      </c>
      <c r="AI19">
        <f t="shared" si="21"/>
        <v>0</v>
      </c>
      <c r="AJ19" s="407">
        <f t="shared" si="22"/>
        <v>2.9995999999999998E-2</v>
      </c>
      <c r="AK19">
        <f t="shared" si="23"/>
        <v>0.03</v>
      </c>
      <c r="AL19" s="407">
        <f t="shared" si="24"/>
        <v>0.13500000000000001</v>
      </c>
      <c r="AM19" s="407">
        <f t="shared" si="25"/>
        <v>9.8855098389982105E-2</v>
      </c>
      <c r="AN19" s="407">
        <f t="shared" si="42"/>
        <v>0.16500000000000001</v>
      </c>
      <c r="AO19" s="407">
        <f t="shared" si="26"/>
        <v>0.44180798632750862</v>
      </c>
      <c r="AP19">
        <f t="shared" si="27"/>
        <v>0.51</v>
      </c>
      <c r="AQ19" s="10">
        <f t="shared" si="43"/>
        <v>0.53582235842315529</v>
      </c>
      <c r="AR19" s="63">
        <f t="shared" si="28"/>
        <v>1.7731348576896213</v>
      </c>
      <c r="AS19" s="63">
        <f t="shared" si="44"/>
        <v>0.26735223744244291</v>
      </c>
      <c r="AT19" s="10"/>
      <c r="AU19">
        <f t="shared" si="45"/>
        <v>53.582235842315526</v>
      </c>
      <c r="BC19" t="s">
        <v>234</v>
      </c>
      <c r="BE19" s="28"/>
      <c r="BF19" s="29"/>
    </row>
    <row r="20" spans="1:69" x14ac:dyDescent="0.2">
      <c r="A20" s="45" t="s">
        <v>155</v>
      </c>
      <c r="B20" s="49">
        <f>Ltc*1000000</f>
        <v>4000</v>
      </c>
      <c r="C20" s="418" t="s">
        <v>154</v>
      </c>
      <c r="D20" s="31" t="s">
        <v>176</v>
      </c>
      <c r="G20">
        <v>11</v>
      </c>
      <c r="H20">
        <f t="shared" si="0"/>
        <v>0.11</v>
      </c>
      <c r="I20" s="406">
        <f t="shared" si="1"/>
        <v>0.34032779999999996</v>
      </c>
      <c r="J20" s="407">
        <f t="shared" si="2"/>
        <v>0.44923269599999999</v>
      </c>
      <c r="K20" s="407">
        <f t="shared" si="31"/>
        <v>0.33461634800000001</v>
      </c>
      <c r="L20" s="407">
        <f t="shared" si="32"/>
        <v>-0.11461634799999999</v>
      </c>
      <c r="M20" s="63">
        <f t="shared" si="3"/>
        <v>4.3251452075471697</v>
      </c>
      <c r="N20" s="406">
        <f t="shared" si="4"/>
        <v>0.17005146651220732</v>
      </c>
      <c r="O20" s="406">
        <f t="shared" si="5"/>
        <v>7.1430309717569567E-4</v>
      </c>
      <c r="P20">
        <f t="shared" si="6"/>
        <v>0.2</v>
      </c>
      <c r="Q20" s="406">
        <f t="shared" si="34"/>
        <v>0.20071430309717569</v>
      </c>
      <c r="R20" s="9">
        <f t="shared" si="39"/>
        <v>0.12968230898219066</v>
      </c>
      <c r="S20" s="9">
        <f t="shared" si="7"/>
        <v>3.3635002525904737E-5</v>
      </c>
      <c r="T20" s="9">
        <f t="shared" si="40"/>
        <v>3.3635002525904737E-5</v>
      </c>
      <c r="U20" s="406">
        <f t="shared" si="8"/>
        <v>9.9203979689918689E-2</v>
      </c>
      <c r="V20" s="408">
        <f t="shared" si="9"/>
        <v>3.1492574676216962E-5</v>
      </c>
      <c r="W20" s="406">
        <f t="shared" si="41"/>
        <v>3.1492574676216962E-5</v>
      </c>
      <c r="X20" s="406">
        <f t="shared" si="10"/>
        <v>9.9203979689918689E-2</v>
      </c>
      <c r="Y20" s="406">
        <f t="shared" si="11"/>
        <v>1.96828591726356E-4</v>
      </c>
      <c r="Z20" s="406">
        <f t="shared" si="12"/>
        <v>2.7133376971687044E-3</v>
      </c>
      <c r="AA20" s="406">
        <f t="shared" si="13"/>
        <v>3.5937585213085495E-2</v>
      </c>
      <c r="AB20" s="406">
        <f t="shared" si="14"/>
        <v>1.7192452199999999E-3</v>
      </c>
      <c r="AC20" s="406">
        <f t="shared" si="15"/>
        <v>4.056843402697341E-2</v>
      </c>
      <c r="AD20" s="406">
        <f t="shared" si="16"/>
        <v>0.13811615284475082</v>
      </c>
      <c r="AE20" s="406">
        <f t="shared" si="17"/>
        <v>3.8152143353269136E-4</v>
      </c>
      <c r="AF20" s="406">
        <f t="shared" si="18"/>
        <v>6.5250187859999999E-3</v>
      </c>
      <c r="AG20" s="406">
        <f t="shared" si="19"/>
        <v>6.9069618441701544E-3</v>
      </c>
      <c r="AH20" s="406">
        <f t="shared" si="20"/>
        <v>0</v>
      </c>
      <c r="AI20">
        <f t="shared" si="21"/>
        <v>0</v>
      </c>
      <c r="AJ20" s="407">
        <f t="shared" si="22"/>
        <v>2.9995600000000001E-2</v>
      </c>
      <c r="AK20">
        <f t="shared" si="23"/>
        <v>0.03</v>
      </c>
      <c r="AL20" s="407">
        <f t="shared" si="24"/>
        <v>0.13500000000000001</v>
      </c>
      <c r="AM20" s="407">
        <f t="shared" si="25"/>
        <v>9.8855098389982105E-2</v>
      </c>
      <c r="AN20" s="407">
        <f t="shared" si="42"/>
        <v>0.16500000000000001</v>
      </c>
      <c r="AO20" s="407">
        <f t="shared" si="26"/>
        <v>0.44325042654552138</v>
      </c>
      <c r="AP20">
        <f t="shared" si="27"/>
        <v>0.56099999999999994</v>
      </c>
      <c r="AQ20" s="10">
        <f t="shared" si="43"/>
        <v>0.55862560290839025</v>
      </c>
      <c r="AR20" s="63">
        <f t="shared" si="28"/>
        <v>1.8255795312138035</v>
      </c>
      <c r="AS20" s="63">
        <f t="shared" si="44"/>
        <v>0.2762784737668062</v>
      </c>
      <c r="AT20" s="10"/>
      <c r="AU20">
        <f t="shared" si="45"/>
        <v>55.862560290839028</v>
      </c>
      <c r="BE20" s="28"/>
      <c r="BF20" s="29"/>
    </row>
    <row r="21" spans="1:69" x14ac:dyDescent="0.2">
      <c r="A21" s="35" t="s">
        <v>250</v>
      </c>
      <c r="B21" s="49">
        <f>ThetaCa</f>
        <v>20</v>
      </c>
      <c r="C21" s="418" t="s">
        <v>712</v>
      </c>
      <c r="D21" s="36" t="s">
        <v>251</v>
      </c>
      <c r="G21">
        <v>12</v>
      </c>
      <c r="H21">
        <f t="shared" si="0"/>
        <v>0.12</v>
      </c>
      <c r="I21" s="406">
        <f t="shared" si="1"/>
        <v>0.34035759999999998</v>
      </c>
      <c r="J21" s="407">
        <f t="shared" si="2"/>
        <v>0.44927203199999999</v>
      </c>
      <c r="K21" s="407">
        <f t="shared" si="31"/>
        <v>0.34463601599999999</v>
      </c>
      <c r="L21" s="407">
        <f t="shared" si="32"/>
        <v>-0.104636016</v>
      </c>
      <c r="M21" s="63">
        <f t="shared" si="3"/>
        <v>3.9485289056603774</v>
      </c>
      <c r="N21" s="406">
        <f t="shared" si="4"/>
        <v>0.17669308577714848</v>
      </c>
      <c r="O21" s="406">
        <f t="shared" si="5"/>
        <v>7.7119260617547177E-4</v>
      </c>
      <c r="P21">
        <f t="shared" si="6"/>
        <v>0.2</v>
      </c>
      <c r="Q21" s="406">
        <f t="shared" si="34"/>
        <v>0.20077119260617549</v>
      </c>
      <c r="R21" s="9">
        <f t="shared" si="39"/>
        <v>0.12969366430728507</v>
      </c>
      <c r="S21" s="9">
        <f t="shared" si="7"/>
        <v>3.3640893122901498E-5</v>
      </c>
      <c r="T21" s="9">
        <f t="shared" si="40"/>
        <v>3.3640893122901498E-5</v>
      </c>
      <c r="U21" s="406">
        <f t="shared" si="8"/>
        <v>0.1030830551671012</v>
      </c>
      <c r="V21" s="408">
        <f t="shared" si="9"/>
        <v>3.4003572040267619E-5</v>
      </c>
      <c r="W21" s="406">
        <f t="shared" si="41"/>
        <v>3.4003572040267619E-5</v>
      </c>
      <c r="X21" s="406">
        <f t="shared" si="10"/>
        <v>0.1030830551671012</v>
      </c>
      <c r="Y21" s="406">
        <f t="shared" si="11"/>
        <v>2.1252232525167261E-4</v>
      </c>
      <c r="Z21" s="406">
        <f t="shared" si="12"/>
        <v>2.7945852006454768E-3</v>
      </c>
      <c r="AA21" s="406">
        <f t="shared" si="13"/>
        <v>3.7153461163325872E-2</v>
      </c>
      <c r="AB21" s="406">
        <f t="shared" si="14"/>
        <v>1.5695402399999998E-3</v>
      </c>
      <c r="AC21" s="406">
        <f t="shared" si="15"/>
        <v>4.173170533465282E-2</v>
      </c>
      <c r="AD21" s="406">
        <f t="shared" si="16"/>
        <v>0.14350724824505251</v>
      </c>
      <c r="AE21" s="406">
        <f t="shared" si="17"/>
        <v>4.1188660597734256E-4</v>
      </c>
      <c r="AF21" s="406">
        <f t="shared" si="18"/>
        <v>6.7204023119999999E-3</v>
      </c>
      <c r="AG21" s="406">
        <f t="shared" si="19"/>
        <v>7.1327589800393495E-3</v>
      </c>
      <c r="AH21" s="406">
        <f t="shared" si="20"/>
        <v>0</v>
      </c>
      <c r="AI21">
        <f t="shared" si="21"/>
        <v>0</v>
      </c>
      <c r="AJ21" s="407">
        <f t="shared" si="22"/>
        <v>2.99952E-2</v>
      </c>
      <c r="AK21">
        <f t="shared" si="23"/>
        <v>0.03</v>
      </c>
      <c r="AL21" s="407">
        <f t="shared" si="24"/>
        <v>0.13500000000000001</v>
      </c>
      <c r="AM21" s="407">
        <f t="shared" si="25"/>
        <v>9.8855098389982105E-2</v>
      </c>
      <c r="AN21" s="407">
        <f t="shared" si="42"/>
        <v>0.16500000000000001</v>
      </c>
      <c r="AO21" s="407">
        <f t="shared" si="26"/>
        <v>0.44469850138603084</v>
      </c>
      <c r="AP21">
        <f t="shared" si="27"/>
        <v>0.61199999999999999</v>
      </c>
      <c r="AQ21" s="10">
        <f t="shared" si="43"/>
        <v>0.57916236201457949</v>
      </c>
      <c r="AR21" s="63">
        <f t="shared" si="28"/>
        <v>1.8779267400593769</v>
      </c>
      <c r="AS21" s="63">
        <f t="shared" si="44"/>
        <v>0.28531035920157399</v>
      </c>
      <c r="AT21" s="10"/>
      <c r="AU21">
        <f t="shared" si="45"/>
        <v>57.916236201457949</v>
      </c>
      <c r="BE21" s="28"/>
      <c r="BF21" s="29"/>
    </row>
    <row r="22" spans="1:69" x14ac:dyDescent="0.2">
      <c r="A22" s="46" t="s">
        <v>127</v>
      </c>
      <c r="B22" s="49">
        <f>Cin*1000000</f>
        <v>19.2</v>
      </c>
      <c r="C22" s="419" t="s">
        <v>30</v>
      </c>
      <c r="D22" s="31" t="s">
        <v>177</v>
      </c>
      <c r="G22">
        <v>13</v>
      </c>
      <c r="H22">
        <f t="shared" si="0"/>
        <v>0.13</v>
      </c>
      <c r="I22" s="406">
        <f t="shared" si="1"/>
        <v>0.34038740000000001</v>
      </c>
      <c r="J22" s="407">
        <f t="shared" si="2"/>
        <v>0.44931136800000004</v>
      </c>
      <c r="K22" s="407">
        <f t="shared" si="31"/>
        <v>0.35465568400000003</v>
      </c>
      <c r="L22" s="407">
        <f t="shared" si="32"/>
        <v>-9.4655684000000018E-2</v>
      </c>
      <c r="M22" s="63">
        <f t="shared" si="3"/>
        <v>3.5719126037735855</v>
      </c>
      <c r="N22" s="406">
        <f t="shared" si="4"/>
        <v>0.18363929894724593</v>
      </c>
      <c r="O22" s="406">
        <f t="shared" si="5"/>
        <v>8.3302329583613587E-4</v>
      </c>
      <c r="P22">
        <f t="shared" si="6"/>
        <v>0.2</v>
      </c>
      <c r="Q22" s="406">
        <f t="shared" si="34"/>
        <v>0.20083302329583616</v>
      </c>
      <c r="R22" s="9">
        <f t="shared" si="39"/>
        <v>0.12970501963237951</v>
      </c>
      <c r="S22" s="9">
        <f t="shared" si="7"/>
        <v>3.3646784235671916E-5</v>
      </c>
      <c r="T22" s="9">
        <f t="shared" si="40"/>
        <v>3.3646784235671916E-5</v>
      </c>
      <c r="U22" s="406">
        <f t="shared" si="8"/>
        <v>0.107140178094731</v>
      </c>
      <c r="V22" s="408">
        <f t="shared" si="9"/>
        <v>3.6732856838946169E-5</v>
      </c>
      <c r="W22" s="406">
        <f t="shared" si="41"/>
        <v>3.6732856838946169E-5</v>
      </c>
      <c r="X22" s="406">
        <f t="shared" si="10"/>
        <v>0.107140178094731</v>
      </c>
      <c r="Y22" s="406">
        <f t="shared" si="11"/>
        <v>2.2958035524341352E-4</v>
      </c>
      <c r="Z22" s="406">
        <f t="shared" si="12"/>
        <v>2.8758327041222497E-3</v>
      </c>
      <c r="AA22" s="406">
        <f t="shared" si="13"/>
        <v>3.836579111759509E-2</v>
      </c>
      <c r="AB22" s="406">
        <f t="shared" si="14"/>
        <v>1.4198352600000002E-3</v>
      </c>
      <c r="AC22" s="406">
        <f t="shared" si="15"/>
        <v>4.2892811959422017E-2</v>
      </c>
      <c r="AD22" s="406">
        <f t="shared" si="16"/>
        <v>0.14914548050700457</v>
      </c>
      <c r="AE22" s="406">
        <f t="shared" si="17"/>
        <v>4.4488748711330568E-4</v>
      </c>
      <c r="AF22" s="406">
        <f t="shared" si="18"/>
        <v>6.9157858380000008E-3</v>
      </c>
      <c r="AG22" s="406">
        <f t="shared" si="19"/>
        <v>7.3611973098450384E-3</v>
      </c>
      <c r="AH22" s="406">
        <f t="shared" si="20"/>
        <v>0</v>
      </c>
      <c r="AI22">
        <f t="shared" si="21"/>
        <v>0</v>
      </c>
      <c r="AJ22" s="407">
        <f t="shared" si="22"/>
        <v>2.9994800000000002E-2</v>
      </c>
      <c r="AK22">
        <f t="shared" si="23"/>
        <v>0.03</v>
      </c>
      <c r="AL22" s="407">
        <f t="shared" si="24"/>
        <v>0.13500000000000001</v>
      </c>
      <c r="AM22" s="407">
        <f t="shared" si="25"/>
        <v>9.8855098389982105E-2</v>
      </c>
      <c r="AN22" s="407">
        <f t="shared" si="42"/>
        <v>0.16500000000000001</v>
      </c>
      <c r="AO22" s="407">
        <f t="shared" si="26"/>
        <v>0.44615221220617785</v>
      </c>
      <c r="AP22">
        <f t="shared" si="27"/>
        <v>0.66299999999999992</v>
      </c>
      <c r="AQ22" s="10">
        <f t="shared" si="43"/>
        <v>0.59775384541788779</v>
      </c>
      <c r="AR22" s="63">
        <f t="shared" si="28"/>
        <v>1.9301765381739908</v>
      </c>
      <c r="AS22" s="63">
        <f t="shared" si="44"/>
        <v>0.29444789239380154</v>
      </c>
      <c r="AT22" s="10"/>
      <c r="AU22">
        <f t="shared" si="45"/>
        <v>59.775384541788782</v>
      </c>
      <c r="BE22" s="28"/>
      <c r="BF22" s="29"/>
    </row>
    <row r="23" spans="1:69" x14ac:dyDescent="0.2">
      <c r="A23" s="46" t="s">
        <v>159</v>
      </c>
      <c r="B23" s="49">
        <f>RCinEsr*1000</f>
        <v>3.2</v>
      </c>
      <c r="C23" s="416" t="s">
        <v>613</v>
      </c>
      <c r="D23" s="31" t="s">
        <v>178</v>
      </c>
      <c r="G23">
        <v>14</v>
      </c>
      <c r="H23">
        <f t="shared" si="0"/>
        <v>0.14000000000000001</v>
      </c>
      <c r="I23" s="406">
        <f t="shared" si="1"/>
        <v>0.34041719999999998</v>
      </c>
      <c r="J23" s="407">
        <f t="shared" si="2"/>
        <v>0.44935070399999993</v>
      </c>
      <c r="K23" s="407">
        <f t="shared" si="31"/>
        <v>0.36467535200000001</v>
      </c>
      <c r="L23" s="407">
        <f t="shared" si="32"/>
        <v>-8.4675351999999954E-2</v>
      </c>
      <c r="M23" s="63">
        <f t="shared" si="3"/>
        <v>3.1952963018867906</v>
      </c>
      <c r="N23" s="406">
        <f t="shared" si="4"/>
        <v>0.19085685193911159</v>
      </c>
      <c r="O23" s="406">
        <f t="shared" si="5"/>
        <v>8.9979531278937827E-4</v>
      </c>
      <c r="P23">
        <f t="shared" si="6"/>
        <v>0.2</v>
      </c>
      <c r="Q23" s="406">
        <f t="shared" si="34"/>
        <v>0.2008997953127894</v>
      </c>
      <c r="R23" s="9">
        <f t="shared" si="39"/>
        <v>0.1297163749574739</v>
      </c>
      <c r="S23" s="9">
        <f t="shared" si="7"/>
        <v>3.3652675864215921E-5</v>
      </c>
      <c r="T23" s="9">
        <f t="shared" si="40"/>
        <v>3.3652675864215921E-5</v>
      </c>
      <c r="U23" s="406">
        <f t="shared" si="8"/>
        <v>0.11135596959796086</v>
      </c>
      <c r="V23" s="408">
        <f t="shared" si="9"/>
        <v>3.9680486288326345E-5</v>
      </c>
      <c r="W23" s="406">
        <f t="shared" si="41"/>
        <v>3.9680486288326345E-5</v>
      </c>
      <c r="X23" s="406">
        <f t="shared" si="10"/>
        <v>0.11135596959796086</v>
      </c>
      <c r="Y23" s="406">
        <f t="shared" si="11"/>
        <v>2.4800303930203965E-4</v>
      </c>
      <c r="Z23" s="406">
        <f t="shared" si="12"/>
        <v>2.9570802075990221E-3</v>
      </c>
      <c r="AA23" s="406">
        <f t="shared" si="13"/>
        <v>3.9574575075893133E-2</v>
      </c>
      <c r="AB23" s="406">
        <f t="shared" si="14"/>
        <v>1.2701302799999993E-3</v>
      </c>
      <c r="AC23" s="406">
        <f t="shared" si="15"/>
        <v>4.405175509724131E-2</v>
      </c>
      <c r="AD23" s="406">
        <f t="shared" si="16"/>
        <v>0.1550038256528076</v>
      </c>
      <c r="AE23" s="406">
        <f t="shared" si="17"/>
        <v>4.8052371934011949E-4</v>
      </c>
      <c r="AF23" s="406">
        <f t="shared" si="18"/>
        <v>7.1111693639999999E-3</v>
      </c>
      <c r="AG23" s="406">
        <f t="shared" si="19"/>
        <v>7.592276806394402E-3</v>
      </c>
      <c r="AH23" s="406">
        <f t="shared" si="20"/>
        <v>0</v>
      </c>
      <c r="AI23">
        <f t="shared" si="21"/>
        <v>0</v>
      </c>
      <c r="AJ23" s="407">
        <f t="shared" si="22"/>
        <v>2.9994400000000001E-2</v>
      </c>
      <c r="AK23">
        <f t="shared" si="23"/>
        <v>0.03</v>
      </c>
      <c r="AL23" s="407">
        <f t="shared" si="24"/>
        <v>0.13500000000000001</v>
      </c>
      <c r="AM23" s="407">
        <f t="shared" si="25"/>
        <v>9.8855098389982105E-2</v>
      </c>
      <c r="AN23" s="407">
        <f t="shared" si="42"/>
        <v>0.16500000000000001</v>
      </c>
      <c r="AO23" s="407">
        <f t="shared" si="26"/>
        <v>0.44761156037857763</v>
      </c>
      <c r="AP23">
        <f t="shared" si="27"/>
        <v>0.71399999999999997</v>
      </c>
      <c r="AQ23" s="10">
        <f t="shared" si="43"/>
        <v>0.61466330428676375</v>
      </c>
      <c r="AR23" s="63">
        <f t="shared" si="28"/>
        <v>1.9823289793758589</v>
      </c>
      <c r="AS23" s="63">
        <f t="shared" si="44"/>
        <v>0.30369107225577607</v>
      </c>
      <c r="AT23" s="10"/>
      <c r="AU23">
        <f t="shared" si="45"/>
        <v>61.466330428676372</v>
      </c>
      <c r="BE23" s="28"/>
      <c r="BF23" s="29"/>
    </row>
    <row r="24" spans="1:69" x14ac:dyDescent="0.2">
      <c r="A24" s="45" t="s">
        <v>36</v>
      </c>
      <c r="B24" s="49">
        <f>Cout*1000000</f>
        <v>19.2</v>
      </c>
      <c r="C24" s="418" t="s">
        <v>30</v>
      </c>
      <c r="D24" s="31" t="s">
        <v>199</v>
      </c>
      <c r="G24">
        <v>15</v>
      </c>
      <c r="H24">
        <f t="shared" si="0"/>
        <v>0.15</v>
      </c>
      <c r="I24" s="406">
        <f t="shared" si="1"/>
        <v>0.340447</v>
      </c>
      <c r="J24" s="407">
        <f t="shared" si="2"/>
        <v>0.44939003999999999</v>
      </c>
      <c r="K24" s="407">
        <f t="shared" si="31"/>
        <v>0.37469501999999999</v>
      </c>
      <c r="L24" s="407">
        <f t="shared" si="32"/>
        <v>-7.4695020000000001E-2</v>
      </c>
      <c r="M24" s="63">
        <f t="shared" si="3"/>
        <v>2.8186800000000001</v>
      </c>
      <c r="N24" s="406">
        <f t="shared" si="4"/>
        <v>0.19831612139275717</v>
      </c>
      <c r="O24" s="406">
        <f t="shared" si="5"/>
        <v>9.7150881538770944E-4</v>
      </c>
      <c r="P24">
        <f t="shared" si="6"/>
        <v>0.2</v>
      </c>
      <c r="Q24" s="406">
        <f t="shared" si="34"/>
        <v>0.20097150881538772</v>
      </c>
      <c r="R24" s="9">
        <f t="shared" si="39"/>
        <v>0.12972773028256834</v>
      </c>
      <c r="S24" s="9">
        <f t="shared" si="7"/>
        <v>3.3658568008533595E-5</v>
      </c>
      <c r="T24" s="9">
        <f t="shared" si="40"/>
        <v>3.3658568008533595E-5</v>
      </c>
      <c r="U24" s="406">
        <f t="shared" si="8"/>
        <v>0.11571316585160316</v>
      </c>
      <c r="V24" s="408">
        <f t="shared" si="9"/>
        <v>4.2846517604481983E-5</v>
      </c>
      <c r="W24" s="406">
        <f t="shared" si="41"/>
        <v>4.2846517604481983E-5</v>
      </c>
      <c r="X24" s="406">
        <f t="shared" si="10"/>
        <v>0.11571316585160316</v>
      </c>
      <c r="Y24" s="406">
        <f t="shared" si="11"/>
        <v>2.6779073502801237E-4</v>
      </c>
      <c r="Z24" s="406">
        <f t="shared" si="12"/>
        <v>3.0383277110757946E-3</v>
      </c>
      <c r="AA24" s="406">
        <f t="shared" si="13"/>
        <v>4.0779813038219995E-2</v>
      </c>
      <c r="AB24" s="406">
        <f t="shared" si="14"/>
        <v>1.1204253000000001E-3</v>
      </c>
      <c r="AC24" s="406">
        <f t="shared" si="15"/>
        <v>4.5208535941196268E-2</v>
      </c>
      <c r="AD24" s="406">
        <f t="shared" si="16"/>
        <v>0.16105821075892462</v>
      </c>
      <c r="AE24" s="406">
        <f t="shared" si="17"/>
        <v>5.1879494505732368E-4</v>
      </c>
      <c r="AF24" s="406">
        <f t="shared" si="18"/>
        <v>7.3065528899999999E-3</v>
      </c>
      <c r="AG24" s="406">
        <f t="shared" si="19"/>
        <v>7.8259974491239857E-3</v>
      </c>
      <c r="AH24" s="406">
        <f t="shared" si="20"/>
        <v>0</v>
      </c>
      <c r="AI24">
        <f t="shared" si="21"/>
        <v>0</v>
      </c>
      <c r="AJ24" s="407">
        <f t="shared" si="22"/>
        <v>2.9994E-2</v>
      </c>
      <c r="AK24">
        <f t="shared" si="23"/>
        <v>0.03</v>
      </c>
      <c r="AL24" s="407">
        <f t="shared" si="24"/>
        <v>0.13500000000000001</v>
      </c>
      <c r="AM24" s="407">
        <f t="shared" si="25"/>
        <v>9.8855098389982105E-2</v>
      </c>
      <c r="AN24" s="407">
        <f t="shared" si="42"/>
        <v>0.16500000000000001</v>
      </c>
      <c r="AO24" s="407">
        <f t="shared" si="26"/>
        <v>0.44907654729132096</v>
      </c>
      <c r="AP24">
        <f t="shared" si="27"/>
        <v>0.7649999999999999</v>
      </c>
      <c r="AQ24" s="10">
        <f t="shared" si="43"/>
        <v>0.63010853945474998</v>
      </c>
      <c r="AR24" s="63">
        <f t="shared" si="28"/>
        <v>2.0343841173538322</v>
      </c>
      <c r="AS24" s="63">
        <f t="shared" si="44"/>
        <v>0.31303989796495946</v>
      </c>
      <c r="AT24" s="10"/>
      <c r="AU24">
        <f t="shared" si="45"/>
        <v>63.010853945474999</v>
      </c>
      <c r="BE24" s="28"/>
      <c r="BF24" s="29"/>
    </row>
    <row r="25" spans="1:69" x14ac:dyDescent="0.2">
      <c r="A25" s="45" t="s">
        <v>158</v>
      </c>
      <c r="B25" s="50">
        <f>CoutEsr*1000</f>
        <v>2</v>
      </c>
      <c r="C25" s="416" t="s">
        <v>613</v>
      </c>
      <c r="D25" s="31" t="s">
        <v>200</v>
      </c>
      <c r="G25">
        <v>16</v>
      </c>
      <c r="H25">
        <f t="shared" si="0"/>
        <v>0.16</v>
      </c>
      <c r="I25" s="406">
        <f t="shared" si="1"/>
        <v>0.34047679999999997</v>
      </c>
      <c r="J25" s="407">
        <f t="shared" si="2"/>
        <v>0.44942937599999999</v>
      </c>
      <c r="K25" s="407">
        <f t="shared" si="31"/>
        <v>0.38471468799999997</v>
      </c>
      <c r="L25" s="407">
        <f t="shared" si="32"/>
        <v>-6.4714687999999992E-2</v>
      </c>
      <c r="M25" s="63">
        <f t="shared" si="3"/>
        <v>2.4420636981132073</v>
      </c>
      <c r="N25" s="406">
        <f t="shared" si="4"/>
        <v>0.20599085012279658</v>
      </c>
      <c r="O25" s="406">
        <f t="shared" si="5"/>
        <v>1.0481639737053943E-3</v>
      </c>
      <c r="P25">
        <f t="shared" si="6"/>
        <v>0.2</v>
      </c>
      <c r="Q25" s="406">
        <f t="shared" si="34"/>
        <v>0.2010481639737054</v>
      </c>
      <c r="R25" s="9">
        <f t="shared" si="39"/>
        <v>0.12973908560766279</v>
      </c>
      <c r="S25" s="9">
        <f t="shared" si="7"/>
        <v>3.3664460668624905E-5</v>
      </c>
      <c r="T25" s="9">
        <f t="shared" si="40"/>
        <v>3.3664460668624905E-5</v>
      </c>
      <c r="U25" s="406">
        <f t="shared" si="8"/>
        <v>0.12019646417881698</v>
      </c>
      <c r="V25" s="408">
        <f t="shared" si="9"/>
        <v>4.6231008003486828E-5</v>
      </c>
      <c r="W25" s="406">
        <f t="shared" si="41"/>
        <v>4.6231008003486828E-5</v>
      </c>
      <c r="X25" s="406">
        <f t="shared" si="10"/>
        <v>0.12019646417881698</v>
      </c>
      <c r="Y25" s="406">
        <f t="shared" si="11"/>
        <v>2.8894380002179263E-4</v>
      </c>
      <c r="Z25" s="406">
        <f t="shared" si="12"/>
        <v>3.1195752145525674E-3</v>
      </c>
      <c r="AA25" s="406">
        <f t="shared" si="13"/>
        <v>4.1981505004575696E-2</v>
      </c>
      <c r="AB25" s="406">
        <f t="shared" si="14"/>
        <v>9.707203199999997E-4</v>
      </c>
      <c r="AC25" s="406">
        <f t="shared" si="15"/>
        <v>4.6363155681499103E-2</v>
      </c>
      <c r="AD25" s="406">
        <f t="shared" si="16"/>
        <v>0.16728729878034021</v>
      </c>
      <c r="AE25" s="406">
        <f t="shared" si="17"/>
        <v>5.5970080666445637E-4</v>
      </c>
      <c r="AF25" s="406">
        <f t="shared" si="18"/>
        <v>7.5019364159999991E-3</v>
      </c>
      <c r="AG25" s="406">
        <f t="shared" si="19"/>
        <v>8.0623592240982728E-3</v>
      </c>
      <c r="AH25" s="406">
        <f t="shared" si="20"/>
        <v>0</v>
      </c>
      <c r="AI25">
        <f t="shared" si="21"/>
        <v>0</v>
      </c>
      <c r="AJ25" s="407">
        <f t="shared" si="22"/>
        <v>2.9993600000000002E-2</v>
      </c>
      <c r="AK25">
        <f t="shared" si="23"/>
        <v>0.03</v>
      </c>
      <c r="AL25" s="407">
        <f t="shared" si="24"/>
        <v>0.13500000000000001</v>
      </c>
      <c r="AM25" s="407">
        <f t="shared" si="25"/>
        <v>9.8855098389982105E-2</v>
      </c>
      <c r="AN25" s="407">
        <f t="shared" si="42"/>
        <v>0.16500000000000001</v>
      </c>
      <c r="AO25" s="407">
        <f t="shared" si="26"/>
        <v>0.45054717434797487</v>
      </c>
      <c r="AP25">
        <f t="shared" si="27"/>
        <v>0.81599999999999995</v>
      </c>
      <c r="AQ25" s="10">
        <f t="shared" si="43"/>
        <v>0.64427130432001556</v>
      </c>
      <c r="AR25" s="63">
        <f t="shared" si="28"/>
        <v>2.0863420056674595</v>
      </c>
      <c r="AS25" s="63">
        <f t="shared" si="44"/>
        <v>0.32249436896393091</v>
      </c>
      <c r="AT25" s="10"/>
      <c r="AU25">
        <f t="shared" si="45"/>
        <v>64.427130432001562</v>
      </c>
      <c r="BC25" t="s">
        <v>240</v>
      </c>
      <c r="BD25" t="s">
        <v>4</v>
      </c>
      <c r="BE25" t="s">
        <v>6</v>
      </c>
      <c r="BF25" t="s">
        <v>5</v>
      </c>
      <c r="BG25" t="s">
        <v>241</v>
      </c>
      <c r="BH25" t="s">
        <v>242</v>
      </c>
    </row>
    <row r="26" spans="1:69" x14ac:dyDescent="0.2">
      <c r="A26" s="34" t="s">
        <v>202</v>
      </c>
      <c r="B26" s="47" t="s">
        <v>201</v>
      </c>
      <c r="C26" s="34" t="s">
        <v>148</v>
      </c>
      <c r="D26" s="27" t="s">
        <v>188</v>
      </c>
      <c r="G26">
        <v>17</v>
      </c>
      <c r="H26">
        <f t="shared" si="0"/>
        <v>0.17</v>
      </c>
      <c r="I26" s="406">
        <f t="shared" si="1"/>
        <v>0.34050659999999999</v>
      </c>
      <c r="J26" s="407">
        <f t="shared" si="2"/>
        <v>0.44946871199999999</v>
      </c>
      <c r="K26" s="407">
        <f t="shared" si="31"/>
        <v>0.39473435600000001</v>
      </c>
      <c r="L26" s="407">
        <f t="shared" si="32"/>
        <v>-5.4734355999999984E-2</v>
      </c>
      <c r="M26" s="63">
        <f t="shared" si="3"/>
        <v>2.0654473962264146</v>
      </c>
      <c r="N26" s="406">
        <f t="shared" si="4"/>
        <v>0.21385784278872008</v>
      </c>
      <c r="O26" s="406">
        <f t="shared" si="5"/>
        <v>1.129760969539465E-3</v>
      </c>
      <c r="P26">
        <f t="shared" si="6"/>
        <v>0.2</v>
      </c>
      <c r="Q26" s="406">
        <f t="shared" si="34"/>
        <v>0.20112976096953947</v>
      </c>
      <c r="R26" s="9">
        <f t="shared" si="39"/>
        <v>0.1297504409327572</v>
      </c>
      <c r="S26" s="9">
        <f t="shared" si="7"/>
        <v>3.3670353844489836E-5</v>
      </c>
      <c r="T26" s="9">
        <f t="shared" si="40"/>
        <v>3.3670353844489836E-5</v>
      </c>
      <c r="U26" s="406">
        <f t="shared" si="8"/>
        <v>0.12479234589586045</v>
      </c>
      <c r="V26" s="408">
        <f t="shared" si="9"/>
        <v>4.9834014701414657E-5</v>
      </c>
      <c r="W26" s="406">
        <f t="shared" si="41"/>
        <v>4.9834014701414657E-5</v>
      </c>
      <c r="X26" s="406">
        <f t="shared" si="10"/>
        <v>0.12479234589586045</v>
      </c>
      <c r="Y26" s="406">
        <f t="shared" si="11"/>
        <v>3.1146259188384156E-4</v>
      </c>
      <c r="Z26" s="406">
        <f t="shared" si="12"/>
        <v>3.2008227180293398E-3</v>
      </c>
      <c r="AA26" s="406">
        <f t="shared" si="13"/>
        <v>4.3179650974960224E-2</v>
      </c>
      <c r="AB26" s="406">
        <f t="shared" si="14"/>
        <v>8.2101533999999964E-4</v>
      </c>
      <c r="AC26" s="406">
        <f t="shared" si="15"/>
        <v>4.7515615505490258E-2</v>
      </c>
      <c r="AD26" s="406">
        <f t="shared" si="16"/>
        <v>0.1736722410981468</v>
      </c>
      <c r="AE26" s="406">
        <f t="shared" si="17"/>
        <v>6.0324094656105665E-4</v>
      </c>
      <c r="AF26" s="406">
        <f t="shared" si="18"/>
        <v>7.6973199419999999E-3</v>
      </c>
      <c r="AG26" s="406">
        <f t="shared" si="19"/>
        <v>8.3013621240083258E-3</v>
      </c>
      <c r="AH26" s="406">
        <f t="shared" si="20"/>
        <v>0</v>
      </c>
      <c r="AI26">
        <f t="shared" si="21"/>
        <v>0</v>
      </c>
      <c r="AJ26" s="407">
        <f t="shared" si="22"/>
        <v>2.9993200000000001E-2</v>
      </c>
      <c r="AK26">
        <f t="shared" si="23"/>
        <v>0.03</v>
      </c>
      <c r="AL26" s="407">
        <f t="shared" si="24"/>
        <v>0.13500000000000001</v>
      </c>
      <c r="AM26" s="407">
        <f t="shared" si="25"/>
        <v>9.8855098389982105E-2</v>
      </c>
      <c r="AN26" s="407">
        <f t="shared" si="42"/>
        <v>0.16500000000000001</v>
      </c>
      <c r="AO26" s="407">
        <f t="shared" si="26"/>
        <v>0.45202344296758401</v>
      </c>
      <c r="AP26">
        <f t="shared" si="27"/>
        <v>0.86699999999999999</v>
      </c>
      <c r="AQ26" s="10">
        <f t="shared" si="43"/>
        <v>0.65730446613548721</v>
      </c>
      <c r="AR26" s="63">
        <f t="shared" si="28"/>
        <v>2.1382026977470616</v>
      </c>
      <c r="AS26" s="63">
        <f t="shared" si="44"/>
        <v>0.33205448496033302</v>
      </c>
      <c r="AT26" s="10"/>
      <c r="AU26">
        <f t="shared" si="45"/>
        <v>65.730446613548722</v>
      </c>
      <c r="BC26" t="s">
        <v>243</v>
      </c>
      <c r="BD26">
        <v>9.9989640000000009</v>
      </c>
      <c r="BE26">
        <v>0.1027</v>
      </c>
      <c r="BF26">
        <v>5.1211359999999999</v>
      </c>
      <c r="BG26">
        <v>61.870683235325004</v>
      </c>
      <c r="BH26">
        <v>324.12365701136014</v>
      </c>
    </row>
    <row r="27" spans="1:69" x14ac:dyDescent="0.2">
      <c r="A27" s="32" t="s">
        <v>132</v>
      </c>
      <c r="B27" s="5">
        <v>1.5</v>
      </c>
      <c r="C27" s="415" t="s">
        <v>208</v>
      </c>
      <c r="D27" s="31" t="s">
        <v>204</v>
      </c>
      <c r="G27">
        <v>18</v>
      </c>
      <c r="H27">
        <f t="shared" si="0"/>
        <v>0.18</v>
      </c>
      <c r="I27" s="406">
        <f t="shared" si="1"/>
        <v>0.34053639999999991</v>
      </c>
      <c r="J27" s="407">
        <f t="shared" si="2"/>
        <v>0.44950804799999994</v>
      </c>
      <c r="K27" s="407">
        <f t="shared" si="31"/>
        <v>0.40475402399999993</v>
      </c>
      <c r="L27" s="407">
        <f t="shared" si="32"/>
        <v>-4.4754023999999976E-2</v>
      </c>
      <c r="M27" s="63">
        <f t="shared" si="3"/>
        <v>1.6888310943396216</v>
      </c>
      <c r="N27" s="406">
        <f t="shared" si="4"/>
        <v>0.22189665109700099</v>
      </c>
      <c r="O27" s="406">
        <f t="shared" si="5"/>
        <v>1.2162999964107958E-3</v>
      </c>
      <c r="P27">
        <f t="shared" si="6"/>
        <v>0.2</v>
      </c>
      <c r="Q27" s="406">
        <f t="shared" si="34"/>
        <v>0.2012162999964108</v>
      </c>
      <c r="R27" s="9">
        <f t="shared" si="39"/>
        <v>0.12976179625785159</v>
      </c>
      <c r="S27" s="9">
        <f t="shared" si="7"/>
        <v>3.3676247536128369E-5</v>
      </c>
      <c r="T27" s="9">
        <f t="shared" si="40"/>
        <v>3.3676247536128369E-5</v>
      </c>
      <c r="U27" s="406">
        <f t="shared" si="8"/>
        <v>0.12948889300141153</v>
      </c>
      <c r="V27" s="408">
        <f t="shared" si="9"/>
        <v>5.3655594914339214E-5</v>
      </c>
      <c r="W27" s="406">
        <f t="shared" si="41"/>
        <v>5.3655594914339214E-5</v>
      </c>
      <c r="X27" s="406">
        <f t="shared" si="10"/>
        <v>0.12948889300141153</v>
      </c>
      <c r="Y27" s="406">
        <f t="shared" si="11"/>
        <v>3.3534746821462007E-4</v>
      </c>
      <c r="Z27" s="406">
        <f t="shared" si="12"/>
        <v>3.2820702215061118E-3</v>
      </c>
      <c r="AA27" s="406">
        <f t="shared" si="13"/>
        <v>4.4374250949373577E-2</v>
      </c>
      <c r="AB27" s="406">
        <f t="shared" si="14"/>
        <v>6.7131035999999959E-4</v>
      </c>
      <c r="AC27" s="406">
        <f t="shared" si="15"/>
        <v>4.8665916597639788E-2</v>
      </c>
      <c r="AD27" s="406">
        <f t="shared" si="16"/>
        <v>0.18019642159968988</v>
      </c>
      <c r="AE27" s="406">
        <f t="shared" si="17"/>
        <v>6.4941500714666366E-4</v>
      </c>
      <c r="AF27" s="406">
        <f t="shared" si="18"/>
        <v>7.892703467999999E-3</v>
      </c>
      <c r="AG27" s="406">
        <f t="shared" si="19"/>
        <v>8.543006148170466E-3</v>
      </c>
      <c r="AH27" s="406">
        <f t="shared" si="20"/>
        <v>0</v>
      </c>
      <c r="AI27">
        <f t="shared" si="21"/>
        <v>0</v>
      </c>
      <c r="AJ27" s="407">
        <f t="shared" si="22"/>
        <v>2.99928E-2</v>
      </c>
      <c r="AK27">
        <f t="shared" si="23"/>
        <v>0.03</v>
      </c>
      <c r="AL27" s="407">
        <f t="shared" si="24"/>
        <v>0.13500000000000001</v>
      </c>
      <c r="AM27" s="407">
        <f t="shared" si="25"/>
        <v>9.8855098389982105E-2</v>
      </c>
      <c r="AN27" s="407">
        <f t="shared" si="42"/>
        <v>0.16500000000000001</v>
      </c>
      <c r="AO27" s="407">
        <f t="shared" si="26"/>
        <v>0.45350535458467145</v>
      </c>
      <c r="AP27">
        <f t="shared" si="27"/>
        <v>0.91799999999999993</v>
      </c>
      <c r="AQ27" s="10">
        <f t="shared" si="43"/>
        <v>0.6693375253193925</v>
      </c>
      <c r="AR27" s="63">
        <f t="shared" si="28"/>
        <v>2.1899662468937904</v>
      </c>
      <c r="AS27" s="63">
        <f t="shared" si="44"/>
        <v>0.34172024592681866</v>
      </c>
      <c r="AT27" s="10"/>
      <c r="AU27">
        <f t="shared" si="45"/>
        <v>66.933752531939248</v>
      </c>
      <c r="BC27" t="s">
        <v>244</v>
      </c>
      <c r="BD27">
        <v>9.9986669999999993</v>
      </c>
      <c r="BE27">
        <v>0.1166</v>
      </c>
      <c r="BF27">
        <v>5.1212980000000003</v>
      </c>
      <c r="BG27">
        <v>64.729420570558148</v>
      </c>
      <c r="BH27">
        <v>325.37886459483997</v>
      </c>
    </row>
    <row r="28" spans="1:69" x14ac:dyDescent="0.2">
      <c r="A28" s="32" t="s">
        <v>239</v>
      </c>
      <c r="B28" s="5">
        <v>0.9</v>
      </c>
      <c r="C28" s="415" t="s">
        <v>208</v>
      </c>
      <c r="D28" s="31" t="s">
        <v>205</v>
      </c>
      <c r="G28">
        <v>19</v>
      </c>
      <c r="H28">
        <f t="shared" si="0"/>
        <v>0.19</v>
      </c>
      <c r="I28" s="406">
        <f t="shared" si="1"/>
        <v>0.34056619999999993</v>
      </c>
      <c r="J28" s="407">
        <f t="shared" si="2"/>
        <v>0.44954738399999988</v>
      </c>
      <c r="K28" s="407">
        <f t="shared" si="31"/>
        <v>0.41477369199999992</v>
      </c>
      <c r="L28" s="407">
        <f t="shared" si="32"/>
        <v>-3.4773691999999939E-2</v>
      </c>
      <c r="M28" s="63">
        <f t="shared" si="3"/>
        <v>1.3122147924528278</v>
      </c>
      <c r="N28" s="406">
        <f t="shared" si="4"/>
        <v>0.23008926718074069</v>
      </c>
      <c r="O28" s="406">
        <f t="shared" si="5"/>
        <v>1.3077812595652522E-3</v>
      </c>
      <c r="P28">
        <f t="shared" si="6"/>
        <v>0.2</v>
      </c>
      <c r="Q28" s="406">
        <f t="shared" si="34"/>
        <v>0.20130778125956528</v>
      </c>
      <c r="R28" s="9">
        <f t="shared" si="39"/>
        <v>0.129773151582946</v>
      </c>
      <c r="S28" s="9">
        <f t="shared" si="7"/>
        <v>3.3682141743540564E-5</v>
      </c>
      <c r="T28" s="9">
        <f t="shared" si="40"/>
        <v>3.3682141743540564E-5</v>
      </c>
      <c r="U28" s="406">
        <f t="shared" si="8"/>
        <v>0.13427560958986365</v>
      </c>
      <c r="V28" s="408">
        <f t="shared" si="9"/>
        <v>5.769580585833435E-5</v>
      </c>
      <c r="W28" s="406">
        <f t="shared" si="41"/>
        <v>5.769580585833435E-5</v>
      </c>
      <c r="X28" s="406">
        <f t="shared" si="10"/>
        <v>0.13427560958986365</v>
      </c>
      <c r="Y28" s="406">
        <f t="shared" si="11"/>
        <v>3.6059878661458966E-4</v>
      </c>
      <c r="Z28" s="406">
        <f t="shared" si="12"/>
        <v>3.3633177249828843E-3</v>
      </c>
      <c r="AA28" s="406">
        <f t="shared" si="13"/>
        <v>4.5565304927815763E-2</v>
      </c>
      <c r="AB28" s="406">
        <f t="shared" si="14"/>
        <v>5.216053799999991E-4</v>
      </c>
      <c r="AC28" s="406">
        <f t="shared" si="15"/>
        <v>4.9814060139548914E-2</v>
      </c>
      <c r="AD28" s="406">
        <f t="shared" si="16"/>
        <v>0.18684520743396335</v>
      </c>
      <c r="AE28" s="406">
        <f t="shared" si="17"/>
        <v>6.9822263082081591E-4</v>
      </c>
      <c r="AF28" s="406">
        <f t="shared" si="18"/>
        <v>8.0880869939999982E-3</v>
      </c>
      <c r="AG28" s="406">
        <f t="shared" si="19"/>
        <v>8.7872913025249799E-3</v>
      </c>
      <c r="AH28" s="406">
        <f t="shared" si="20"/>
        <v>0</v>
      </c>
      <c r="AI28">
        <f t="shared" si="21"/>
        <v>0</v>
      </c>
      <c r="AJ28" s="407">
        <f t="shared" si="22"/>
        <v>2.9992399999999999E-2</v>
      </c>
      <c r="AK28">
        <f t="shared" si="23"/>
        <v>0.03</v>
      </c>
      <c r="AL28" s="407">
        <f t="shared" si="24"/>
        <v>0.13500000000000001</v>
      </c>
      <c r="AM28" s="407">
        <f t="shared" si="25"/>
        <v>9.8855098389982105E-2</v>
      </c>
      <c r="AN28" s="407">
        <f t="shared" si="42"/>
        <v>0.16500000000000001</v>
      </c>
      <c r="AO28" s="407">
        <f t="shared" si="26"/>
        <v>0.45499291064924097</v>
      </c>
      <c r="AP28">
        <f t="shared" si="27"/>
        <v>0.96899999999999997</v>
      </c>
      <c r="AQ28" s="10">
        <f t="shared" si="43"/>
        <v>0.68048091584824244</v>
      </c>
      <c r="AR28" s="63">
        <f t="shared" si="28"/>
        <v>2.241632706279701</v>
      </c>
      <c r="AS28" s="63">
        <f t="shared" si="44"/>
        <v>0.3514916521009992</v>
      </c>
      <c r="AT28" s="10"/>
      <c r="AU28">
        <f t="shared" si="45"/>
        <v>68.048091584824249</v>
      </c>
      <c r="BC28" t="s">
        <v>245</v>
      </c>
      <c r="BD28">
        <v>9.9987659999999998</v>
      </c>
      <c r="BE28">
        <v>0.14660000000000001</v>
      </c>
      <c r="BF28">
        <v>5.1213230000000003</v>
      </c>
      <c r="BG28">
        <v>69.885376918691776</v>
      </c>
      <c r="BH28">
        <v>323.52446193379996</v>
      </c>
    </row>
    <row r="29" spans="1:69" x14ac:dyDescent="0.2">
      <c r="A29" s="34" t="s">
        <v>203</v>
      </c>
      <c r="B29" s="25" t="s">
        <v>201</v>
      </c>
      <c r="C29" s="34" t="s">
        <v>148</v>
      </c>
      <c r="D29" s="27" t="s">
        <v>188</v>
      </c>
      <c r="G29">
        <v>20</v>
      </c>
      <c r="H29">
        <f t="shared" si="0"/>
        <v>0.2</v>
      </c>
      <c r="I29" s="406">
        <f t="shared" si="1"/>
        <v>0.34059599999999995</v>
      </c>
      <c r="J29" s="407">
        <f t="shared" si="2"/>
        <v>0.44958671999999994</v>
      </c>
      <c r="K29" s="407">
        <f t="shared" si="31"/>
        <v>0.42479336000000001</v>
      </c>
      <c r="L29" s="407">
        <f t="shared" si="32"/>
        <v>-2.4793359999999959E-2</v>
      </c>
      <c r="M29" s="63">
        <f t="shared" si="3"/>
        <v>0.93559849056603617</v>
      </c>
      <c r="N29" s="406">
        <f t="shared" si="4"/>
        <v>0.2384198360736019</v>
      </c>
      <c r="O29" s="406">
        <f t="shared" si="5"/>
        <v>1.4042049759749084E-3</v>
      </c>
      <c r="P29">
        <f t="shared" si="6"/>
        <v>0.2</v>
      </c>
      <c r="Q29" s="406">
        <f t="shared" si="34"/>
        <v>0.20140420497597492</v>
      </c>
      <c r="R29" s="9">
        <f t="shared" si="39"/>
        <v>0.12978450690804044</v>
      </c>
      <c r="S29" s="9">
        <f t="shared" si="7"/>
        <v>3.3688036466726394E-5</v>
      </c>
      <c r="T29" s="9">
        <f t="shared" si="40"/>
        <v>3.3688036466726394E-5</v>
      </c>
      <c r="U29" s="406">
        <f t="shared" si="8"/>
        <v>0.139143254361146</v>
      </c>
      <c r="V29" s="408">
        <f t="shared" si="9"/>
        <v>6.1954704749473836E-5</v>
      </c>
      <c r="W29" s="406">
        <f t="shared" si="41"/>
        <v>6.1954704749473836E-5</v>
      </c>
      <c r="X29" s="406">
        <f t="shared" si="10"/>
        <v>0.139143254361146</v>
      </c>
      <c r="Y29" s="406">
        <f t="shared" si="11"/>
        <v>3.8721690468421146E-4</v>
      </c>
      <c r="Z29" s="406">
        <f t="shared" si="12"/>
        <v>3.444565228459658E-3</v>
      </c>
      <c r="AA29" s="406">
        <f t="shared" si="13"/>
        <v>4.6752812910286767E-2</v>
      </c>
      <c r="AB29" s="406">
        <f t="shared" si="14"/>
        <v>3.7190039999999931E-4</v>
      </c>
      <c r="AC29" s="406">
        <f t="shared" si="15"/>
        <v>5.0960047309951385E-2</v>
      </c>
      <c r="AD29" s="406">
        <f t="shared" si="16"/>
        <v>0.19360571530601217</v>
      </c>
      <c r="AE29" s="406">
        <f t="shared" si="17"/>
        <v>7.4966345998305275E-4</v>
      </c>
      <c r="AF29" s="406">
        <f t="shared" si="18"/>
        <v>8.2834705200000008E-3</v>
      </c>
      <c r="AG29" s="406">
        <f t="shared" si="19"/>
        <v>9.034217599634891E-3</v>
      </c>
      <c r="AH29" s="406">
        <f t="shared" si="20"/>
        <v>0</v>
      </c>
      <c r="AI29">
        <f t="shared" si="21"/>
        <v>0</v>
      </c>
      <c r="AJ29" s="407">
        <f t="shared" si="22"/>
        <v>2.9992000000000001E-2</v>
      </c>
      <c r="AK29">
        <f t="shared" si="23"/>
        <v>0.03</v>
      </c>
      <c r="AL29" s="407">
        <f t="shared" si="24"/>
        <v>0.13500000000000001</v>
      </c>
      <c r="AM29" s="407">
        <f t="shared" si="25"/>
        <v>9.8855098389982105E-2</v>
      </c>
      <c r="AN29" s="407">
        <f t="shared" si="42"/>
        <v>0.16500000000000001</v>
      </c>
      <c r="AO29" s="407">
        <f t="shared" si="26"/>
        <v>0.45648611262677741</v>
      </c>
      <c r="AP29">
        <f t="shared" si="27"/>
        <v>1.02</v>
      </c>
      <c r="AQ29" s="10">
        <f t="shared" si="43"/>
        <v>0.69082938964142704</v>
      </c>
      <c r="AR29" s="63">
        <f t="shared" si="28"/>
        <v>2.2932021289478124</v>
      </c>
      <c r="AS29" s="63">
        <f t="shared" si="44"/>
        <v>0.36136870398539567</v>
      </c>
      <c r="AT29" s="10"/>
      <c r="AU29">
        <f t="shared" si="45"/>
        <v>69.082938964142699</v>
      </c>
      <c r="BC29" t="s">
        <v>246</v>
      </c>
      <c r="BD29">
        <v>9.9987899999999996</v>
      </c>
      <c r="BE29">
        <v>0.1958</v>
      </c>
      <c r="BF29">
        <v>5.1217600000000001</v>
      </c>
      <c r="BG29">
        <v>75.662516566515876</v>
      </c>
      <c r="BH29">
        <v>322.57199766699983</v>
      </c>
    </row>
    <row r="30" spans="1:69" x14ac:dyDescent="0.2">
      <c r="A30" s="32" t="s">
        <v>131</v>
      </c>
      <c r="B30" s="37">
        <v>1.5</v>
      </c>
      <c r="C30" s="415" t="s">
        <v>208</v>
      </c>
      <c r="D30" s="31" t="s">
        <v>204</v>
      </c>
      <c r="G30">
        <v>21</v>
      </c>
      <c r="H30">
        <f t="shared" si="0"/>
        <v>0.21</v>
      </c>
      <c r="I30" s="406">
        <f t="shared" si="1"/>
        <v>0.34062579999999998</v>
      </c>
      <c r="J30" s="407">
        <f t="shared" si="2"/>
        <v>0.44962605599999994</v>
      </c>
      <c r="K30" s="407">
        <f t="shared" si="31"/>
        <v>0.43481302799999999</v>
      </c>
      <c r="L30" s="407">
        <f t="shared" si="32"/>
        <v>-1.4813027999999978E-2</v>
      </c>
      <c r="M30" s="63">
        <f t="shared" si="3"/>
        <v>0.55898218867924443</v>
      </c>
      <c r="N30" s="406">
        <f t="shared" si="4"/>
        <v>0.24687439286577073</v>
      </c>
      <c r="O30" s="406">
        <f t="shared" si="5"/>
        <v>1.5055713743393302E-3</v>
      </c>
      <c r="P30">
        <f t="shared" si="6"/>
        <v>0.2</v>
      </c>
      <c r="Q30" s="406">
        <f t="shared" si="34"/>
        <v>0.20150557137433933</v>
      </c>
      <c r="R30" s="9">
        <f t="shared" si="39"/>
        <v>0.12979586223313486</v>
      </c>
      <c r="S30" s="9">
        <f t="shared" si="7"/>
        <v>3.3693931705685846E-5</v>
      </c>
      <c r="T30" s="9">
        <f t="shared" si="40"/>
        <v>3.3693931705685846E-5</v>
      </c>
      <c r="U30" s="406">
        <f t="shared" si="8"/>
        <v>0.14408368749167025</v>
      </c>
      <c r="V30" s="408">
        <f t="shared" si="9"/>
        <v>6.6432348803831349E-5</v>
      </c>
      <c r="W30" s="406">
        <f t="shared" si="41"/>
        <v>6.6432348803831349E-5</v>
      </c>
      <c r="X30" s="406">
        <f t="shared" si="10"/>
        <v>0.14408368749167025</v>
      </c>
      <c r="Y30" s="406">
        <f t="shared" si="11"/>
        <v>4.1520218002394588E-4</v>
      </c>
      <c r="Z30" s="406">
        <f t="shared" si="12"/>
        <v>3.5258127319364304E-3</v>
      </c>
      <c r="AA30" s="406">
        <f t="shared" si="13"/>
        <v>4.7936774896786605E-2</v>
      </c>
      <c r="AB30" s="406">
        <f t="shared" si="14"/>
        <v>2.2219541999999966E-4</v>
      </c>
      <c r="AC30" s="406">
        <f t="shared" si="15"/>
        <v>5.2103879284714986E-2</v>
      </c>
      <c r="AD30" s="406">
        <f t="shared" si="16"/>
        <v>0.20046659784524107</v>
      </c>
      <c r="AE30" s="406">
        <f t="shared" si="17"/>
        <v>8.0373713703291215E-4</v>
      </c>
      <c r="AF30" s="406">
        <f t="shared" si="18"/>
        <v>8.4788540459999999E-3</v>
      </c>
      <c r="AG30" s="406">
        <f t="shared" si="19"/>
        <v>9.2837850586847352E-3</v>
      </c>
      <c r="AH30" s="406">
        <f t="shared" si="20"/>
        <v>0</v>
      </c>
      <c r="AI30">
        <f t="shared" si="21"/>
        <v>0</v>
      </c>
      <c r="AJ30" s="407">
        <f t="shared" si="22"/>
        <v>2.99916E-2</v>
      </c>
      <c r="AK30">
        <f t="shared" si="23"/>
        <v>0.03</v>
      </c>
      <c r="AL30" s="407">
        <f t="shared" si="24"/>
        <v>0.13500000000000001</v>
      </c>
      <c r="AM30" s="407">
        <f t="shared" si="25"/>
        <v>9.8855098389982105E-2</v>
      </c>
      <c r="AN30" s="407">
        <f t="shared" si="42"/>
        <v>0.16500000000000001</v>
      </c>
      <c r="AO30" s="407">
        <f t="shared" si="26"/>
        <v>0.45798496199824856</v>
      </c>
      <c r="AP30">
        <f t="shared" si="27"/>
        <v>1.071</v>
      </c>
      <c r="AQ30" s="10">
        <f t="shared" si="43"/>
        <v>0.70046470476746703</v>
      </c>
      <c r="AR30" s="63">
        <f t="shared" si="28"/>
        <v>2.3446745678121745</v>
      </c>
      <c r="AS30" s="63">
        <f t="shared" si="44"/>
        <v>0.37135140234738939</v>
      </c>
      <c r="AT30" s="10"/>
      <c r="AU30">
        <f t="shared" si="45"/>
        <v>70.046470476746705</v>
      </c>
      <c r="BD30">
        <v>9.9987659999999998</v>
      </c>
      <c r="BE30">
        <v>0.2681</v>
      </c>
      <c r="BF30">
        <v>5.1224080000000001</v>
      </c>
      <c r="BG30">
        <v>80.957553445887683</v>
      </c>
      <c r="BH30">
        <v>323.02506068319997</v>
      </c>
    </row>
    <row r="31" spans="1:69" x14ac:dyDescent="0.2">
      <c r="A31" s="32" t="s">
        <v>238</v>
      </c>
      <c r="B31" s="37">
        <v>0.9</v>
      </c>
      <c r="C31" s="415" t="s">
        <v>208</v>
      </c>
      <c r="D31" s="31" t="s">
        <v>205</v>
      </c>
      <c r="G31">
        <v>22</v>
      </c>
      <c r="H31">
        <f t="shared" si="0"/>
        <v>0.22</v>
      </c>
      <c r="I31" s="406">
        <f t="shared" si="1"/>
        <v>0.3406556</v>
      </c>
      <c r="J31" s="407">
        <f t="shared" si="2"/>
        <v>0.449665392</v>
      </c>
      <c r="K31" s="407">
        <f t="shared" si="31"/>
        <v>0.44483269599999997</v>
      </c>
      <c r="L31" s="407">
        <f t="shared" si="32"/>
        <v>-4.8326959999999974E-3</v>
      </c>
      <c r="M31" s="63">
        <f t="shared" si="3"/>
        <v>0.18236588679245272</v>
      </c>
      <c r="N31" s="406">
        <f t="shared" si="4"/>
        <v>0.25544062662428907</v>
      </c>
      <c r="O31" s="406">
        <f t="shared" si="5"/>
        <v>1.6118806950869381E-3</v>
      </c>
      <c r="P31">
        <f t="shared" si="6"/>
        <v>0.2</v>
      </c>
      <c r="Q31" s="406">
        <f t="shared" si="34"/>
        <v>0.20161188069508695</v>
      </c>
      <c r="R31" s="9">
        <f t="shared" si="39"/>
        <v>0.1298072175582293</v>
      </c>
      <c r="S31" s="9">
        <f t="shared" si="7"/>
        <v>3.3699827460418947E-5</v>
      </c>
      <c r="T31" s="9">
        <f t="shared" si="40"/>
        <v>3.3699827460418947E-5</v>
      </c>
      <c r="U31" s="406">
        <f t="shared" si="8"/>
        <v>0.14908973308619455</v>
      </c>
      <c r="V31" s="408">
        <f t="shared" si="9"/>
        <v>7.1128795237480752E-5</v>
      </c>
      <c r="W31" s="406">
        <f t="shared" si="41"/>
        <v>7.1128795237480752E-5</v>
      </c>
      <c r="X31" s="406">
        <f t="shared" si="10"/>
        <v>0.14908973308619455</v>
      </c>
      <c r="Y31" s="406">
        <f t="shared" si="11"/>
        <v>4.445549702342547E-4</v>
      </c>
      <c r="Z31" s="406">
        <f t="shared" si="12"/>
        <v>3.6070602354132029E-3</v>
      </c>
      <c r="AA31" s="406">
        <f t="shared" si="13"/>
        <v>4.9117190887315261E-2</v>
      </c>
      <c r="AB31" s="406">
        <f t="shared" si="14"/>
        <v>7.2490439999999955E-5</v>
      </c>
      <c r="AC31" s="406">
        <f t="shared" si="15"/>
        <v>5.3245557236842975E-2</v>
      </c>
      <c r="AD31" s="406">
        <f t="shared" si="16"/>
        <v>0.20741785173532368</v>
      </c>
      <c r="AE31" s="406">
        <f t="shared" si="17"/>
        <v>8.6044330436993433E-4</v>
      </c>
      <c r="AF31" s="406">
        <f t="shared" si="18"/>
        <v>8.674237571999999E-3</v>
      </c>
      <c r="AG31" s="406">
        <f t="shared" si="19"/>
        <v>9.5359937054794366E-3</v>
      </c>
      <c r="AH31" s="406">
        <f t="shared" si="20"/>
        <v>0</v>
      </c>
      <c r="AI31">
        <f t="shared" si="21"/>
        <v>0</v>
      </c>
      <c r="AJ31" s="407">
        <f t="shared" si="22"/>
        <v>2.9991199999999999E-2</v>
      </c>
      <c r="AK31">
        <f t="shared" si="23"/>
        <v>0.03</v>
      </c>
      <c r="AL31" s="407">
        <f t="shared" si="24"/>
        <v>0.13500000000000001</v>
      </c>
      <c r="AM31" s="407">
        <f t="shared" si="25"/>
        <v>9.8855098389982105E-2</v>
      </c>
      <c r="AN31" s="407">
        <f t="shared" si="42"/>
        <v>0.16500000000000001</v>
      </c>
      <c r="AO31" s="407">
        <f t="shared" si="26"/>
        <v>0.45948946026010729</v>
      </c>
      <c r="AP31">
        <f t="shared" si="27"/>
        <v>1.1219999999999999</v>
      </c>
      <c r="AQ31" s="10">
        <f t="shared" si="43"/>
        <v>0.70945777900755957</v>
      </c>
      <c r="AR31" s="63">
        <f t="shared" si="28"/>
        <v>2.3960500756579339</v>
      </c>
      <c r="AS31" s="63">
        <f t="shared" si="44"/>
        <v>0.38143974821917748</v>
      </c>
      <c r="AT31" s="10"/>
      <c r="AU31">
        <f t="shared" si="45"/>
        <v>70.945777900755957</v>
      </c>
      <c r="BD31">
        <v>9.998704</v>
      </c>
      <c r="BE31">
        <v>0.36549999999999999</v>
      </c>
      <c r="BF31">
        <v>5.123094</v>
      </c>
      <c r="BG31">
        <v>85.419022273213088</v>
      </c>
      <c r="BH31">
        <v>319.63300692320018</v>
      </c>
    </row>
    <row r="32" spans="1:69" x14ac:dyDescent="0.2">
      <c r="A32" s="34" t="s">
        <v>133</v>
      </c>
      <c r="B32" s="25" t="s">
        <v>201</v>
      </c>
      <c r="C32" s="34" t="s">
        <v>148</v>
      </c>
      <c r="D32" s="27" t="s">
        <v>188</v>
      </c>
      <c r="G32">
        <v>23</v>
      </c>
      <c r="H32">
        <f t="shared" si="0"/>
        <v>0.23</v>
      </c>
      <c r="I32" s="406">
        <f t="shared" si="1"/>
        <v>0.34068539999999997</v>
      </c>
      <c r="J32" s="407">
        <f t="shared" si="2"/>
        <v>0.449704728</v>
      </c>
      <c r="K32" s="407">
        <f t="shared" si="31"/>
        <v>0.45485236400000001</v>
      </c>
      <c r="L32" s="407">
        <f t="shared" si="32"/>
        <v>5.147636000000011E-3</v>
      </c>
      <c r="M32" s="63">
        <f t="shared" si="3"/>
        <v>0</v>
      </c>
      <c r="N32" s="406">
        <f t="shared" si="4"/>
        <v>0.26410767097050181</v>
      </c>
      <c r="O32" s="406">
        <f t="shared" si="5"/>
        <v>1.7231331903764266E-3</v>
      </c>
      <c r="P32">
        <f t="shared" si="6"/>
        <v>0.2</v>
      </c>
      <c r="Q32" s="406">
        <f t="shared" si="34"/>
        <v>0.20172313319037644</v>
      </c>
      <c r="R32" s="9">
        <f t="shared" si="39"/>
        <v>0.12981857288332371</v>
      </c>
      <c r="S32" s="9">
        <f t="shared" si="7"/>
        <v>3.3705723730925663E-5</v>
      </c>
      <c r="T32" s="9">
        <f t="shared" si="40"/>
        <v>3.3705723730925663E-5</v>
      </c>
      <c r="U32" s="406">
        <f t="shared" si="8"/>
        <v>0.15415505715279001</v>
      </c>
      <c r="V32" s="408">
        <f t="shared" si="9"/>
        <v>7.6044101266495859E-5</v>
      </c>
      <c r="W32" s="406">
        <f t="shared" si="41"/>
        <v>7.6044101266495859E-5</v>
      </c>
      <c r="X32" s="406">
        <f t="shared" si="10"/>
        <v>0.15415505715279001</v>
      </c>
      <c r="Y32" s="406">
        <f t="shared" si="11"/>
        <v>4.752756329155991E-4</v>
      </c>
      <c r="Z32" s="406">
        <f t="shared" si="12"/>
        <v>3.7230778708533161E-3</v>
      </c>
      <c r="AA32" s="406">
        <f t="shared" si="13"/>
        <v>4.9687500000000002E-2</v>
      </c>
      <c r="AB32" s="406">
        <f t="shared" si="14"/>
        <v>0</v>
      </c>
      <c r="AC32" s="406">
        <f t="shared" si="15"/>
        <v>5.3890463812142277E-2</v>
      </c>
      <c r="AD32" s="406">
        <f t="shared" si="16"/>
        <v>0.21445064751518678</v>
      </c>
      <c r="AE32" s="406">
        <f t="shared" si="17"/>
        <v>9.1978160439365768E-4</v>
      </c>
      <c r="AF32" s="406">
        <f t="shared" si="18"/>
        <v>8.9700000000000005E-3</v>
      </c>
      <c r="AG32" s="406">
        <f t="shared" si="19"/>
        <v>9.8912372488842541E-3</v>
      </c>
      <c r="AH32" s="406">
        <f t="shared" si="20"/>
        <v>0</v>
      </c>
      <c r="AI32">
        <f t="shared" si="21"/>
        <v>0</v>
      </c>
      <c r="AJ32" s="407">
        <f t="shared" si="22"/>
        <v>2.9990800000000001E-2</v>
      </c>
      <c r="AK32">
        <f t="shared" si="23"/>
        <v>0.03</v>
      </c>
      <c r="AL32" s="407">
        <f t="shared" si="24"/>
        <v>0.13500000000000001</v>
      </c>
      <c r="AM32" s="407">
        <f t="shared" si="25"/>
        <v>9.8855098389982105E-2</v>
      </c>
      <c r="AN32" s="407">
        <f t="shared" si="42"/>
        <v>0.16500000000000001</v>
      </c>
      <c r="AO32" s="407">
        <f t="shared" si="26"/>
        <v>0.46060538407640039</v>
      </c>
      <c r="AP32">
        <f t="shared" si="27"/>
        <v>1.173</v>
      </c>
      <c r="AQ32" s="10">
        <f t="shared" si="43"/>
        <v>0.71804366674708586</v>
      </c>
      <c r="AR32" s="63">
        <f t="shared" si="28"/>
        <v>2.4250708715464024</v>
      </c>
      <c r="AS32" s="63">
        <f t="shared" si="44"/>
        <v>0.39564948995537019</v>
      </c>
      <c r="AT32" s="10"/>
      <c r="AU32">
        <f t="shared" si="45"/>
        <v>71.804366674708589</v>
      </c>
      <c r="BD32">
        <v>9.9987290000000009</v>
      </c>
      <c r="BE32">
        <v>0.49059999999999998</v>
      </c>
      <c r="BF32">
        <v>5.1238169999999998</v>
      </c>
      <c r="BG32">
        <v>88.551850267052174</v>
      </c>
      <c r="BH32">
        <v>324.98153184230057</v>
      </c>
    </row>
    <row r="33" spans="1:60" x14ac:dyDescent="0.2">
      <c r="A33" s="32" t="s">
        <v>133</v>
      </c>
      <c r="B33" s="5">
        <v>20</v>
      </c>
      <c r="C33" s="416" t="s">
        <v>147</v>
      </c>
      <c r="D33" s="31" t="s">
        <v>179</v>
      </c>
      <c r="G33">
        <v>24</v>
      </c>
      <c r="H33">
        <f t="shared" si="0"/>
        <v>0.24</v>
      </c>
      <c r="I33" s="406">
        <f t="shared" si="1"/>
        <v>0.3407152</v>
      </c>
      <c r="J33" s="407">
        <f t="shared" si="2"/>
        <v>0.449744064</v>
      </c>
      <c r="K33" s="407">
        <f t="shared" si="31"/>
        <v>0.46487203199999999</v>
      </c>
      <c r="L33" s="407">
        <f t="shared" si="32"/>
        <v>1.5127967999999992E-2</v>
      </c>
      <c r="M33" s="63">
        <f t="shared" si="3"/>
        <v>0</v>
      </c>
      <c r="N33" s="406">
        <f t="shared" si="4"/>
        <v>0.27286591992882331</v>
      </c>
      <c r="O33" s="406">
        <f t="shared" si="5"/>
        <v>1.8393291240982621E-3</v>
      </c>
      <c r="P33">
        <f t="shared" si="6"/>
        <v>0.2</v>
      </c>
      <c r="Q33" s="406">
        <f t="shared" si="34"/>
        <v>0.20183932912409827</v>
      </c>
      <c r="R33" s="9">
        <f t="shared" si="39"/>
        <v>0.12982992820841815</v>
      </c>
      <c r="S33" s="9">
        <f t="shared" si="7"/>
        <v>3.3711620517206028E-5</v>
      </c>
      <c r="T33" s="9">
        <f t="shared" si="40"/>
        <v>3.3711620517206028E-5</v>
      </c>
      <c r="U33" s="406">
        <f t="shared" si="8"/>
        <v>0.15927406029677896</v>
      </c>
      <c r="V33" s="408">
        <f t="shared" si="9"/>
        <v>8.1178324106950331E-5</v>
      </c>
      <c r="W33" s="406">
        <f t="shared" si="41"/>
        <v>8.1178324106950331E-5</v>
      </c>
      <c r="X33" s="406">
        <f t="shared" si="10"/>
        <v>0.15927406029677896</v>
      </c>
      <c r="Y33" s="406">
        <f t="shared" si="11"/>
        <v>5.0736452566843961E-4</v>
      </c>
      <c r="Z33" s="406">
        <f t="shared" si="12"/>
        <v>3.8717383500490288E-3</v>
      </c>
      <c r="AA33" s="406">
        <f t="shared" si="13"/>
        <v>4.9687500000000002E-2</v>
      </c>
      <c r="AB33" s="406">
        <f t="shared" si="14"/>
        <v>0</v>
      </c>
      <c r="AC33" s="406">
        <f t="shared" si="15"/>
        <v>5.4071540992432075E-2</v>
      </c>
      <c r="AD33" s="406">
        <f t="shared" si="16"/>
        <v>0.22155717992243229</v>
      </c>
      <c r="AE33" s="406">
        <f t="shared" si="17"/>
        <v>9.817516795036208E-4</v>
      </c>
      <c r="AF33" s="406">
        <f t="shared" si="18"/>
        <v>9.3600000000000003E-3</v>
      </c>
      <c r="AG33" s="406">
        <f t="shared" si="19"/>
        <v>1.0343376419851131E-2</v>
      </c>
      <c r="AH33" s="406">
        <f t="shared" si="20"/>
        <v>0</v>
      </c>
      <c r="AI33">
        <f t="shared" si="21"/>
        <v>0</v>
      </c>
      <c r="AJ33" s="407">
        <f t="shared" si="22"/>
        <v>2.99904E-2</v>
      </c>
      <c r="AK33">
        <f t="shared" si="23"/>
        <v>0.03</v>
      </c>
      <c r="AL33" s="407">
        <f t="shared" si="24"/>
        <v>0.13500000000000001</v>
      </c>
      <c r="AM33" s="407">
        <f t="shared" si="25"/>
        <v>9.8855098389982105E-2</v>
      </c>
      <c r="AN33" s="407">
        <f t="shared" si="42"/>
        <v>0.16500000000000001</v>
      </c>
      <c r="AO33" s="407">
        <f t="shared" si="26"/>
        <v>0.46135953648100558</v>
      </c>
      <c r="AP33">
        <f t="shared" si="27"/>
        <v>1.224</v>
      </c>
      <c r="AQ33" s="10">
        <f t="shared" si="43"/>
        <v>0.72625453115819172</v>
      </c>
      <c r="AR33" s="63">
        <f t="shared" si="28"/>
        <v>2.4332193446594435</v>
      </c>
      <c r="AS33" s="63">
        <f t="shared" si="44"/>
        <v>0.41373505679404521</v>
      </c>
      <c r="AT33" s="10"/>
      <c r="AU33">
        <f t="shared" si="45"/>
        <v>72.62545311581917</v>
      </c>
      <c r="BD33">
        <v>9.9986420000000003</v>
      </c>
      <c r="BE33">
        <v>0.64549999999999996</v>
      </c>
      <c r="BF33">
        <v>5.1237300000000001</v>
      </c>
      <c r="BG33">
        <v>90.41893857119905</v>
      </c>
      <c r="BH33">
        <v>350.45848473660021</v>
      </c>
    </row>
    <row r="34" spans="1:60" x14ac:dyDescent="0.2">
      <c r="A34" s="34" t="s">
        <v>119</v>
      </c>
      <c r="B34" s="25" t="s">
        <v>201</v>
      </c>
      <c r="C34" s="34" t="s">
        <v>148</v>
      </c>
      <c r="D34" s="27" t="s">
        <v>188</v>
      </c>
      <c r="G34">
        <v>25</v>
      </c>
      <c r="H34">
        <f t="shared" si="0"/>
        <v>0.25</v>
      </c>
      <c r="I34" s="406">
        <f t="shared" si="1"/>
        <v>0.34074499999999996</v>
      </c>
      <c r="J34" s="407">
        <f t="shared" si="2"/>
        <v>0.4497834</v>
      </c>
      <c r="K34" s="407">
        <f t="shared" si="31"/>
        <v>0.47489170000000003</v>
      </c>
      <c r="L34" s="407">
        <f t="shared" si="32"/>
        <v>2.51083E-2</v>
      </c>
      <c r="M34" s="63">
        <f t="shared" si="3"/>
        <v>0</v>
      </c>
      <c r="N34" s="406">
        <f t="shared" si="4"/>
        <v>0.28170686699054748</v>
      </c>
      <c r="O34" s="406">
        <f t="shared" si="5"/>
        <v>1.9604687718762486E-3</v>
      </c>
      <c r="P34">
        <f t="shared" si="6"/>
        <v>0.2</v>
      </c>
      <c r="Q34" s="406">
        <f t="shared" si="34"/>
        <v>0.20196046877187626</v>
      </c>
      <c r="R34" s="9">
        <f t="shared" si="39"/>
        <v>0.12984128353351257</v>
      </c>
      <c r="S34" s="9">
        <f t="shared" si="7"/>
        <v>3.3717517819260001E-5</v>
      </c>
      <c r="T34" s="9">
        <f t="shared" si="40"/>
        <v>3.3717517819260001E-5</v>
      </c>
      <c r="U34" s="406">
        <f t="shared" si="8"/>
        <v>0.16444178393784797</v>
      </c>
      <c r="V34" s="408">
        <f t="shared" si="9"/>
        <v>8.6531520974918007E-5</v>
      </c>
      <c r="W34" s="406">
        <f t="shared" si="41"/>
        <v>8.6531520974918007E-5</v>
      </c>
      <c r="X34" s="406">
        <f t="shared" si="10"/>
        <v>0.16444178393784797</v>
      </c>
      <c r="Y34" s="406">
        <f t="shared" si="11"/>
        <v>5.4082200609323762E-4</v>
      </c>
      <c r="Z34" s="406">
        <f t="shared" si="12"/>
        <v>4.0203988292447429E-3</v>
      </c>
      <c r="AA34" s="406">
        <f t="shared" si="13"/>
        <v>4.9687500000000002E-2</v>
      </c>
      <c r="AB34" s="406">
        <f t="shared" si="14"/>
        <v>0</v>
      </c>
      <c r="AC34" s="406">
        <f t="shared" si="15"/>
        <v>5.4254002351848275E-2</v>
      </c>
      <c r="AD34" s="406">
        <f t="shared" si="16"/>
        <v>0.22873053710636918</v>
      </c>
      <c r="AE34" s="406">
        <f t="shared" si="17"/>
        <v>1.0463531720993626E-3</v>
      </c>
      <c r="AF34" s="406">
        <f t="shared" si="18"/>
        <v>9.75E-3</v>
      </c>
      <c r="AG34" s="406">
        <f t="shared" si="19"/>
        <v>1.0798160962495515E-2</v>
      </c>
      <c r="AH34" s="406">
        <f t="shared" si="20"/>
        <v>0</v>
      </c>
      <c r="AI34">
        <f t="shared" si="21"/>
        <v>0</v>
      </c>
      <c r="AJ34" s="407">
        <f t="shared" si="22"/>
        <v>2.9989999999999999E-2</v>
      </c>
      <c r="AK34">
        <f t="shared" si="23"/>
        <v>0.03</v>
      </c>
      <c r="AL34" s="407">
        <f t="shared" si="24"/>
        <v>0.13500000000000001</v>
      </c>
      <c r="AM34" s="407">
        <f t="shared" si="25"/>
        <v>9.8855098389982105E-2</v>
      </c>
      <c r="AN34" s="407">
        <f t="shared" si="42"/>
        <v>0.16500000000000001</v>
      </c>
      <c r="AO34" s="407">
        <f t="shared" si="26"/>
        <v>0.46212288112501432</v>
      </c>
      <c r="AP34">
        <f t="shared" si="27"/>
        <v>1.2749999999999999</v>
      </c>
      <c r="AQ34" s="10">
        <f t="shared" si="43"/>
        <v>0.73397225599508009</v>
      </c>
      <c r="AR34" s="63">
        <f t="shared" si="28"/>
        <v>2.4414301058331724</v>
      </c>
      <c r="AS34" s="63">
        <f t="shared" si="44"/>
        <v>0.4319264384998206</v>
      </c>
      <c r="AT34" s="10"/>
      <c r="AU34">
        <f t="shared" si="45"/>
        <v>73.397225599508005</v>
      </c>
      <c r="BD34">
        <v>9.9986049999999995</v>
      </c>
      <c r="BE34">
        <v>0.83240000000000003</v>
      </c>
      <c r="BF34">
        <v>5.1231559999999998</v>
      </c>
      <c r="BG34">
        <v>91.678946361105133</v>
      </c>
      <c r="BH34">
        <v>387.05996035199956</v>
      </c>
    </row>
    <row r="35" spans="1:60" x14ac:dyDescent="0.2">
      <c r="A35" s="32" t="s">
        <v>249</v>
      </c>
      <c r="B35" s="5">
        <v>2</v>
      </c>
      <c r="C35" s="416" t="s">
        <v>135</v>
      </c>
      <c r="D35" s="31" t="s">
        <v>259</v>
      </c>
      <c r="G35">
        <v>26</v>
      </c>
      <c r="H35">
        <f t="shared" si="0"/>
        <v>0.26</v>
      </c>
      <c r="I35" s="406">
        <f t="shared" si="1"/>
        <v>0.34077479999999999</v>
      </c>
      <c r="J35" s="407">
        <f t="shared" si="2"/>
        <v>0.449822736</v>
      </c>
      <c r="K35" s="407">
        <f t="shared" si="31"/>
        <v>0.48491136800000001</v>
      </c>
      <c r="L35" s="407">
        <f t="shared" si="32"/>
        <v>3.5088632000000008E-2</v>
      </c>
      <c r="M35" s="63">
        <f t="shared" si="3"/>
        <v>0</v>
      </c>
      <c r="N35" s="406">
        <f t="shared" si="4"/>
        <v>0.29062296505703711</v>
      </c>
      <c r="O35" s="406">
        <f t="shared" si="5"/>
        <v>2.0865524210691624E-3</v>
      </c>
      <c r="P35">
        <f t="shared" si="6"/>
        <v>0.2</v>
      </c>
      <c r="Q35" s="406">
        <f t="shared" si="34"/>
        <v>0.20208655242106918</v>
      </c>
      <c r="R35" s="9">
        <f t="shared" si="39"/>
        <v>0.12985263885860698</v>
      </c>
      <c r="S35" s="9">
        <f t="shared" si="7"/>
        <v>3.3723415637087616E-5</v>
      </c>
      <c r="T35" s="9">
        <f t="shared" si="40"/>
        <v>3.3723415637087616E-5</v>
      </c>
      <c r="U35" s="406">
        <f t="shared" si="8"/>
        <v>0.16965382869102219</v>
      </c>
      <c r="V35" s="408">
        <f t="shared" si="9"/>
        <v>9.2103749086472656E-5</v>
      </c>
      <c r="W35" s="406">
        <f t="shared" si="41"/>
        <v>9.2103749086472656E-5</v>
      </c>
      <c r="X35" s="406">
        <f t="shared" si="10"/>
        <v>0.16965382869102219</v>
      </c>
      <c r="Y35" s="406">
        <f t="shared" si="11"/>
        <v>5.7564843179045409E-4</v>
      </c>
      <c r="Z35" s="406">
        <f t="shared" si="12"/>
        <v>4.1690593084404565E-3</v>
      </c>
      <c r="AA35" s="406">
        <f t="shared" si="13"/>
        <v>4.9687500000000002E-2</v>
      </c>
      <c r="AB35" s="406">
        <f t="shared" si="14"/>
        <v>0</v>
      </c>
      <c r="AC35" s="406">
        <f t="shared" si="15"/>
        <v>5.4437848411403165E-2</v>
      </c>
      <c r="AD35" s="406">
        <f t="shared" si="16"/>
        <v>0.2359645868112864</v>
      </c>
      <c r="AE35" s="406">
        <f t="shared" si="17"/>
        <v>1.1135857245804224E-3</v>
      </c>
      <c r="AF35" s="406">
        <f t="shared" si="18"/>
        <v>1.014E-2</v>
      </c>
      <c r="AG35" s="406">
        <f t="shared" si="19"/>
        <v>1.1255591175085108E-2</v>
      </c>
      <c r="AH35" s="406">
        <f t="shared" si="20"/>
        <v>0</v>
      </c>
      <c r="AI35">
        <f t="shared" si="21"/>
        <v>0</v>
      </c>
      <c r="AJ35" s="407">
        <f t="shared" si="22"/>
        <v>2.9989600000000002E-2</v>
      </c>
      <c r="AK35">
        <f t="shared" si="23"/>
        <v>0.03</v>
      </c>
      <c r="AL35" s="407">
        <f t="shared" si="24"/>
        <v>0.13500000000000001</v>
      </c>
      <c r="AM35" s="407">
        <f t="shared" si="25"/>
        <v>9.8855098389982105E-2</v>
      </c>
      <c r="AN35" s="407">
        <f t="shared" si="42"/>
        <v>0.16500000000000001</v>
      </c>
      <c r="AO35" s="407">
        <f t="shared" si="26"/>
        <v>0.46289541917228105</v>
      </c>
      <c r="AP35">
        <f t="shared" si="27"/>
        <v>1.3259999999999998</v>
      </c>
      <c r="AQ35" s="10">
        <f t="shared" si="43"/>
        <v>0.74123953015293531</v>
      </c>
      <c r="AR35" s="63">
        <f t="shared" si="28"/>
        <v>2.4497031785131425</v>
      </c>
      <c r="AS35" s="63">
        <f t="shared" si="44"/>
        <v>0.45022364700340434</v>
      </c>
      <c r="AT35" s="10"/>
      <c r="AU35">
        <f t="shared" si="45"/>
        <v>74.123953015293537</v>
      </c>
      <c r="BD35">
        <v>9.9986049999999995</v>
      </c>
      <c r="BE35">
        <v>1.0528999999999999</v>
      </c>
      <c r="BF35">
        <v>5.1218219999999999</v>
      </c>
      <c r="BG35">
        <v>92.889938966292178</v>
      </c>
      <c r="BH35">
        <v>412.77762981700039</v>
      </c>
    </row>
    <row r="36" spans="1:60" x14ac:dyDescent="0.2">
      <c r="A36" s="34" t="s">
        <v>129</v>
      </c>
      <c r="B36" s="25" t="s">
        <v>201</v>
      </c>
      <c r="C36" s="34" t="s">
        <v>148</v>
      </c>
      <c r="D36" s="27" t="s">
        <v>188</v>
      </c>
      <c r="G36">
        <v>27</v>
      </c>
      <c r="H36">
        <f t="shared" si="0"/>
        <v>0.27</v>
      </c>
      <c r="I36" s="406">
        <f t="shared" si="1"/>
        <v>0.34080459999999996</v>
      </c>
      <c r="J36" s="407">
        <f t="shared" si="2"/>
        <v>0.44986207199999995</v>
      </c>
      <c r="K36" s="407">
        <f t="shared" si="31"/>
        <v>0.49493103599999999</v>
      </c>
      <c r="L36" s="407">
        <f t="shared" si="32"/>
        <v>4.5068964000000045E-2</v>
      </c>
      <c r="M36" s="63">
        <f t="shared" si="3"/>
        <v>0</v>
      </c>
      <c r="N36" s="406">
        <f t="shared" si="4"/>
        <v>0.29960750488821941</v>
      </c>
      <c r="O36" s="406">
        <f t="shared" si="5"/>
        <v>2.2175803707724547E-3</v>
      </c>
      <c r="P36">
        <f t="shared" si="6"/>
        <v>0.2</v>
      </c>
      <c r="Q36" s="406">
        <f t="shared" si="34"/>
        <v>0.20221758037077248</v>
      </c>
      <c r="R36" s="9">
        <f t="shared" si="39"/>
        <v>0.1298639941837014</v>
      </c>
      <c r="S36" s="9">
        <f t="shared" si="7"/>
        <v>3.3729313970688859E-5</v>
      </c>
      <c r="T36" s="9">
        <f t="shared" si="40"/>
        <v>3.3729313970688859E-5</v>
      </c>
      <c r="U36" s="406">
        <f t="shared" si="8"/>
        <v>0.1749062835292875</v>
      </c>
      <c r="V36" s="408">
        <f t="shared" si="9"/>
        <v>9.7895065657688024E-5</v>
      </c>
      <c r="W36" s="406">
        <f t="shared" si="41"/>
        <v>9.7895065657688024E-5</v>
      </c>
      <c r="X36" s="406">
        <f t="shared" si="10"/>
        <v>0.1749062835292875</v>
      </c>
      <c r="Y36" s="406">
        <f t="shared" si="11"/>
        <v>6.1184416036055009E-4</v>
      </c>
      <c r="Z36" s="406">
        <f t="shared" si="12"/>
        <v>4.3177197876361701E-3</v>
      </c>
      <c r="AA36" s="406">
        <f t="shared" si="13"/>
        <v>4.9687500000000002E-2</v>
      </c>
      <c r="AB36" s="406">
        <f t="shared" si="14"/>
        <v>0</v>
      </c>
      <c r="AC36" s="406">
        <f t="shared" si="15"/>
        <v>5.4623079694216446E-2</v>
      </c>
      <c r="AD36" s="406">
        <f t="shared" si="16"/>
        <v>0.24325387759975564</v>
      </c>
      <c r="AE36" s="406">
        <f t="shared" si="17"/>
        <v>1.1834489793463381E-3</v>
      </c>
      <c r="AF36" s="406">
        <f t="shared" si="18"/>
        <v>1.0530000000000001E-2</v>
      </c>
      <c r="AG36" s="406">
        <f t="shared" si="19"/>
        <v>1.1715667362479538E-2</v>
      </c>
      <c r="AH36" s="406">
        <f t="shared" si="20"/>
        <v>0</v>
      </c>
      <c r="AI36">
        <f t="shared" si="21"/>
        <v>0</v>
      </c>
      <c r="AJ36" s="407">
        <f t="shared" si="22"/>
        <v>2.9989200000000001E-2</v>
      </c>
      <c r="AK36">
        <f t="shared" si="23"/>
        <v>0.03</v>
      </c>
      <c r="AL36" s="407">
        <f t="shared" si="24"/>
        <v>0.13500000000000001</v>
      </c>
      <c r="AM36" s="407">
        <f t="shared" si="25"/>
        <v>9.8855098389982105E-2</v>
      </c>
      <c r="AN36" s="407">
        <f t="shared" si="42"/>
        <v>0.16500000000000001</v>
      </c>
      <c r="AO36" s="407">
        <f t="shared" si="26"/>
        <v>0.46367715180709679</v>
      </c>
      <c r="AP36">
        <f t="shared" si="27"/>
        <v>1.377</v>
      </c>
      <c r="AQ36" s="10">
        <f t="shared" si="43"/>
        <v>0.7480942536001608</v>
      </c>
      <c r="AR36" s="63">
        <f t="shared" si="28"/>
        <v>2.45803858623974</v>
      </c>
      <c r="AS36" s="63">
        <f t="shared" si="44"/>
        <v>0.46862669449918154</v>
      </c>
      <c r="AT36" s="10"/>
      <c r="AU36">
        <f t="shared" si="45"/>
        <v>74.809425360016078</v>
      </c>
      <c r="BD36">
        <v>9.9986669999999993</v>
      </c>
      <c r="BE36">
        <v>1.3092999999999999</v>
      </c>
      <c r="BF36">
        <v>5.1195649999999997</v>
      </c>
      <c r="BG36">
        <v>93.690364214923264</v>
      </c>
      <c r="BH36">
        <v>451.42072788069993</v>
      </c>
    </row>
    <row r="37" spans="1:60" x14ac:dyDescent="0.2">
      <c r="A37" s="33" t="s">
        <v>142</v>
      </c>
      <c r="B37" s="5">
        <f>RdsonTop*1000</f>
        <v>20</v>
      </c>
      <c r="C37" s="416" t="s">
        <v>613</v>
      </c>
      <c r="D37" s="31" t="s">
        <v>194</v>
      </c>
      <c r="G37">
        <v>28</v>
      </c>
      <c r="H37">
        <f t="shared" si="0"/>
        <v>0.28000000000000003</v>
      </c>
      <c r="I37" s="406">
        <f t="shared" si="1"/>
        <v>0.34083440000000004</v>
      </c>
      <c r="J37" s="407">
        <f t="shared" si="2"/>
        <v>0.44990140800000006</v>
      </c>
      <c r="K37" s="407">
        <f t="shared" si="31"/>
        <v>0.50495070400000008</v>
      </c>
      <c r="L37" s="407">
        <f t="shared" si="32"/>
        <v>5.5049295999999998E-2</v>
      </c>
      <c r="M37" s="63">
        <f t="shared" si="3"/>
        <v>0</v>
      </c>
      <c r="N37" s="406">
        <f t="shared" si="4"/>
        <v>0.30865450978404946</v>
      </c>
      <c r="O37" s="406">
        <f t="shared" si="5"/>
        <v>2.3535529318200305E-3</v>
      </c>
      <c r="P37">
        <f t="shared" si="6"/>
        <v>0.2</v>
      </c>
      <c r="Q37" s="406">
        <f t="shared" si="34"/>
        <v>0.20235355293182003</v>
      </c>
      <c r="R37" s="9">
        <f t="shared" si="39"/>
        <v>0.12987534950879584</v>
      </c>
      <c r="S37" s="9">
        <f t="shared" si="7"/>
        <v>3.3735212820063752E-5</v>
      </c>
      <c r="T37" s="9">
        <f t="shared" si="40"/>
        <v>3.3735212820063752E-5</v>
      </c>
      <c r="U37" s="406">
        <f t="shared" si="8"/>
        <v>0.18019566440455601</v>
      </c>
      <c r="V37" s="408">
        <f t="shared" si="9"/>
        <v>1.0390552790463799E-4</v>
      </c>
      <c r="W37" s="406">
        <f t="shared" si="41"/>
        <v>1.0390552790463799E-4</v>
      </c>
      <c r="X37" s="406">
        <f t="shared" si="10"/>
        <v>0.18019566440455601</v>
      </c>
      <c r="Y37" s="406">
        <f t="shared" si="11"/>
        <v>6.4940954940398746E-4</v>
      </c>
      <c r="Z37" s="406">
        <f t="shared" si="12"/>
        <v>4.4663802668318845E-3</v>
      </c>
      <c r="AA37" s="406">
        <f t="shared" si="13"/>
        <v>4.9687500000000002E-2</v>
      </c>
      <c r="AB37" s="406">
        <f t="shared" si="14"/>
        <v>0</v>
      </c>
      <c r="AC37" s="406">
        <f t="shared" si="15"/>
        <v>5.4809696725517491E-2</v>
      </c>
      <c r="AD37" s="406">
        <f t="shared" si="16"/>
        <v>0.25059355326869948</v>
      </c>
      <c r="AE37" s="406">
        <f t="shared" si="17"/>
        <v>1.2559425787966505E-3</v>
      </c>
      <c r="AF37" s="406">
        <f t="shared" si="18"/>
        <v>1.0920000000000001E-2</v>
      </c>
      <c r="AG37" s="406">
        <f t="shared" si="19"/>
        <v>1.2178389836130473E-2</v>
      </c>
      <c r="AH37" s="406">
        <f t="shared" si="20"/>
        <v>0</v>
      </c>
      <c r="AI37">
        <f t="shared" si="21"/>
        <v>0</v>
      </c>
      <c r="AJ37" s="407">
        <f t="shared" si="22"/>
        <v>2.9988800000000003E-2</v>
      </c>
      <c r="AK37">
        <f t="shared" si="23"/>
        <v>0.03</v>
      </c>
      <c r="AL37" s="407">
        <f t="shared" si="24"/>
        <v>0.13500000000000001</v>
      </c>
      <c r="AM37" s="407">
        <f t="shared" si="25"/>
        <v>9.8855098389982105E-2</v>
      </c>
      <c r="AN37" s="407">
        <f t="shared" si="42"/>
        <v>0.16500000000000001</v>
      </c>
      <c r="AO37" s="407">
        <f t="shared" si="26"/>
        <v>0.46446808023419262</v>
      </c>
      <c r="AP37">
        <f t="shared" si="27"/>
        <v>1.4279999999999999</v>
      </c>
      <c r="AQ37" s="10">
        <f t="shared" si="43"/>
        <v>0.75457019059644337</v>
      </c>
      <c r="AR37" s="63">
        <f t="shared" si="28"/>
        <v>2.4664363526482873</v>
      </c>
      <c r="AS37" s="63">
        <f t="shared" si="44"/>
        <v>0.48713559344521895</v>
      </c>
      <c r="AT37" s="10"/>
      <c r="AU37">
        <f t="shared" si="45"/>
        <v>75.457019059644338</v>
      </c>
      <c r="BD37">
        <v>9.9985429999999997</v>
      </c>
      <c r="BE37">
        <v>1.6020000000000001</v>
      </c>
      <c r="BF37">
        <v>5.1182809999999996</v>
      </c>
      <c r="BG37">
        <v>93.864473327748414</v>
      </c>
      <c r="BH37">
        <v>535.96589716749952</v>
      </c>
    </row>
    <row r="38" spans="1:60" x14ac:dyDescent="0.2">
      <c r="A38" s="32" t="s">
        <v>152</v>
      </c>
      <c r="B38" s="5">
        <v>4500</v>
      </c>
      <c r="C38" s="416" t="s">
        <v>614</v>
      </c>
      <c r="D38" s="31" t="s">
        <v>193</v>
      </c>
      <c r="G38">
        <v>29</v>
      </c>
      <c r="H38">
        <f t="shared" si="0"/>
        <v>0.28999999999999998</v>
      </c>
      <c r="I38" s="406">
        <f t="shared" si="1"/>
        <v>0.34086420000000001</v>
      </c>
      <c r="J38" s="407">
        <f t="shared" si="2"/>
        <v>0.449940744</v>
      </c>
      <c r="K38" s="407">
        <f t="shared" si="31"/>
        <v>0.51497037199999995</v>
      </c>
      <c r="L38" s="407">
        <f t="shared" si="32"/>
        <v>6.5029627999999978E-2</v>
      </c>
      <c r="M38" s="63">
        <f t="shared" si="3"/>
        <v>0</v>
      </c>
      <c r="N38" s="406">
        <f t="shared" si="4"/>
        <v>0.31775864440264423</v>
      </c>
      <c r="O38" s="406">
        <f t="shared" si="5"/>
        <v>2.4944704267860817E-3</v>
      </c>
      <c r="P38">
        <f t="shared" si="6"/>
        <v>0.2</v>
      </c>
      <c r="Q38" s="406">
        <f t="shared" si="34"/>
        <v>0.20249447042678609</v>
      </c>
      <c r="R38" s="9">
        <f t="shared" si="39"/>
        <v>0.12988670483389025</v>
      </c>
      <c r="S38" s="9">
        <f t="shared" si="7"/>
        <v>3.3741112185212259E-5</v>
      </c>
      <c r="T38" s="9">
        <f t="shared" si="40"/>
        <v>3.3741112185212259E-5</v>
      </c>
      <c r="U38" s="406">
        <f t="shared" si="8"/>
        <v>0.18551886110598378</v>
      </c>
      <c r="V38" s="408">
        <f t="shared" si="9"/>
        <v>1.1013519304339617E-4</v>
      </c>
      <c r="W38" s="406">
        <f t="shared" si="41"/>
        <v>1.1013519304339617E-4</v>
      </c>
      <c r="X38" s="406">
        <f t="shared" si="10"/>
        <v>0.18551886110598378</v>
      </c>
      <c r="Y38" s="406">
        <f t="shared" si="11"/>
        <v>6.8834495652122607E-4</v>
      </c>
      <c r="Z38" s="406">
        <f t="shared" si="12"/>
        <v>4.6150407460275964E-3</v>
      </c>
      <c r="AA38" s="406">
        <f t="shared" si="13"/>
        <v>4.9687500000000002E-2</v>
      </c>
      <c r="AB38" s="406">
        <f t="shared" si="14"/>
        <v>0</v>
      </c>
      <c r="AC38" s="406">
        <f t="shared" si="15"/>
        <v>5.4997700032647617E-2</v>
      </c>
      <c r="AD38" s="406">
        <f t="shared" si="16"/>
        <v>0.25797927875421472</v>
      </c>
      <c r="AE38" s="406">
        <f t="shared" si="17"/>
        <v>1.3310661653308964E-3</v>
      </c>
      <c r="AF38" s="406">
        <f t="shared" si="18"/>
        <v>1.1309999999999999E-2</v>
      </c>
      <c r="AG38" s="406">
        <f t="shared" si="19"/>
        <v>1.2643758914081798E-2</v>
      </c>
      <c r="AH38" s="406">
        <f t="shared" si="20"/>
        <v>0</v>
      </c>
      <c r="AI38">
        <f t="shared" si="21"/>
        <v>0</v>
      </c>
      <c r="AJ38" s="407">
        <f t="shared" si="22"/>
        <v>2.9988399999999998E-2</v>
      </c>
      <c r="AK38">
        <f t="shared" si="23"/>
        <v>0.03</v>
      </c>
      <c r="AL38" s="407">
        <f t="shared" si="24"/>
        <v>0.13500000000000001</v>
      </c>
      <c r="AM38" s="407">
        <f t="shared" si="25"/>
        <v>9.8855098389982105E-2</v>
      </c>
      <c r="AN38" s="407">
        <f t="shared" si="42"/>
        <v>0.16500000000000001</v>
      </c>
      <c r="AO38" s="407">
        <f t="shared" si="26"/>
        <v>0.46526820567874416</v>
      </c>
      <c r="AP38">
        <f t="shared" si="27"/>
        <v>1.4789999999999999</v>
      </c>
      <c r="AQ38" s="10">
        <f t="shared" si="43"/>
        <v>0.76069751883006342</v>
      </c>
      <c r="AR38" s="63">
        <f t="shared" si="28"/>
        <v>2.4748965014691429</v>
      </c>
      <c r="AS38" s="63">
        <f t="shared" si="44"/>
        <v>0.50575035656327194</v>
      </c>
      <c r="AT38" s="10"/>
      <c r="AU38">
        <f t="shared" si="45"/>
        <v>76.069751883006347</v>
      </c>
      <c r="BD38">
        <v>9.9985429999999997</v>
      </c>
      <c r="BE38">
        <v>1.9350000000000001</v>
      </c>
      <c r="BF38">
        <v>5.117146</v>
      </c>
      <c r="BG38">
        <v>94.224527198076927</v>
      </c>
      <c r="BH38">
        <v>606.92116405899924</v>
      </c>
    </row>
    <row r="39" spans="1:60" x14ac:dyDescent="0.2">
      <c r="A39" s="33" t="s">
        <v>141</v>
      </c>
      <c r="B39" s="5">
        <f>QgTop*1000000000</f>
        <v>9</v>
      </c>
      <c r="C39" s="416" t="s">
        <v>136</v>
      </c>
      <c r="D39" s="31" t="s">
        <v>180</v>
      </c>
      <c r="G39">
        <v>30</v>
      </c>
      <c r="H39">
        <f t="shared" si="0"/>
        <v>0.3</v>
      </c>
      <c r="I39" s="406">
        <f t="shared" si="1"/>
        <v>0.34089399999999997</v>
      </c>
      <c r="J39" s="407">
        <f t="shared" si="2"/>
        <v>0.44998007999999995</v>
      </c>
      <c r="K39" s="407">
        <f t="shared" si="31"/>
        <v>0.52499003999999994</v>
      </c>
      <c r="L39" s="407">
        <f t="shared" si="32"/>
        <v>7.5009960000000014E-2</v>
      </c>
      <c r="M39" s="63">
        <f t="shared" si="3"/>
        <v>0</v>
      </c>
      <c r="N39" s="406">
        <f t="shared" si="4"/>
        <v>0.32691513582743031</v>
      </c>
      <c r="O39" s="406">
        <f t="shared" si="5"/>
        <v>2.6403331899870161E-3</v>
      </c>
      <c r="P39">
        <f t="shared" si="6"/>
        <v>0.2</v>
      </c>
      <c r="Q39" s="406">
        <f t="shared" si="34"/>
        <v>0.20264033318998703</v>
      </c>
      <c r="R39" s="9">
        <f t="shared" si="39"/>
        <v>0.12989806015898467</v>
      </c>
      <c r="S39" s="9">
        <f t="shared" si="7"/>
        <v>3.3747012066134401E-5</v>
      </c>
      <c r="T39" s="9">
        <f t="shared" si="40"/>
        <v>3.3747012066134401E-5</v>
      </c>
      <c r="U39" s="406">
        <f t="shared" si="8"/>
        <v>0.19087309125603957</v>
      </c>
      <c r="V39" s="408">
        <f t="shared" si="9"/>
        <v>1.1658411829003653E-4</v>
      </c>
      <c r="W39" s="406">
        <f t="shared" si="41"/>
        <v>1.1658411829003653E-4</v>
      </c>
      <c r="X39" s="406">
        <f t="shared" si="10"/>
        <v>0.19087309125603957</v>
      </c>
      <c r="Y39" s="406">
        <f t="shared" si="11"/>
        <v>7.2865073931272829E-4</v>
      </c>
      <c r="Z39" s="406">
        <f t="shared" si="12"/>
        <v>4.76370122522331E-3</v>
      </c>
      <c r="AA39" s="406">
        <f t="shared" si="13"/>
        <v>4.9687500000000002E-2</v>
      </c>
      <c r="AB39" s="406">
        <f t="shared" si="14"/>
        <v>0</v>
      </c>
      <c r="AC39" s="406">
        <f t="shared" si="15"/>
        <v>5.518709014506229E-2</v>
      </c>
      <c r="AD39" s="406">
        <f t="shared" si="16"/>
        <v>0.26540717599083641</v>
      </c>
      <c r="AE39" s="406">
        <f t="shared" si="17"/>
        <v>1.4088193813486161E-3</v>
      </c>
      <c r="AF39" s="406">
        <f t="shared" si="18"/>
        <v>1.17E-2</v>
      </c>
      <c r="AG39" s="406">
        <f t="shared" si="19"/>
        <v>1.3111774920969824E-2</v>
      </c>
      <c r="AH39" s="406">
        <f t="shared" si="20"/>
        <v>0</v>
      </c>
      <c r="AI39">
        <f t="shared" si="21"/>
        <v>0</v>
      </c>
      <c r="AJ39" s="407">
        <f t="shared" si="22"/>
        <v>2.9988000000000001E-2</v>
      </c>
      <c r="AK39">
        <f t="shared" si="23"/>
        <v>0.03</v>
      </c>
      <c r="AL39" s="407">
        <f t="shared" si="24"/>
        <v>0.13500000000000001</v>
      </c>
      <c r="AM39" s="407">
        <f t="shared" si="25"/>
        <v>9.8855098389982105E-2</v>
      </c>
      <c r="AN39" s="407">
        <f t="shared" si="42"/>
        <v>0.16500000000000001</v>
      </c>
      <c r="AO39" s="407">
        <f t="shared" si="26"/>
        <v>0.46607752938637537</v>
      </c>
      <c r="AP39">
        <f t="shared" si="27"/>
        <v>1.5299999999999998</v>
      </c>
      <c r="AQ39" s="10">
        <f t="shared" si="43"/>
        <v>0.76650329332165024</v>
      </c>
      <c r="AR39" s="63">
        <f t="shared" si="28"/>
        <v>2.4834190565278029</v>
      </c>
      <c r="AS39" s="63">
        <f t="shared" si="44"/>
        <v>0.52447099683879295</v>
      </c>
      <c r="AT39" s="10"/>
      <c r="AU39">
        <f t="shared" si="45"/>
        <v>76.650329332165029</v>
      </c>
      <c r="BD39">
        <v>9.9985060000000008</v>
      </c>
      <c r="BE39">
        <v>2.31</v>
      </c>
      <c r="BF39">
        <v>5.1166349999999996</v>
      </c>
      <c r="BG39">
        <v>94.492663502717292</v>
      </c>
      <c r="BH39">
        <v>688.87413060200208</v>
      </c>
    </row>
    <row r="40" spans="1:60" x14ac:dyDescent="0.2">
      <c r="A40" s="33" t="s">
        <v>218</v>
      </c>
      <c r="B40" s="5">
        <f>QgdTop*1000000000</f>
        <v>2.6</v>
      </c>
      <c r="C40" s="416" t="s">
        <v>136</v>
      </c>
      <c r="D40" s="31" t="s">
        <v>219</v>
      </c>
      <c r="G40">
        <v>31</v>
      </c>
      <c r="H40">
        <f t="shared" si="0"/>
        <v>0.31</v>
      </c>
      <c r="I40" s="406">
        <f t="shared" si="1"/>
        <v>0.34092379999999994</v>
      </c>
      <c r="J40" s="407">
        <f t="shared" si="2"/>
        <v>0.45001941599999995</v>
      </c>
      <c r="K40" s="407">
        <f t="shared" si="31"/>
        <v>0.53500970800000003</v>
      </c>
      <c r="L40" s="407">
        <f t="shared" si="32"/>
        <v>8.4990292000000023E-2</v>
      </c>
      <c r="M40" s="63">
        <f t="shared" si="3"/>
        <v>0</v>
      </c>
      <c r="N40" s="406">
        <f t="shared" si="4"/>
        <v>0.33611970521142476</v>
      </c>
      <c r="O40" s="406">
        <f t="shared" si="5"/>
        <v>2.7911415674834262E-3</v>
      </c>
      <c r="P40">
        <f t="shared" si="6"/>
        <v>0.2</v>
      </c>
      <c r="Q40" s="406">
        <f t="shared" si="34"/>
        <v>0.20279114156748343</v>
      </c>
      <c r="R40" s="9">
        <f t="shared" si="39"/>
        <v>0.12990941548407908</v>
      </c>
      <c r="S40" s="9">
        <f t="shared" si="7"/>
        <v>3.3752912462830172E-5</v>
      </c>
      <c r="T40" s="9">
        <f t="shared" si="40"/>
        <v>3.3752912462830172E-5</v>
      </c>
      <c r="U40" s="406">
        <f t="shared" si="8"/>
        <v>0.19625586047032509</v>
      </c>
      <c r="V40" s="408">
        <f t="shared" si="9"/>
        <v>1.2325236086063268E-4</v>
      </c>
      <c r="W40" s="406">
        <f t="shared" si="41"/>
        <v>1.2325236086063268E-4</v>
      </c>
      <c r="X40" s="406">
        <f t="shared" si="10"/>
        <v>0.19625586047032509</v>
      </c>
      <c r="Y40" s="406">
        <f t="shared" si="11"/>
        <v>7.7032725537895422E-4</v>
      </c>
      <c r="Z40" s="406">
        <f t="shared" si="12"/>
        <v>4.9123617044190245E-3</v>
      </c>
      <c r="AA40" s="406">
        <f t="shared" si="13"/>
        <v>4.9687500000000002E-2</v>
      </c>
      <c r="AB40" s="406">
        <f t="shared" si="14"/>
        <v>0</v>
      </c>
      <c r="AC40" s="406">
        <f t="shared" si="15"/>
        <v>5.5377867594333469E-2</v>
      </c>
      <c r="AD40" s="406">
        <f t="shared" si="16"/>
        <v>0.27287376836637739</v>
      </c>
      <c r="AE40" s="406">
        <f t="shared" si="17"/>
        <v>1.4892018692493475E-3</v>
      </c>
      <c r="AF40" s="406">
        <f t="shared" si="18"/>
        <v>1.2090000000000002E-2</v>
      </c>
      <c r="AG40" s="406">
        <f t="shared" si="19"/>
        <v>1.3582438188023519E-2</v>
      </c>
      <c r="AH40" s="406">
        <f t="shared" si="20"/>
        <v>0</v>
      </c>
      <c r="AI40">
        <f t="shared" si="21"/>
        <v>0</v>
      </c>
      <c r="AJ40" s="407">
        <f t="shared" si="22"/>
        <v>2.99876E-2</v>
      </c>
      <c r="AK40">
        <f t="shared" si="23"/>
        <v>0.03</v>
      </c>
      <c r="AL40" s="407">
        <f t="shared" si="24"/>
        <v>0.13500000000000001</v>
      </c>
      <c r="AM40" s="407">
        <f t="shared" si="25"/>
        <v>9.8855098389982105E-2</v>
      </c>
      <c r="AN40" s="407">
        <f t="shared" si="42"/>
        <v>0.16500000000000001</v>
      </c>
      <c r="AO40" s="407">
        <f t="shared" si="26"/>
        <v>0.46689605262316392</v>
      </c>
      <c r="AP40">
        <f t="shared" si="27"/>
        <v>1.581</v>
      </c>
      <c r="AQ40" s="10">
        <f t="shared" si="43"/>
        <v>0.77201184013948676</v>
      </c>
      <c r="AR40" s="63">
        <f t="shared" si="28"/>
        <v>2.4920040417450062</v>
      </c>
      <c r="AS40" s="63">
        <f t="shared" si="44"/>
        <v>0.54329752752094074</v>
      </c>
      <c r="AT40" s="10"/>
      <c r="AU40">
        <f t="shared" si="45"/>
        <v>77.201184013948676</v>
      </c>
      <c r="BD40">
        <v>9.9984319999999993</v>
      </c>
      <c r="BE40">
        <v>2.7269999999999999</v>
      </c>
      <c r="BF40">
        <v>5.115812</v>
      </c>
      <c r="BG40">
        <v>94.558770424517263</v>
      </c>
      <c r="BH40">
        <v>802.77694931200062</v>
      </c>
    </row>
    <row r="41" spans="1:60" x14ac:dyDescent="0.2">
      <c r="A41" s="33" t="s">
        <v>236</v>
      </c>
      <c r="B41" s="5">
        <f>QgsTop*1000000000</f>
        <v>1.5</v>
      </c>
      <c r="C41" s="416" t="s">
        <v>136</v>
      </c>
      <c r="D41" s="416" t="s">
        <v>713</v>
      </c>
      <c r="G41">
        <v>32</v>
      </c>
      <c r="H41">
        <f t="shared" si="0"/>
        <v>0.32</v>
      </c>
      <c r="I41" s="406">
        <f t="shared" si="1"/>
        <v>0.34095359999999997</v>
      </c>
      <c r="J41" s="407">
        <f t="shared" si="2"/>
        <v>0.45005875200000001</v>
      </c>
      <c r="K41" s="407">
        <f t="shared" si="31"/>
        <v>0.54502937600000001</v>
      </c>
      <c r="L41" s="407">
        <f t="shared" si="32"/>
        <v>9.4970624000000003E-2</v>
      </c>
      <c r="M41" s="63">
        <f t="shared" si="3"/>
        <v>0</v>
      </c>
      <c r="N41" s="406">
        <f t="shared" ref="N41:N72" si="46">SQRT(H41^2+(J41^2)/12)</f>
        <v>0.34536850853494128</v>
      </c>
      <c r="O41" s="406">
        <f t="shared" si="5"/>
        <v>2.9468959170821521E-3</v>
      </c>
      <c r="P41">
        <f t="shared" si="6"/>
        <v>0.2</v>
      </c>
      <c r="Q41" s="406">
        <f t="shared" si="34"/>
        <v>0.20294689591708218</v>
      </c>
      <c r="R41" s="9">
        <f t="shared" si="39"/>
        <v>0.12992077080917352</v>
      </c>
      <c r="S41" s="9">
        <f t="shared" si="7"/>
        <v>3.3758813375299592E-5</v>
      </c>
      <c r="T41" s="9">
        <f t="shared" si="40"/>
        <v>3.3758813375299592E-5</v>
      </c>
      <c r="U41" s="406">
        <f t="shared" ref="U41:U72" si="47">SQRT(I41)*SQRT(H41^2+(J41^2)/12)</f>
        <v>0.20166492782836154</v>
      </c>
      <c r="V41" s="408">
        <f t="shared" si="9"/>
        <v>1.3013997797125848E-4</v>
      </c>
      <c r="W41" s="406">
        <f t="shared" si="41"/>
        <v>1.3013997797125848E-4</v>
      </c>
      <c r="X41" s="406">
        <f t="shared" ref="X41:X72" si="48">SQRT(I41)*SQRT(H41^2+(J41^2)/12)</f>
        <v>0.20166492782836154</v>
      </c>
      <c r="Y41" s="406">
        <f t="shared" si="11"/>
        <v>8.1337486232036546E-4</v>
      </c>
      <c r="Z41" s="406">
        <f t="shared" si="12"/>
        <v>5.0610221836147381E-3</v>
      </c>
      <c r="AA41" s="406">
        <f t="shared" si="13"/>
        <v>4.9687500000000002E-2</v>
      </c>
      <c r="AB41" s="406">
        <f t="shared" si="14"/>
        <v>0</v>
      </c>
      <c r="AC41" s="406">
        <f t="shared" ref="AC41:AC72" si="49">(AB41+AA41+Z41+Y41*(1+RdsonTopTc*Ta-RdsonTopTc*25))/(1-Y41*RdsonTopTc*ThetaJaTop)</f>
        <v>5.5570032914151829E-2</v>
      </c>
      <c r="AD41" s="406">
        <f t="shared" ref="AD41:AD72" si="50">SQRT(1-I41)*SQRT(H41^2+(J41^2)/12)</f>
        <v>0.28037593258272281</v>
      </c>
      <c r="AE41" s="406">
        <f t="shared" si="17"/>
        <v>1.5722132714326308E-3</v>
      </c>
      <c r="AF41" s="406">
        <f t="shared" si="18"/>
        <v>1.248E-2</v>
      </c>
      <c r="AG41" s="406">
        <f t="shared" ref="AG41:AG72" si="51">(AF41+AE41*(1+RdsonBotTc*Ta-RdsonBotTc*25))/(1-AE41*RdsonBotTc*ThetaJaBot)</f>
        <v>1.4055749053064816E-2</v>
      </c>
      <c r="AH41" s="406">
        <f t="shared" ref="AH41:AH72" si="52">IF(RDSON_sense=1, 0, AD41^2*Rshunt)</f>
        <v>0</v>
      </c>
      <c r="AI41">
        <f t="shared" si="21"/>
        <v>0</v>
      </c>
      <c r="AJ41" s="407">
        <f t="shared" si="22"/>
        <v>2.9987200000000002E-2</v>
      </c>
      <c r="AK41">
        <f t="shared" si="23"/>
        <v>0.03</v>
      </c>
      <c r="AL41" s="407">
        <f t="shared" si="24"/>
        <v>0.13500000000000001</v>
      </c>
      <c r="AM41" s="407">
        <f t="shared" si="25"/>
        <v>9.8855098389982105E-2</v>
      </c>
      <c r="AN41" s="407">
        <f t="shared" si="42"/>
        <v>0.16500000000000001</v>
      </c>
      <c r="AO41" s="407">
        <f t="shared" ref="AO41:AO72" si="53">SUM(Q41,T41,W41,AC41,AJ41,AI41,AG41,AN41, AH41)</f>
        <v>0.46772377667564546</v>
      </c>
      <c r="AP41">
        <f t="shared" si="27"/>
        <v>1.6319999999999999</v>
      </c>
      <c r="AQ41" s="10">
        <f t="shared" si="43"/>
        <v>0.77724509201102543</v>
      </c>
      <c r="AR41" s="63">
        <f t="shared" ref="AR41:AR72" si="54">ThetaJaTop*AC41</f>
        <v>2.5006514811368321</v>
      </c>
      <c r="AS41" s="63">
        <f t="shared" si="44"/>
        <v>0.56222996212259257</v>
      </c>
      <c r="AT41" s="10"/>
      <c r="AU41">
        <f t="shared" si="45"/>
        <v>77.724509201102549</v>
      </c>
      <c r="BD41">
        <v>9.9985180000000007</v>
      </c>
      <c r="BE41">
        <v>3.1859999999999999</v>
      </c>
      <c r="BF41">
        <v>5.1148889999999998</v>
      </c>
      <c r="BG41">
        <v>94.58411932633652</v>
      </c>
      <c r="BH41">
        <v>933.10990806000302</v>
      </c>
    </row>
    <row r="42" spans="1:60" x14ac:dyDescent="0.2">
      <c r="A42" s="33" t="s">
        <v>168</v>
      </c>
      <c r="B42" s="5">
        <f>RGateTop</f>
        <v>1.2</v>
      </c>
      <c r="C42" s="415" t="s">
        <v>208</v>
      </c>
      <c r="D42" s="31" t="s">
        <v>181</v>
      </c>
      <c r="G42">
        <v>33</v>
      </c>
      <c r="H42">
        <f t="shared" si="0"/>
        <v>0.33</v>
      </c>
      <c r="I42" s="406">
        <f t="shared" si="1"/>
        <v>0.34098339999999994</v>
      </c>
      <c r="J42" s="407">
        <f t="shared" si="2"/>
        <v>0.45009808799999995</v>
      </c>
      <c r="K42" s="407">
        <f t="shared" si="31"/>
        <v>0.55504904399999999</v>
      </c>
      <c r="L42" s="407">
        <f t="shared" si="32"/>
        <v>0.10495095600000004</v>
      </c>
      <c r="M42" s="63">
        <f t="shared" si="3"/>
        <v>0</v>
      </c>
      <c r="N42" s="406">
        <f t="shared" si="46"/>
        <v>0.35465808520569686</v>
      </c>
      <c r="O42" s="406">
        <f t="shared" si="5"/>
        <v>3.107596608338399E-3</v>
      </c>
      <c r="P42">
        <f t="shared" si="6"/>
        <v>0.2</v>
      </c>
      <c r="Q42" s="406">
        <f t="shared" si="34"/>
        <v>0.20310759660833841</v>
      </c>
      <c r="R42" s="9">
        <f t="shared" si="39"/>
        <v>0.12993212613426794</v>
      </c>
      <c r="S42" s="9">
        <f t="shared" si="7"/>
        <v>3.3764714803542627E-5</v>
      </c>
      <c r="T42" s="9">
        <f t="shared" si="40"/>
        <v>3.3764714803542627E-5</v>
      </c>
      <c r="U42" s="406">
        <f t="shared" si="47"/>
        <v>0.20709827591477228</v>
      </c>
      <c r="V42" s="408">
        <f t="shared" si="9"/>
        <v>1.3724702683798768E-4</v>
      </c>
      <c r="W42" s="406">
        <f t="shared" si="41"/>
        <v>1.3724702683798768E-4</v>
      </c>
      <c r="X42" s="406">
        <f t="shared" si="48"/>
        <v>0.20709827591477228</v>
      </c>
      <c r="Y42" s="406">
        <f t="shared" si="11"/>
        <v>8.5779391773742309E-4</v>
      </c>
      <c r="Z42" s="406">
        <f t="shared" si="12"/>
        <v>5.2096826628104517E-3</v>
      </c>
      <c r="AA42" s="406">
        <f t="shared" si="13"/>
        <v>4.9687500000000002E-2</v>
      </c>
      <c r="AB42" s="406">
        <f t="shared" si="14"/>
        <v>0</v>
      </c>
      <c r="AC42" s="406">
        <f t="shared" si="49"/>
        <v>5.5763586640329113E-2</v>
      </c>
      <c r="AD42" s="406">
        <f t="shared" si="50"/>
        <v>0.28791085688959384</v>
      </c>
      <c r="AE42" s="406">
        <f t="shared" si="17"/>
        <v>1.6578532302980037E-3</v>
      </c>
      <c r="AF42" s="406">
        <f t="shared" si="18"/>
        <v>1.2870000000000001E-2</v>
      </c>
      <c r="AG42" s="406">
        <f t="shared" si="51"/>
        <v>1.4531707860508933E-2</v>
      </c>
      <c r="AH42" s="406">
        <f t="shared" si="52"/>
        <v>0</v>
      </c>
      <c r="AI42">
        <f t="shared" si="21"/>
        <v>0</v>
      </c>
      <c r="AJ42" s="407">
        <f t="shared" si="22"/>
        <v>2.9986800000000001E-2</v>
      </c>
      <c r="AK42">
        <f t="shared" si="23"/>
        <v>0.03</v>
      </c>
      <c r="AL42" s="407">
        <f t="shared" si="24"/>
        <v>0.13500000000000001</v>
      </c>
      <c r="AM42" s="407">
        <f t="shared" si="25"/>
        <v>9.8855098389982105E-2</v>
      </c>
      <c r="AN42" s="407">
        <f t="shared" si="42"/>
        <v>0.16500000000000001</v>
      </c>
      <c r="AO42" s="407">
        <f t="shared" si="53"/>
        <v>0.46856070285081797</v>
      </c>
      <c r="AP42">
        <f t="shared" si="27"/>
        <v>1.6830000000000001</v>
      </c>
      <c r="AQ42" s="10">
        <f t="shared" si="43"/>
        <v>0.78222287559445802</v>
      </c>
      <c r="AR42" s="63">
        <f t="shared" si="54"/>
        <v>2.5093613988148102</v>
      </c>
      <c r="AS42" s="63">
        <f t="shared" si="44"/>
        <v>0.58126831442035731</v>
      </c>
      <c r="AT42" s="10"/>
      <c r="AU42">
        <f t="shared" si="45"/>
        <v>78.222287559445803</v>
      </c>
      <c r="BD42">
        <v>9.9984190000000002</v>
      </c>
      <c r="BE42">
        <v>3.6920000000000002</v>
      </c>
      <c r="BF42">
        <v>5.1137540000000001</v>
      </c>
      <c r="BG42">
        <v>94.441363374789603</v>
      </c>
      <c r="BH42">
        <v>1111.2391205219994</v>
      </c>
    </row>
    <row r="43" spans="1:60" x14ac:dyDescent="0.2">
      <c r="A43" s="33" t="s">
        <v>140</v>
      </c>
      <c r="B43" s="5">
        <f>GmTop</f>
        <v>9.6</v>
      </c>
      <c r="C43" s="416" t="s">
        <v>137</v>
      </c>
      <c r="D43" s="31" t="s">
        <v>182</v>
      </c>
      <c r="G43">
        <v>34</v>
      </c>
      <c r="H43">
        <f t="shared" si="0"/>
        <v>0.34</v>
      </c>
      <c r="I43" s="406">
        <f t="shared" si="1"/>
        <v>0.34101319999999996</v>
      </c>
      <c r="J43" s="407">
        <f t="shared" si="2"/>
        <v>0.45013742400000001</v>
      </c>
      <c r="K43" s="407">
        <f t="shared" si="31"/>
        <v>0.56506871199999997</v>
      </c>
      <c r="L43" s="407">
        <f t="shared" si="32"/>
        <v>0.11493128800000002</v>
      </c>
      <c r="M43" s="63">
        <f t="shared" si="3"/>
        <v>0</v>
      </c>
      <c r="N43" s="406">
        <f t="shared" si="46"/>
        <v>0.36398531340396095</v>
      </c>
      <c r="O43" s="406">
        <f t="shared" si="5"/>
        <v>3.2732440225579315E-3</v>
      </c>
      <c r="P43">
        <f t="shared" si="6"/>
        <v>0.2</v>
      </c>
      <c r="Q43" s="406">
        <f t="shared" si="34"/>
        <v>0.20327324402255795</v>
      </c>
      <c r="R43" s="9">
        <f t="shared" si="39"/>
        <v>0.12994348145936235</v>
      </c>
      <c r="S43" s="9">
        <f t="shared" si="7"/>
        <v>3.3770616747559297E-5</v>
      </c>
      <c r="T43" s="9">
        <f t="shared" si="40"/>
        <v>3.3770616747559297E-5</v>
      </c>
      <c r="U43" s="406">
        <f t="shared" si="47"/>
        <v>0.21255408479144644</v>
      </c>
      <c r="V43" s="408">
        <f t="shared" si="9"/>
        <v>1.4457356467689408E-4</v>
      </c>
      <c r="W43" s="406">
        <f t="shared" si="41"/>
        <v>1.4457356467689408E-4</v>
      </c>
      <c r="X43" s="406">
        <f t="shared" si="48"/>
        <v>0.21255408479144644</v>
      </c>
      <c r="Y43" s="406">
        <f t="shared" si="11"/>
        <v>9.0358477923058807E-4</v>
      </c>
      <c r="Z43" s="406">
        <f t="shared" si="12"/>
        <v>5.3583431420061644E-3</v>
      </c>
      <c r="AA43" s="406">
        <f t="shared" si="13"/>
        <v>4.9687500000000002E-2</v>
      </c>
      <c r="AB43" s="406">
        <f t="shared" si="14"/>
        <v>0</v>
      </c>
      <c r="AC43" s="406">
        <f t="shared" si="49"/>
        <v>5.5958529310800365E-2</v>
      </c>
      <c r="AD43" s="406">
        <f t="shared" si="50"/>
        <v>0.29547600479945962</v>
      </c>
      <c r="AE43" s="406">
        <f t="shared" si="17"/>
        <v>1.7461213882450058E-3</v>
      </c>
      <c r="AF43" s="406">
        <f t="shared" si="18"/>
        <v>1.3259999999999999E-2</v>
      </c>
      <c r="AG43" s="406">
        <f t="shared" si="51"/>
        <v>1.5010314961364738E-2</v>
      </c>
      <c r="AH43" s="406">
        <f t="shared" si="52"/>
        <v>0</v>
      </c>
      <c r="AI43">
        <f t="shared" si="21"/>
        <v>0</v>
      </c>
      <c r="AJ43" s="407">
        <f t="shared" si="22"/>
        <v>2.99864E-2</v>
      </c>
      <c r="AK43">
        <f t="shared" si="23"/>
        <v>0.03</v>
      </c>
      <c r="AL43" s="407">
        <f t="shared" si="24"/>
        <v>0.13500000000000001</v>
      </c>
      <c r="AM43" s="407">
        <f t="shared" si="25"/>
        <v>9.8855098389982105E-2</v>
      </c>
      <c r="AN43" s="407">
        <f t="shared" si="42"/>
        <v>0.16500000000000001</v>
      </c>
      <c r="AO43" s="407">
        <f t="shared" si="53"/>
        <v>0.46940683247614756</v>
      </c>
      <c r="AP43">
        <f t="shared" si="27"/>
        <v>1.734</v>
      </c>
      <c r="AQ43" s="10">
        <f t="shared" si="43"/>
        <v>0.78696315834301145</v>
      </c>
      <c r="AR43" s="63">
        <f t="shared" si="54"/>
        <v>2.5181338189860165</v>
      </c>
      <c r="AS43" s="63">
        <f t="shared" si="44"/>
        <v>0.6004125984545895</v>
      </c>
      <c r="AT43" s="10"/>
      <c r="AU43">
        <f t="shared" si="45"/>
        <v>78.696315834301146</v>
      </c>
      <c r="BD43">
        <v>9.998246</v>
      </c>
      <c r="BE43">
        <v>4.2430000000000003</v>
      </c>
      <c r="BF43">
        <v>5.1120590000000004</v>
      </c>
      <c r="BG43">
        <v>94.267178615859891</v>
      </c>
      <c r="BH43">
        <v>1319.0970775599953</v>
      </c>
    </row>
    <row r="44" spans="1:60" x14ac:dyDescent="0.2">
      <c r="A44" s="33" t="s">
        <v>170</v>
      </c>
      <c r="B44" s="5">
        <f>VthTop</f>
        <v>3.2</v>
      </c>
      <c r="C44" s="416" t="s">
        <v>0</v>
      </c>
      <c r="D44" s="31" t="s">
        <v>183</v>
      </c>
      <c r="G44">
        <v>35</v>
      </c>
      <c r="H44">
        <f t="shared" si="0"/>
        <v>0.35</v>
      </c>
      <c r="I44" s="406">
        <f t="shared" si="1"/>
        <v>0.34104299999999993</v>
      </c>
      <c r="J44" s="407">
        <f t="shared" si="2"/>
        <v>0.4501767599999999</v>
      </c>
      <c r="K44" s="407">
        <f t="shared" si="31"/>
        <v>0.57508837999999995</v>
      </c>
      <c r="L44" s="407">
        <f t="shared" si="32"/>
        <v>0.12491162000000003</v>
      </c>
      <c r="M44" s="63">
        <f t="shared" si="3"/>
        <v>0</v>
      </c>
      <c r="N44" s="406">
        <f t="shared" si="46"/>
        <v>0.37334737122909384</v>
      </c>
      <c r="O44" s="406">
        <f t="shared" si="5"/>
        <v>3.4438385527993361E-3</v>
      </c>
      <c r="P44">
        <f t="shared" si="6"/>
        <v>0.2</v>
      </c>
      <c r="Q44" s="406">
        <f t="shared" si="34"/>
        <v>0.20344383855279935</v>
      </c>
      <c r="R44" s="9">
        <f t="shared" si="39"/>
        <v>0.12995483678445677</v>
      </c>
      <c r="S44" s="9">
        <f t="shared" si="7"/>
        <v>3.3776519207349596E-5</v>
      </c>
      <c r="T44" s="9">
        <f t="shared" si="40"/>
        <v>3.3776519207349596E-5</v>
      </c>
      <c r="U44" s="406">
        <f t="shared" si="47"/>
        <v>0.21803070935080693</v>
      </c>
      <c r="V44" s="408">
        <f t="shared" si="9"/>
        <v>1.5211964870405134E-4</v>
      </c>
      <c r="W44" s="406">
        <f t="shared" si="41"/>
        <v>1.5211964870405134E-4</v>
      </c>
      <c r="X44" s="406">
        <f t="shared" si="48"/>
        <v>0.21803070935080693</v>
      </c>
      <c r="Y44" s="406">
        <f t="shared" si="11"/>
        <v>9.5074780440032093E-4</v>
      </c>
      <c r="Z44" s="406">
        <f t="shared" si="12"/>
        <v>5.507003621201878E-3</v>
      </c>
      <c r="AA44" s="406">
        <f t="shared" si="13"/>
        <v>4.9687500000000002E-2</v>
      </c>
      <c r="AB44" s="406">
        <f t="shared" si="14"/>
        <v>0</v>
      </c>
      <c r="AC44" s="406">
        <f t="shared" si="49"/>
        <v>5.6154861465626267E-2</v>
      </c>
      <c r="AD44" s="406">
        <f t="shared" si="50"/>
        <v>0.3030690835167103</v>
      </c>
      <c r="AE44" s="406">
        <f t="shared" si="17"/>
        <v>1.8370173876731744E-3</v>
      </c>
      <c r="AF44" s="406">
        <f t="shared" si="18"/>
        <v>1.3649999999999999E-2</v>
      </c>
      <c r="AG44" s="406">
        <f t="shared" si="51"/>
        <v>1.5491570713235186E-2</v>
      </c>
      <c r="AH44" s="406">
        <f t="shared" si="52"/>
        <v>0</v>
      </c>
      <c r="AI44">
        <f t="shared" si="21"/>
        <v>0</v>
      </c>
      <c r="AJ44" s="407">
        <f t="shared" si="22"/>
        <v>2.9986000000000002E-2</v>
      </c>
      <c r="AK44">
        <f t="shared" si="23"/>
        <v>0.03</v>
      </c>
      <c r="AL44" s="407">
        <f t="shared" si="24"/>
        <v>0.13500000000000001</v>
      </c>
      <c r="AM44" s="407">
        <f t="shared" si="25"/>
        <v>9.8855098389982105E-2</v>
      </c>
      <c r="AN44" s="407">
        <f t="shared" si="42"/>
        <v>0.16500000000000001</v>
      </c>
      <c r="AO44" s="407">
        <f t="shared" si="53"/>
        <v>0.47026216689957223</v>
      </c>
      <c r="AP44">
        <f t="shared" si="27"/>
        <v>1.7849999999999997</v>
      </c>
      <c r="AQ44" s="10">
        <f t="shared" si="43"/>
        <v>0.79148226144099842</v>
      </c>
      <c r="AR44" s="63">
        <f t="shared" si="54"/>
        <v>2.5269687659531819</v>
      </c>
      <c r="AS44" s="63">
        <f t="shared" si="44"/>
        <v>0.61966282852940746</v>
      </c>
      <c r="AT44" s="10"/>
      <c r="AU44">
        <f t="shared" si="45"/>
        <v>79.148226144099837</v>
      </c>
      <c r="BD44">
        <v>9.9981469999999995</v>
      </c>
      <c r="BE44">
        <v>4.8490000000000002</v>
      </c>
      <c r="BF44">
        <v>5.1107740000000002</v>
      </c>
      <c r="BG44">
        <v>93.953815994681278</v>
      </c>
      <c r="BH44">
        <v>1594.7983209009985</v>
      </c>
    </row>
    <row r="45" spans="1:60" x14ac:dyDescent="0.2">
      <c r="A45" s="38" t="s">
        <v>235</v>
      </c>
      <c r="B45" s="5">
        <f>VspTop</f>
        <v>3.4083333333333337</v>
      </c>
      <c r="C45" s="417" t="s">
        <v>0</v>
      </c>
      <c r="G45">
        <v>36</v>
      </c>
      <c r="H45">
        <f t="shared" si="0"/>
        <v>0.36</v>
      </c>
      <c r="I45" s="406">
        <f t="shared" si="1"/>
        <v>0.34107280000000001</v>
      </c>
      <c r="J45" s="407">
        <f t="shared" si="2"/>
        <v>0.45021609600000001</v>
      </c>
      <c r="K45" s="407">
        <f t="shared" si="31"/>
        <v>0.58510804799999994</v>
      </c>
      <c r="L45" s="407">
        <f t="shared" si="32"/>
        <v>0.13489195199999998</v>
      </c>
      <c r="M45" s="63">
        <f t="shared" si="3"/>
        <v>0</v>
      </c>
      <c r="N45" s="406">
        <f t="shared" si="46"/>
        <v>0.38274170283816311</v>
      </c>
      <c r="O45" s="406">
        <f t="shared" si="5"/>
        <v>3.619380603876354E-3</v>
      </c>
      <c r="P45">
        <f t="shared" si="6"/>
        <v>0.2</v>
      </c>
      <c r="Q45" s="406">
        <f t="shared" si="34"/>
        <v>0.20361938060387635</v>
      </c>
      <c r="R45" s="9">
        <f t="shared" si="39"/>
        <v>0.12996619210955121</v>
      </c>
      <c r="S45" s="9">
        <f t="shared" si="7"/>
        <v>3.3782422182913543E-5</v>
      </c>
      <c r="T45" s="9">
        <f t="shared" si="40"/>
        <v>3.3782422182913543E-5</v>
      </c>
      <c r="U45" s="406">
        <f t="shared" si="47"/>
        <v>0.22352665957857065</v>
      </c>
      <c r="V45" s="408">
        <f t="shared" si="9"/>
        <v>1.5988533613553349E-4</v>
      </c>
      <c r="W45" s="406">
        <f t="shared" si="41"/>
        <v>1.5988533613553349E-4</v>
      </c>
      <c r="X45" s="406">
        <f t="shared" si="48"/>
        <v>0.22352665957857065</v>
      </c>
      <c r="Y45" s="406">
        <f t="shared" si="11"/>
        <v>9.9928335084708436E-4</v>
      </c>
      <c r="Z45" s="406">
        <f t="shared" si="12"/>
        <v>5.6556641003975908E-3</v>
      </c>
      <c r="AA45" s="406">
        <f t="shared" si="13"/>
        <v>4.9687500000000002E-2</v>
      </c>
      <c r="AB45" s="406">
        <f t="shared" si="14"/>
        <v>0</v>
      </c>
      <c r="AC45" s="406">
        <f t="shared" si="49"/>
        <v>5.6352583646995497E-2</v>
      </c>
      <c r="AD45" s="406">
        <f t="shared" si="50"/>
        <v>0.31068801642339305</v>
      </c>
      <c r="AE45" s="406">
        <f t="shared" si="17"/>
        <v>1.9305408709820509E-3</v>
      </c>
      <c r="AF45" s="406">
        <f t="shared" si="18"/>
        <v>1.4039999999999999E-2</v>
      </c>
      <c r="AG45" s="406">
        <f t="shared" si="51"/>
        <v>1.597547548031775E-2</v>
      </c>
      <c r="AH45" s="406">
        <f t="shared" si="52"/>
        <v>0</v>
      </c>
      <c r="AI45">
        <f t="shared" si="21"/>
        <v>0</v>
      </c>
      <c r="AJ45" s="407">
        <f t="shared" si="22"/>
        <v>2.9985600000000001E-2</v>
      </c>
      <c r="AK45">
        <f t="shared" si="23"/>
        <v>0.03</v>
      </c>
      <c r="AL45" s="407">
        <f t="shared" si="24"/>
        <v>0.13500000000000001</v>
      </c>
      <c r="AM45" s="407">
        <f t="shared" si="25"/>
        <v>9.8855098389982105E-2</v>
      </c>
      <c r="AN45" s="407">
        <f t="shared" si="42"/>
        <v>0.16500000000000001</v>
      </c>
      <c r="AO45" s="407">
        <f t="shared" si="53"/>
        <v>0.47112670748950802</v>
      </c>
      <c r="AP45">
        <f t="shared" si="27"/>
        <v>1.8359999999999999</v>
      </c>
      <c r="AQ45" s="10">
        <f t="shared" si="43"/>
        <v>0.79579504412995017</v>
      </c>
      <c r="AR45" s="63">
        <f t="shared" si="54"/>
        <v>2.5358662641147975</v>
      </c>
      <c r="AS45" s="63">
        <f t="shared" si="44"/>
        <v>0.63901901921270998</v>
      </c>
      <c r="AT45" s="10"/>
      <c r="AU45">
        <f t="shared" si="45"/>
        <v>79.579504412995021</v>
      </c>
      <c r="BD45">
        <v>9.9979859999999992</v>
      </c>
      <c r="BE45">
        <v>5.4960000000000004</v>
      </c>
      <c r="BF45">
        <v>5.1097890000000001</v>
      </c>
      <c r="BG45">
        <v>93.599771362833366</v>
      </c>
      <c r="BH45">
        <v>1920.3056923499939</v>
      </c>
    </row>
    <row r="46" spans="1:60" x14ac:dyDescent="0.2">
      <c r="A46" s="118" t="s">
        <v>377</v>
      </c>
      <c r="B46" s="5">
        <f>VsdTop</f>
        <v>1</v>
      </c>
      <c r="C46" s="417" t="s">
        <v>0</v>
      </c>
      <c r="G46">
        <v>37</v>
      </c>
      <c r="H46">
        <f t="shared" si="0"/>
        <v>0.37</v>
      </c>
      <c r="I46" s="406">
        <f t="shared" si="1"/>
        <v>0.34110259999999998</v>
      </c>
      <c r="J46" s="407">
        <f t="shared" si="2"/>
        <v>0.45025543199999996</v>
      </c>
      <c r="K46" s="407">
        <f t="shared" si="31"/>
        <v>0.59512771599999992</v>
      </c>
      <c r="L46" s="407">
        <f t="shared" si="32"/>
        <v>0.14487228400000002</v>
      </c>
      <c r="M46" s="63">
        <f t="shared" si="3"/>
        <v>0</v>
      </c>
      <c r="N46" s="406">
        <f t="shared" si="46"/>
        <v>0.39216598888369392</v>
      </c>
      <c r="O46" s="406">
        <f t="shared" si="5"/>
        <v>3.7998705923602844E-3</v>
      </c>
      <c r="P46">
        <f t="shared" si="6"/>
        <v>0.2</v>
      </c>
      <c r="Q46" s="406">
        <f t="shared" si="34"/>
        <v>0.20379987059236029</v>
      </c>
      <c r="R46" s="9">
        <f t="shared" si="39"/>
        <v>0.12997754743464562</v>
      </c>
      <c r="S46" s="9">
        <f t="shared" si="7"/>
        <v>3.3788325674251106E-5</v>
      </c>
      <c r="T46" s="9">
        <f t="shared" si="40"/>
        <v>3.3788325674251106E-5</v>
      </c>
      <c r="U46" s="406">
        <f t="shared" si="47"/>
        <v>0.22904058332218524</v>
      </c>
      <c r="V46" s="408">
        <f t="shared" si="9"/>
        <v>1.6787068418741403E-4</v>
      </c>
      <c r="W46" s="406">
        <f t="shared" si="41"/>
        <v>1.6787068418741403E-4</v>
      </c>
      <c r="X46" s="406">
        <f t="shared" si="48"/>
        <v>0.22904058332218524</v>
      </c>
      <c r="Y46" s="406">
        <f t="shared" si="11"/>
        <v>1.0491917761713376E-3</v>
      </c>
      <c r="Z46" s="406">
        <f t="shared" si="12"/>
        <v>5.8043245795933052E-3</v>
      </c>
      <c r="AA46" s="406">
        <f t="shared" si="13"/>
        <v>4.9687500000000002E-2</v>
      </c>
      <c r="AB46" s="406">
        <f t="shared" si="14"/>
        <v>0</v>
      </c>
      <c r="AC46" s="406">
        <f t="shared" si="49"/>
        <v>5.6551696399226956E-2</v>
      </c>
      <c r="AD46" s="406">
        <f t="shared" si="50"/>
        <v>0.31833091905838906</v>
      </c>
      <c r="AE46" s="406">
        <f t="shared" si="17"/>
        <v>2.0266914805711729E-3</v>
      </c>
      <c r="AF46" s="406">
        <f t="shared" si="18"/>
        <v>1.443E-2</v>
      </c>
      <c r="AG46" s="406">
        <f t="shared" si="51"/>
        <v>1.6462029633404922E-2</v>
      </c>
      <c r="AH46" s="406">
        <f t="shared" si="52"/>
        <v>0</v>
      </c>
      <c r="AI46">
        <f t="shared" si="21"/>
        <v>0</v>
      </c>
      <c r="AJ46" s="407">
        <f t="shared" si="22"/>
        <v>2.99852E-2</v>
      </c>
      <c r="AK46">
        <f t="shared" si="23"/>
        <v>0.03</v>
      </c>
      <c r="AL46" s="407">
        <f t="shared" si="24"/>
        <v>0.13500000000000001</v>
      </c>
      <c r="AM46" s="407">
        <f t="shared" si="25"/>
        <v>9.8855098389982105E-2</v>
      </c>
      <c r="AN46" s="407">
        <f t="shared" si="42"/>
        <v>0.16500000000000001</v>
      </c>
      <c r="AO46" s="407">
        <f t="shared" si="53"/>
        <v>0.47200045563485382</v>
      </c>
      <c r="AP46">
        <f t="shared" si="27"/>
        <v>1.8869999999999998</v>
      </c>
      <c r="AQ46" s="10">
        <f t="shared" si="43"/>
        <v>0.79991506381128319</v>
      </c>
      <c r="AR46" s="63">
        <f t="shared" si="54"/>
        <v>2.5448263379652132</v>
      </c>
      <c r="AS46" s="63">
        <f t="shared" si="44"/>
        <v>0.65848118533619693</v>
      </c>
      <c r="AT46" s="10"/>
      <c r="AU46">
        <f t="shared" si="45"/>
        <v>79.991506381128318</v>
      </c>
      <c r="BD46">
        <v>9.9978999999999996</v>
      </c>
      <c r="BE46">
        <v>6.1950000000000003</v>
      </c>
      <c r="BF46">
        <v>5.109191</v>
      </c>
      <c r="BG46">
        <v>93.156651672159526</v>
      </c>
      <c r="BH46">
        <v>2325.1351758999972</v>
      </c>
    </row>
    <row r="47" spans="1:60" x14ac:dyDescent="0.2">
      <c r="A47" s="33" t="s">
        <v>161</v>
      </c>
      <c r="B47" s="5">
        <f>ThetaJaTop</f>
        <v>45</v>
      </c>
      <c r="C47" s="416" t="s">
        <v>380</v>
      </c>
      <c r="D47" s="31" t="s">
        <v>184</v>
      </c>
      <c r="G47">
        <v>38</v>
      </c>
      <c r="H47">
        <f t="shared" si="0"/>
        <v>0.38</v>
      </c>
      <c r="I47" s="406">
        <f t="shared" si="1"/>
        <v>0.3411324</v>
      </c>
      <c r="J47" s="407">
        <f t="shared" si="2"/>
        <v>0.45029476800000001</v>
      </c>
      <c r="K47" s="407">
        <f t="shared" si="31"/>
        <v>0.60514738400000001</v>
      </c>
      <c r="L47" s="407">
        <f t="shared" si="32"/>
        <v>0.154852616</v>
      </c>
      <c r="M47" s="63">
        <f t="shared" si="3"/>
        <v>0</v>
      </c>
      <c r="N47" s="406">
        <f t="shared" si="46"/>
        <v>0.40161812065777258</v>
      </c>
      <c r="O47" s="406">
        <f t="shared" si="5"/>
        <v>3.9853089465824547E-3</v>
      </c>
      <c r="P47">
        <f t="shared" si="6"/>
        <v>0.2</v>
      </c>
      <c r="Q47" s="406">
        <f t="shared" si="34"/>
        <v>0.20398530894658246</v>
      </c>
      <c r="R47" s="9">
        <f t="shared" si="39"/>
        <v>0.12998890275974004</v>
      </c>
      <c r="S47" s="9">
        <f t="shared" si="7"/>
        <v>3.3794229681362303E-5</v>
      </c>
      <c r="T47" s="9">
        <f t="shared" si="40"/>
        <v>3.3794229681362303E-5</v>
      </c>
      <c r="U47" s="406">
        <f t="shared" si="47"/>
        <v>0.23457125121949024</v>
      </c>
      <c r="V47" s="408">
        <f t="shared" si="9"/>
        <v>1.7607575007576705E-4</v>
      </c>
      <c r="W47" s="406">
        <f t="shared" si="41"/>
        <v>1.7607575007576705E-4</v>
      </c>
      <c r="X47" s="406">
        <f t="shared" si="48"/>
        <v>0.23457125121949024</v>
      </c>
      <c r="Y47" s="406">
        <f t="shared" si="11"/>
        <v>1.100473437973544E-3</v>
      </c>
      <c r="Z47" s="406">
        <f t="shared" si="12"/>
        <v>5.9529850587890188E-3</v>
      </c>
      <c r="AA47" s="406">
        <f t="shared" si="13"/>
        <v>4.9687500000000002E-2</v>
      </c>
      <c r="AB47" s="406">
        <f t="shared" si="14"/>
        <v>0</v>
      </c>
      <c r="AC47" s="406">
        <f t="shared" si="49"/>
        <v>5.6752200268772181E-2</v>
      </c>
      <c r="AD47" s="406">
        <f t="shared" si="50"/>
        <v>0.3259960781083171</v>
      </c>
      <c r="AE47" s="406">
        <f t="shared" si="17"/>
        <v>2.1254688588400799E-3</v>
      </c>
      <c r="AF47" s="406">
        <f t="shared" si="18"/>
        <v>1.482E-2</v>
      </c>
      <c r="AG47" s="406">
        <f t="shared" si="51"/>
        <v>1.6951233549884752E-2</v>
      </c>
      <c r="AH47" s="406">
        <f t="shared" si="52"/>
        <v>0</v>
      </c>
      <c r="AI47">
        <f t="shared" si="21"/>
        <v>0</v>
      </c>
      <c r="AJ47" s="407">
        <f t="shared" si="22"/>
        <v>2.9984799999999999E-2</v>
      </c>
      <c r="AK47">
        <f t="shared" si="23"/>
        <v>0.03</v>
      </c>
      <c r="AL47" s="407">
        <f t="shared" si="24"/>
        <v>0.13500000000000001</v>
      </c>
      <c r="AM47" s="407">
        <f t="shared" si="25"/>
        <v>9.8855098389982105E-2</v>
      </c>
      <c r="AN47" s="407">
        <f t="shared" si="42"/>
        <v>0.16500000000000001</v>
      </c>
      <c r="AO47" s="407">
        <f t="shared" si="53"/>
        <v>0.47288341274499657</v>
      </c>
      <c r="AP47">
        <f t="shared" si="27"/>
        <v>1.9379999999999999</v>
      </c>
      <c r="AQ47" s="10">
        <f t="shared" si="43"/>
        <v>0.8038547155598128</v>
      </c>
      <c r="AR47" s="63">
        <f t="shared" si="54"/>
        <v>2.5538490120947483</v>
      </c>
      <c r="AS47" s="63">
        <f t="shared" si="44"/>
        <v>0.67804934199539013</v>
      </c>
      <c r="AT47" s="10"/>
      <c r="AU47">
        <f t="shared" si="45"/>
        <v>80.385471555981283</v>
      </c>
      <c r="BD47">
        <v>9.9976269999999996</v>
      </c>
      <c r="BE47">
        <v>6.9470000000000001</v>
      </c>
      <c r="BF47">
        <v>5.1086669999999996</v>
      </c>
      <c r="BG47">
        <v>92.656807634751772</v>
      </c>
      <c r="BH47">
        <v>2812.6290012010018</v>
      </c>
    </row>
    <row r="48" spans="1:60" x14ac:dyDescent="0.2">
      <c r="A48" s="34" t="s">
        <v>130</v>
      </c>
      <c r="B48" s="25" t="s">
        <v>201</v>
      </c>
      <c r="C48" s="34" t="s">
        <v>148</v>
      </c>
      <c r="D48" s="27" t="s">
        <v>188</v>
      </c>
      <c r="G48">
        <v>39</v>
      </c>
      <c r="H48">
        <f t="shared" si="0"/>
        <v>0.39</v>
      </c>
      <c r="I48" s="406">
        <f t="shared" si="1"/>
        <v>0.34116219999999997</v>
      </c>
      <c r="J48" s="407">
        <f t="shared" si="2"/>
        <v>0.45033410400000001</v>
      </c>
      <c r="K48" s="407">
        <f t="shared" si="31"/>
        <v>0.61516705199999999</v>
      </c>
      <c r="L48" s="407">
        <f t="shared" si="32"/>
        <v>0.16483294800000001</v>
      </c>
      <c r="M48" s="63">
        <f t="shared" si="3"/>
        <v>0</v>
      </c>
      <c r="N48" s="406">
        <f t="shared" si="46"/>
        <v>0.41109617743555288</v>
      </c>
      <c r="O48" s="406">
        <f t="shared" si="5"/>
        <v>4.175696106636758E-3</v>
      </c>
      <c r="P48">
        <f t="shared" si="6"/>
        <v>0.2</v>
      </c>
      <c r="Q48" s="406">
        <f t="shared" si="34"/>
        <v>0.20417569610663677</v>
      </c>
      <c r="R48" s="9">
        <f t="shared" si="39"/>
        <v>0.13000025808483448</v>
      </c>
      <c r="S48" s="9">
        <f t="shared" si="7"/>
        <v>3.3800134204247143E-5</v>
      </c>
      <c r="T48" s="9">
        <f t="shared" si="40"/>
        <v>3.3800134204247143E-5</v>
      </c>
      <c r="U48" s="406">
        <f t="shared" si="47"/>
        <v>0.24011754349215741</v>
      </c>
      <c r="V48" s="408">
        <f t="shared" si="9"/>
        <v>1.8450059101666596E-4</v>
      </c>
      <c r="W48" s="406">
        <f t="shared" si="41"/>
        <v>1.8450059101666596E-4</v>
      </c>
      <c r="X48" s="406">
        <f t="shared" si="48"/>
        <v>0.24011754349215741</v>
      </c>
      <c r="Y48" s="406">
        <f t="shared" si="11"/>
        <v>1.1531286938541621E-3</v>
      </c>
      <c r="Z48" s="406">
        <f t="shared" si="12"/>
        <v>6.1016455379847316E-3</v>
      </c>
      <c r="AA48" s="406">
        <f t="shared" si="13"/>
        <v>4.9687500000000002E-2</v>
      </c>
      <c r="AB48" s="406">
        <f t="shared" si="14"/>
        <v>0</v>
      </c>
      <c r="AC48" s="406">
        <f t="shared" si="49"/>
        <v>5.6954095804217682E-2</v>
      </c>
      <c r="AD48" s="406">
        <f t="shared" si="50"/>
        <v>0.33368193299820037</v>
      </c>
      <c r="AE48" s="406">
        <f t="shared" si="17"/>
        <v>2.2268726481883099E-3</v>
      </c>
      <c r="AF48" s="406">
        <f t="shared" si="18"/>
        <v>1.5210000000000001E-2</v>
      </c>
      <c r="AG48" s="406">
        <f t="shared" si="51"/>
        <v>1.7443087613741429E-2</v>
      </c>
      <c r="AH48" s="406">
        <f t="shared" si="52"/>
        <v>0</v>
      </c>
      <c r="AI48">
        <f t="shared" si="21"/>
        <v>0</v>
      </c>
      <c r="AJ48" s="407">
        <f t="shared" si="22"/>
        <v>2.9984400000000001E-2</v>
      </c>
      <c r="AK48">
        <f t="shared" si="23"/>
        <v>0.03</v>
      </c>
      <c r="AL48" s="407">
        <f t="shared" si="24"/>
        <v>0.13500000000000001</v>
      </c>
      <c r="AM48" s="407">
        <f t="shared" si="25"/>
        <v>9.8855098389982105E-2</v>
      </c>
      <c r="AN48" s="407">
        <f t="shared" si="42"/>
        <v>0.16500000000000001</v>
      </c>
      <c r="AO48" s="407">
        <f t="shared" si="53"/>
        <v>0.47377558024981681</v>
      </c>
      <c r="AP48">
        <f t="shared" si="27"/>
        <v>1.9889999999999999</v>
      </c>
      <c r="AQ48" s="10">
        <f t="shared" si="43"/>
        <v>0.80762535407235181</v>
      </c>
      <c r="AR48" s="63">
        <f t="shared" si="54"/>
        <v>2.5629343111897955</v>
      </c>
      <c r="AS48" s="63">
        <f t="shared" si="44"/>
        <v>0.69772350454965715</v>
      </c>
      <c r="AT48" s="10"/>
      <c r="AU48">
        <f t="shared" si="45"/>
        <v>80.762535407235177</v>
      </c>
      <c r="BD48">
        <v>9.9975280000000009</v>
      </c>
      <c r="BE48">
        <v>7.7530000000000001</v>
      </c>
      <c r="BF48">
        <v>5.10853</v>
      </c>
      <c r="BG48">
        <v>92.034336419785248</v>
      </c>
      <c r="BH48">
        <v>3427.976173640001</v>
      </c>
    </row>
    <row r="49" spans="1:60" x14ac:dyDescent="0.2">
      <c r="A49" s="33" t="s">
        <v>139</v>
      </c>
      <c r="B49" s="5">
        <f>RdsonBot*1000</f>
        <v>20</v>
      </c>
      <c r="C49" s="416" t="s">
        <v>613</v>
      </c>
      <c r="D49" s="31" t="s">
        <v>192</v>
      </c>
      <c r="G49">
        <v>40</v>
      </c>
      <c r="H49">
        <f t="shared" si="0"/>
        <v>0.4</v>
      </c>
      <c r="I49" s="406">
        <f t="shared" si="1"/>
        <v>0.341192</v>
      </c>
      <c r="J49" s="407">
        <f t="shared" si="2"/>
        <v>0.45037344000000001</v>
      </c>
      <c r="K49" s="407">
        <f t="shared" si="31"/>
        <v>0.62518672000000008</v>
      </c>
      <c r="L49" s="407">
        <f t="shared" si="32"/>
        <v>0.17481328000000002</v>
      </c>
      <c r="M49" s="63">
        <f t="shared" si="3"/>
        <v>0</v>
      </c>
      <c r="N49" s="406">
        <f t="shared" si="46"/>
        <v>0.42059840658453856</v>
      </c>
      <c r="O49" s="406">
        <f t="shared" si="5"/>
        <v>4.3710325243822793E-3</v>
      </c>
      <c r="P49">
        <f t="shared" si="6"/>
        <v>0.2</v>
      </c>
      <c r="Q49" s="406">
        <f t="shared" si="34"/>
        <v>0.2043710325243823</v>
      </c>
      <c r="R49" s="9">
        <f t="shared" si="39"/>
        <v>0.13001161340992889</v>
      </c>
      <c r="S49" s="9">
        <f t="shared" si="7"/>
        <v>3.3806039242905611E-5</v>
      </c>
      <c r="T49" s="9">
        <f t="shared" si="40"/>
        <v>3.3806039242905611E-5</v>
      </c>
      <c r="U49" s="406">
        <f t="shared" si="47"/>
        <v>0.24567843835119665</v>
      </c>
      <c r="V49" s="408">
        <f t="shared" si="9"/>
        <v>1.9314526422618475E-4</v>
      </c>
      <c r="W49" s="406">
        <f t="shared" si="41"/>
        <v>1.9314526422618475E-4</v>
      </c>
      <c r="X49" s="406">
        <f t="shared" si="48"/>
        <v>0.24567843835119665</v>
      </c>
      <c r="Y49" s="406">
        <f t="shared" si="11"/>
        <v>1.2071579014136546E-3</v>
      </c>
      <c r="Z49" s="406">
        <f t="shared" si="12"/>
        <v>6.2503060171804469E-3</v>
      </c>
      <c r="AA49" s="406">
        <f t="shared" si="13"/>
        <v>4.9687500000000002E-2</v>
      </c>
      <c r="AB49" s="406">
        <f t="shared" si="14"/>
        <v>0</v>
      </c>
      <c r="AC49" s="406">
        <f t="shared" si="49"/>
        <v>5.7157383556287238E-2</v>
      </c>
      <c r="AD49" s="406">
        <f t="shared" si="50"/>
        <v>0.34138705972952477</v>
      </c>
      <c r="AE49" s="406">
        <f t="shared" si="17"/>
        <v>2.3309024910154021E-3</v>
      </c>
      <c r="AF49" s="406">
        <f t="shared" si="18"/>
        <v>1.5600000000000001E-2</v>
      </c>
      <c r="AG49" s="406">
        <f t="shared" si="51"/>
        <v>1.7937592215555895E-2</v>
      </c>
      <c r="AH49" s="406">
        <f t="shared" si="52"/>
        <v>0</v>
      </c>
      <c r="AI49">
        <f t="shared" si="21"/>
        <v>0</v>
      </c>
      <c r="AJ49" s="407">
        <f t="shared" si="22"/>
        <v>2.9984000000000004E-2</v>
      </c>
      <c r="AK49">
        <f t="shared" si="23"/>
        <v>0.03</v>
      </c>
      <c r="AL49" s="407">
        <f t="shared" si="24"/>
        <v>0.13500000000000001</v>
      </c>
      <c r="AM49" s="407">
        <f t="shared" si="25"/>
        <v>9.8855098389982105E-2</v>
      </c>
      <c r="AN49" s="407">
        <f t="shared" si="42"/>
        <v>0.16500000000000001</v>
      </c>
      <c r="AO49" s="407">
        <f t="shared" si="53"/>
        <v>0.47467695959969458</v>
      </c>
      <c r="AP49">
        <f t="shared" si="27"/>
        <v>2.04</v>
      </c>
      <c r="AQ49" s="10">
        <f t="shared" si="43"/>
        <v>0.81123740057838001</v>
      </c>
      <c r="AR49" s="63">
        <f t="shared" si="54"/>
        <v>2.5720822600329258</v>
      </c>
      <c r="AS49" s="63">
        <f t="shared" si="44"/>
        <v>0.71750368862223579</v>
      </c>
      <c r="AT49" s="10"/>
      <c r="AU49">
        <f t="shared" si="45"/>
        <v>81.123740057838006</v>
      </c>
      <c r="BD49">
        <v>9.9970090000000003</v>
      </c>
      <c r="BE49">
        <v>8.6120000000000001</v>
      </c>
      <c r="BF49">
        <v>5.1085419999999999</v>
      </c>
      <c r="BG49">
        <v>91.346378256658895</v>
      </c>
      <c r="BH49">
        <v>4167.8065612820019</v>
      </c>
    </row>
    <row r="50" spans="1:60" x14ac:dyDescent="0.2">
      <c r="A50" s="33" t="s">
        <v>153</v>
      </c>
      <c r="B50" s="5">
        <v>4500</v>
      </c>
      <c r="C50" s="416" t="s">
        <v>614</v>
      </c>
      <c r="D50" s="31" t="s">
        <v>185</v>
      </c>
      <c r="G50">
        <v>41</v>
      </c>
      <c r="H50">
        <f t="shared" si="0"/>
        <v>0.41</v>
      </c>
      <c r="I50" s="406">
        <f t="shared" si="1"/>
        <v>0.34122179999999996</v>
      </c>
      <c r="J50" s="407">
        <f t="shared" si="2"/>
        <v>0.45041277600000001</v>
      </c>
      <c r="K50" s="407">
        <f t="shared" si="31"/>
        <v>0.63520638799999996</v>
      </c>
      <c r="L50" s="407">
        <f t="shared" si="32"/>
        <v>0.18479361199999997</v>
      </c>
      <c r="M50" s="63">
        <f t="shared" si="3"/>
        <v>0</v>
      </c>
      <c r="N50" s="406">
        <f t="shared" si="46"/>
        <v>0.43012320606852733</v>
      </c>
      <c r="O50" s="406">
        <f t="shared" si="5"/>
        <v>4.5713186634459627E-3</v>
      </c>
      <c r="P50">
        <f t="shared" si="6"/>
        <v>0.2</v>
      </c>
      <c r="Q50" s="406">
        <f t="shared" si="34"/>
        <v>0.20457131866344597</v>
      </c>
      <c r="R50" s="9">
        <f t="shared" si="39"/>
        <v>0.13002296873502331</v>
      </c>
      <c r="S50" s="9">
        <f t="shared" si="7"/>
        <v>3.3811944797337701E-5</v>
      </c>
      <c r="T50" s="9">
        <f t="shared" si="40"/>
        <v>3.3811944797337701E-5</v>
      </c>
      <c r="U50" s="406">
        <f t="shared" si="47"/>
        <v>0.2512530017982354</v>
      </c>
      <c r="V50" s="408">
        <f t="shared" si="9"/>
        <v>2.0200982692039708E-4</v>
      </c>
      <c r="W50" s="406">
        <f t="shared" si="41"/>
        <v>2.0200982692039708E-4</v>
      </c>
      <c r="X50" s="406">
        <f t="shared" si="48"/>
        <v>0.2512530017982354</v>
      </c>
      <c r="Y50" s="406">
        <f t="shared" si="11"/>
        <v>1.2625614182524816E-3</v>
      </c>
      <c r="Z50" s="406">
        <f t="shared" si="12"/>
        <v>6.3989664963761588E-3</v>
      </c>
      <c r="AA50" s="406">
        <f t="shared" si="13"/>
        <v>4.9687500000000002E-2</v>
      </c>
      <c r="AB50" s="406">
        <f t="shared" si="14"/>
        <v>0</v>
      </c>
      <c r="AC50" s="406">
        <f t="shared" si="49"/>
        <v>5.7362064077844332E-2</v>
      </c>
      <c r="AD50" s="406">
        <f t="shared" si="50"/>
        <v>0.34911015666411754</v>
      </c>
      <c r="AE50" s="406">
        <f t="shared" si="17"/>
        <v>2.437558029720894E-3</v>
      </c>
      <c r="AF50" s="406">
        <f t="shared" si="18"/>
        <v>1.5990000000000001E-2</v>
      </c>
      <c r="AG50" s="406">
        <f t="shared" si="51"/>
        <v>1.8434747752506496E-2</v>
      </c>
      <c r="AH50" s="406">
        <f t="shared" si="52"/>
        <v>0</v>
      </c>
      <c r="AI50">
        <f t="shared" si="21"/>
        <v>0</v>
      </c>
      <c r="AJ50" s="407">
        <f t="shared" si="22"/>
        <v>2.9983599999999999E-2</v>
      </c>
      <c r="AK50">
        <f t="shared" si="23"/>
        <v>0.03</v>
      </c>
      <c r="AL50" s="407">
        <f t="shared" si="24"/>
        <v>0.13500000000000001</v>
      </c>
      <c r="AM50" s="407">
        <f t="shared" si="25"/>
        <v>9.8855098389982105E-2</v>
      </c>
      <c r="AN50" s="407">
        <f t="shared" si="42"/>
        <v>0.16500000000000001</v>
      </c>
      <c r="AO50" s="407">
        <f t="shared" si="53"/>
        <v>0.47558755226551452</v>
      </c>
      <c r="AP50">
        <f t="shared" si="27"/>
        <v>2.0909999999999997</v>
      </c>
      <c r="AQ50" s="10">
        <f t="shared" si="43"/>
        <v>0.81470043683266691</v>
      </c>
      <c r="AR50" s="63">
        <f t="shared" si="54"/>
        <v>2.5812928835029951</v>
      </c>
      <c r="AS50" s="63">
        <f t="shared" si="44"/>
        <v>0.73738991010025989</v>
      </c>
      <c r="AT50" s="10"/>
      <c r="AU50">
        <f t="shared" si="45"/>
        <v>81.470043683266695</v>
      </c>
      <c r="BD50">
        <v>9.9969590000000004</v>
      </c>
      <c r="BE50">
        <v>9.5229999999999997</v>
      </c>
      <c r="BF50">
        <v>5.1087540000000002</v>
      </c>
      <c r="BG50">
        <v>90.547826191651922</v>
      </c>
      <c r="BH50">
        <v>5078.5816240809982</v>
      </c>
    </row>
    <row r="51" spans="1:60" x14ac:dyDescent="0.2">
      <c r="A51" s="33" t="s">
        <v>138</v>
      </c>
      <c r="B51" s="5">
        <f>QgBot*1000000000</f>
        <v>9</v>
      </c>
      <c r="C51" s="416" t="s">
        <v>136</v>
      </c>
      <c r="D51" s="31" t="s">
        <v>180</v>
      </c>
      <c r="G51">
        <v>42</v>
      </c>
      <c r="H51">
        <f t="shared" si="0"/>
        <v>0.42</v>
      </c>
      <c r="I51" s="406">
        <f t="shared" si="1"/>
        <v>0.34125159999999993</v>
      </c>
      <c r="J51" s="407">
        <f t="shared" si="2"/>
        <v>0.4504521119999999</v>
      </c>
      <c r="K51" s="407">
        <f t="shared" si="31"/>
        <v>0.64522605599999994</v>
      </c>
      <c r="L51" s="407">
        <f t="shared" si="32"/>
        <v>0.19477394400000003</v>
      </c>
      <c r="M51" s="63">
        <f t="shared" si="3"/>
        <v>0</v>
      </c>
      <c r="N51" s="406">
        <f t="shared" si="46"/>
        <v>0.439669109028337</v>
      </c>
      <c r="O51" s="406">
        <f t="shared" si="5"/>
        <v>4.7765549992253714E-3</v>
      </c>
      <c r="P51">
        <f t="shared" si="6"/>
        <v>0.2</v>
      </c>
      <c r="Q51" s="406">
        <f t="shared" si="34"/>
        <v>0.20477655499922537</v>
      </c>
      <c r="R51" s="9">
        <f t="shared" si="39"/>
        <v>0.1300343240601177</v>
      </c>
      <c r="S51" s="9">
        <f t="shared" si="7"/>
        <v>3.3817850867543406E-5</v>
      </c>
      <c r="T51" s="9">
        <f t="shared" si="40"/>
        <v>3.3817850867543406E-5</v>
      </c>
      <c r="U51" s="406">
        <f t="shared" si="47"/>
        <v>0.25684037863730708</v>
      </c>
      <c r="V51" s="408">
        <f t="shared" si="9"/>
        <v>2.1109433631537688E-4</v>
      </c>
      <c r="W51" s="406">
        <f t="shared" si="41"/>
        <v>2.1109433631537688E-4</v>
      </c>
      <c r="X51" s="406">
        <f t="shared" si="48"/>
        <v>0.25684037863730708</v>
      </c>
      <c r="Y51" s="406">
        <f t="shared" si="11"/>
        <v>1.3193396019711054E-3</v>
      </c>
      <c r="Z51" s="406">
        <f t="shared" si="12"/>
        <v>6.5476269755718733E-3</v>
      </c>
      <c r="AA51" s="406">
        <f t="shared" si="13"/>
        <v>4.9687500000000002E-2</v>
      </c>
      <c r="AB51" s="406">
        <f t="shared" si="14"/>
        <v>0</v>
      </c>
      <c r="AC51" s="406">
        <f t="shared" si="49"/>
        <v>5.7568137923894432E-2</v>
      </c>
      <c r="AD51" s="406">
        <f t="shared" si="50"/>
        <v>0.35685003199553789</v>
      </c>
      <c r="AE51" s="406">
        <f t="shared" si="17"/>
        <v>2.5468389067043284E-3</v>
      </c>
      <c r="AF51" s="406">
        <f t="shared" si="18"/>
        <v>1.6379999999999999E-2</v>
      </c>
      <c r="AG51" s="406">
        <f t="shared" si="51"/>
        <v>1.8934554628369713E-2</v>
      </c>
      <c r="AH51" s="406">
        <f t="shared" si="52"/>
        <v>0</v>
      </c>
      <c r="AI51">
        <f t="shared" si="21"/>
        <v>0</v>
      </c>
      <c r="AJ51" s="407">
        <f t="shared" si="22"/>
        <v>2.9983200000000002E-2</v>
      </c>
      <c r="AK51">
        <f t="shared" si="23"/>
        <v>0.03</v>
      </c>
      <c r="AL51" s="407">
        <f t="shared" si="24"/>
        <v>0.13500000000000001</v>
      </c>
      <c r="AM51" s="407">
        <f t="shared" si="25"/>
        <v>9.8855098389982105E-2</v>
      </c>
      <c r="AN51" s="407">
        <f t="shared" si="42"/>
        <v>0.16500000000000001</v>
      </c>
      <c r="AO51" s="407">
        <f t="shared" si="53"/>
        <v>0.47650735973867242</v>
      </c>
      <c r="AP51">
        <f t="shared" si="27"/>
        <v>2.1419999999999999</v>
      </c>
      <c r="AQ51" s="10">
        <f t="shared" si="43"/>
        <v>0.81802328797493695</v>
      </c>
      <c r="AR51" s="63">
        <f t="shared" si="54"/>
        <v>2.5905662065752493</v>
      </c>
      <c r="AS51" s="63">
        <f t="shared" si="44"/>
        <v>0.7573821851347885</v>
      </c>
      <c r="AT51" s="10"/>
      <c r="AU51">
        <f t="shared" si="45"/>
        <v>81.802328797493701</v>
      </c>
      <c r="BD51">
        <v>9.9964639999999996</v>
      </c>
      <c r="BE51">
        <v>10.493</v>
      </c>
      <c r="BF51">
        <v>5.1092279999999999</v>
      </c>
      <c r="BG51">
        <v>89.626660259106615</v>
      </c>
      <c r="BH51">
        <v>6204.9221585439973</v>
      </c>
    </row>
    <row r="52" spans="1:60" x14ac:dyDescent="0.2">
      <c r="A52" s="33" t="s">
        <v>169</v>
      </c>
      <c r="B52" s="5">
        <f>RGateBot</f>
        <v>1</v>
      </c>
      <c r="C52" s="415" t="s">
        <v>208</v>
      </c>
      <c r="D52" s="31" t="s">
        <v>181</v>
      </c>
      <c r="G52">
        <v>43</v>
      </c>
      <c r="H52">
        <f t="shared" si="0"/>
        <v>0.43</v>
      </c>
      <c r="I52" s="406">
        <f t="shared" si="1"/>
        <v>0.34128140000000001</v>
      </c>
      <c r="J52" s="407">
        <f t="shared" si="2"/>
        <v>0.45049144800000002</v>
      </c>
      <c r="K52" s="407">
        <f t="shared" si="31"/>
        <v>0.65524572400000003</v>
      </c>
      <c r="L52" s="407">
        <f t="shared" si="32"/>
        <v>0.20475427599999999</v>
      </c>
      <c r="M52" s="63">
        <f t="shared" si="3"/>
        <v>0</v>
      </c>
      <c r="N52" s="406">
        <f t="shared" si="46"/>
        <v>0.44923477016673741</v>
      </c>
      <c r="O52" s="406">
        <f t="shared" si="5"/>
        <v>4.9867420188915088E-3</v>
      </c>
      <c r="P52">
        <f t="shared" si="6"/>
        <v>0.2</v>
      </c>
      <c r="Q52" s="406">
        <f t="shared" si="34"/>
        <v>0.20498674201889153</v>
      </c>
      <c r="R52" s="9">
        <f t="shared" si="39"/>
        <v>0.13004567938521217</v>
      </c>
      <c r="S52" s="9">
        <f t="shared" si="7"/>
        <v>3.3823757453522794E-5</v>
      </c>
      <c r="T52" s="9">
        <f t="shared" si="40"/>
        <v>3.3823757453522794E-5</v>
      </c>
      <c r="U52" s="406">
        <f t="shared" si="47"/>
        <v>0.26243978453828098</v>
      </c>
      <c r="V52" s="408">
        <f t="shared" si="9"/>
        <v>2.203988496271979E-4</v>
      </c>
      <c r="W52" s="406">
        <f t="shared" si="41"/>
        <v>2.203988496271979E-4</v>
      </c>
      <c r="X52" s="406">
        <f t="shared" si="48"/>
        <v>0.26243978453828098</v>
      </c>
      <c r="Y52" s="406">
        <f t="shared" si="11"/>
        <v>1.3774928101699868E-3</v>
      </c>
      <c r="Z52" s="406">
        <f t="shared" si="12"/>
        <v>6.6962874547675869E-3</v>
      </c>
      <c r="AA52" s="406">
        <f t="shared" si="13"/>
        <v>4.9687500000000002E-2</v>
      </c>
      <c r="AB52" s="406">
        <f t="shared" si="14"/>
        <v>0</v>
      </c>
      <c r="AC52" s="406">
        <f t="shared" si="49"/>
        <v>5.7775605651587465E-2</v>
      </c>
      <c r="AD52" s="406">
        <f t="shared" si="50"/>
        <v>0.36460559268648368</v>
      </c>
      <c r="AE52" s="406">
        <f t="shared" si="17"/>
        <v>2.6587447643652406E-3</v>
      </c>
      <c r="AF52" s="406">
        <f t="shared" si="18"/>
        <v>1.677E-2</v>
      </c>
      <c r="AG52" s="406">
        <f t="shared" si="51"/>
        <v>1.9437013253520874E-2</v>
      </c>
      <c r="AH52" s="406">
        <f t="shared" si="52"/>
        <v>0</v>
      </c>
      <c r="AI52">
        <f t="shared" si="21"/>
        <v>0</v>
      </c>
      <c r="AJ52" s="407">
        <f t="shared" si="22"/>
        <v>2.99828E-2</v>
      </c>
      <c r="AK52">
        <f t="shared" si="23"/>
        <v>0.03</v>
      </c>
      <c r="AL52" s="407">
        <f t="shared" si="24"/>
        <v>0.13500000000000001</v>
      </c>
      <c r="AM52" s="407">
        <f t="shared" si="25"/>
        <v>9.8855098389982105E-2</v>
      </c>
      <c r="AN52" s="407">
        <f t="shared" si="42"/>
        <v>0.16500000000000001</v>
      </c>
      <c r="AO52" s="407">
        <f t="shared" si="53"/>
        <v>0.47743638353108053</v>
      </c>
      <c r="AP52">
        <f t="shared" si="27"/>
        <v>2.1929999999999996</v>
      </c>
      <c r="AQ52" s="10">
        <f t="shared" si="43"/>
        <v>0.8212140957652122</v>
      </c>
      <c r="AR52" s="63">
        <f t="shared" si="54"/>
        <v>2.5999022543214361</v>
      </c>
      <c r="AS52" s="63">
        <f t="shared" si="44"/>
        <v>0.77748053014083496</v>
      </c>
      <c r="AT52" s="10"/>
      <c r="AU52">
        <f t="shared" si="45"/>
        <v>82.121409576521216</v>
      </c>
      <c r="BD52">
        <v>9.9959819999999997</v>
      </c>
      <c r="BE52">
        <v>11.519</v>
      </c>
      <c r="BF52">
        <v>5.1101260000000002</v>
      </c>
      <c r="BG52">
        <v>88.591390420220321</v>
      </c>
      <c r="BH52">
        <v>7580.3207309739973</v>
      </c>
    </row>
    <row r="53" spans="1:60" x14ac:dyDescent="0.2">
      <c r="A53" s="33" t="s">
        <v>144</v>
      </c>
      <c r="B53" s="5">
        <f>VsdBot</f>
        <v>1.3</v>
      </c>
      <c r="C53" s="416" t="s">
        <v>0</v>
      </c>
      <c r="D53" s="31" t="s">
        <v>186</v>
      </c>
      <c r="G53">
        <v>44</v>
      </c>
      <c r="H53">
        <f t="shared" si="0"/>
        <v>0.44</v>
      </c>
      <c r="I53" s="406">
        <f t="shared" si="1"/>
        <v>0.34131119999999998</v>
      </c>
      <c r="J53" s="407">
        <f t="shared" si="2"/>
        <v>0.45053078399999996</v>
      </c>
      <c r="K53" s="407">
        <f t="shared" si="31"/>
        <v>0.66526539200000001</v>
      </c>
      <c r="L53" s="407">
        <f t="shared" si="32"/>
        <v>0.21473460800000002</v>
      </c>
      <c r="M53" s="63">
        <f t="shared" si="3"/>
        <v>0</v>
      </c>
      <c r="N53" s="406">
        <f t="shared" si="46"/>
        <v>0.45881895370356907</v>
      </c>
      <c r="O53" s="406">
        <f t="shared" si="5"/>
        <v>5.2018802213917078E-3</v>
      </c>
      <c r="P53">
        <f t="shared" si="6"/>
        <v>0.2</v>
      </c>
      <c r="Q53" s="406">
        <f t="shared" si="34"/>
        <v>0.20520188022139171</v>
      </c>
      <c r="R53" s="9">
        <f t="shared" si="39"/>
        <v>0.13005703471030658</v>
      </c>
      <c r="S53" s="9">
        <f t="shared" si="7"/>
        <v>3.3829664555275783E-5</v>
      </c>
      <c r="T53" s="9">
        <f t="shared" si="40"/>
        <v>3.3829664555275783E-5</v>
      </c>
      <c r="U53" s="406">
        <f t="shared" si="47"/>
        <v>0.26805049901553868</v>
      </c>
      <c r="V53" s="408">
        <f t="shared" si="9"/>
        <v>2.2992342407193378E-4</v>
      </c>
      <c r="W53" s="406">
        <f t="shared" si="41"/>
        <v>2.2992342407193378E-4</v>
      </c>
      <c r="X53" s="406">
        <f t="shared" si="48"/>
        <v>0.26805049901553868</v>
      </c>
      <c r="Y53" s="406">
        <f t="shared" si="11"/>
        <v>1.4370214004495859E-3</v>
      </c>
      <c r="Z53" s="406">
        <f t="shared" si="12"/>
        <v>6.8449479339632996E-3</v>
      </c>
      <c r="AA53" s="406">
        <f t="shared" si="13"/>
        <v>4.9687500000000002E-2</v>
      </c>
      <c r="AB53" s="406">
        <f t="shared" si="14"/>
        <v>0</v>
      </c>
      <c r="AC53" s="406">
        <f t="shared" si="49"/>
        <v>5.7984467820220133E-2</v>
      </c>
      <c r="AD53" s="406">
        <f t="shared" si="50"/>
        <v>0.37237583468205687</v>
      </c>
      <c r="AE53" s="406">
        <f t="shared" si="17"/>
        <v>2.7732752451031712E-3</v>
      </c>
      <c r="AF53" s="406">
        <f t="shared" si="18"/>
        <v>1.7160000000000002E-2</v>
      </c>
      <c r="AG53" s="406">
        <f t="shared" si="51"/>
        <v>1.994212404493495E-2</v>
      </c>
      <c r="AH53" s="406">
        <f t="shared" si="52"/>
        <v>0</v>
      </c>
      <c r="AI53">
        <f t="shared" si="21"/>
        <v>0</v>
      </c>
      <c r="AJ53" s="407">
        <f t="shared" si="22"/>
        <v>2.9982399999999999E-2</v>
      </c>
      <c r="AK53">
        <f t="shared" si="23"/>
        <v>0.03</v>
      </c>
      <c r="AL53" s="407">
        <f t="shared" si="24"/>
        <v>0.13500000000000001</v>
      </c>
      <c r="AM53" s="407">
        <f t="shared" si="25"/>
        <v>9.8855098389982105E-2</v>
      </c>
      <c r="AN53" s="407">
        <f t="shared" si="42"/>
        <v>0.16500000000000001</v>
      </c>
      <c r="AO53" s="407">
        <f t="shared" si="53"/>
        <v>0.47837462517517404</v>
      </c>
      <c r="AP53">
        <f t="shared" si="27"/>
        <v>2.2439999999999998</v>
      </c>
      <c r="AQ53" s="10">
        <f t="shared" si="43"/>
        <v>0.82428038347426469</v>
      </c>
      <c r="AR53" s="63">
        <f t="shared" si="54"/>
        <v>2.609301051909906</v>
      </c>
      <c r="AS53" s="63">
        <f t="shared" si="44"/>
        <v>0.79768496179739801</v>
      </c>
      <c r="AT53" s="10"/>
      <c r="AU53">
        <f t="shared" si="45"/>
        <v>82.428038347426465</v>
      </c>
      <c r="BD53">
        <v>9.9955739999999995</v>
      </c>
      <c r="BE53">
        <v>12.605</v>
      </c>
      <c r="BF53">
        <v>5.1111979999999999</v>
      </c>
      <c r="BG53">
        <v>87.386508098290477</v>
      </c>
      <c r="BH53">
        <v>9299.4335961019988</v>
      </c>
    </row>
    <row r="54" spans="1:60" x14ac:dyDescent="0.2">
      <c r="A54" s="33" t="s">
        <v>145</v>
      </c>
      <c r="B54" s="5">
        <f>QrrBot*1000000000</f>
        <v>4</v>
      </c>
      <c r="C54" s="416" t="s">
        <v>136</v>
      </c>
      <c r="D54" s="31" t="s">
        <v>196</v>
      </c>
      <c r="G54">
        <v>45</v>
      </c>
      <c r="H54">
        <f t="shared" si="0"/>
        <v>0.45</v>
      </c>
      <c r="I54" s="406">
        <f t="shared" si="1"/>
        <v>0.34134100000000001</v>
      </c>
      <c r="J54" s="407">
        <f t="shared" si="2"/>
        <v>0.45057012000000002</v>
      </c>
      <c r="K54" s="407">
        <f t="shared" si="31"/>
        <v>0.67528505999999999</v>
      </c>
      <c r="L54" s="407">
        <f t="shared" si="32"/>
        <v>0.22471494</v>
      </c>
      <c r="M54" s="63">
        <f t="shared" si="3"/>
        <v>0</v>
      </c>
      <c r="N54" s="406">
        <f t="shared" si="46"/>
        <v>0.46842052269985057</v>
      </c>
      <c r="O54" s="406">
        <f t="shared" si="5"/>
        <v>5.4219701174526014E-3</v>
      </c>
      <c r="P54">
        <f t="shared" si="6"/>
        <v>0.2</v>
      </c>
      <c r="Q54" s="406">
        <f t="shared" si="34"/>
        <v>0.20542197011745261</v>
      </c>
      <c r="R54" s="9">
        <f t="shared" si="39"/>
        <v>0.13006839003540099</v>
      </c>
      <c r="S54" s="9">
        <f t="shared" si="7"/>
        <v>3.3835572172802401E-5</v>
      </c>
      <c r="T54" s="9">
        <f t="shared" si="40"/>
        <v>3.3835572172802401E-5</v>
      </c>
      <c r="U54" s="406">
        <f t="shared" si="47"/>
        <v>0.273671859204629</v>
      </c>
      <c r="V54" s="408">
        <f t="shared" si="9"/>
        <v>2.3966811686565849E-4</v>
      </c>
      <c r="W54" s="406">
        <f t="shared" si="41"/>
        <v>2.3966811686565849E-4</v>
      </c>
      <c r="X54" s="406">
        <f t="shared" si="48"/>
        <v>0.273671859204629</v>
      </c>
      <c r="Y54" s="406">
        <f t="shared" si="11"/>
        <v>1.4979257304103654E-3</v>
      </c>
      <c r="Z54" s="406">
        <f t="shared" si="12"/>
        <v>6.9936084131590141E-3</v>
      </c>
      <c r="AA54" s="406">
        <f t="shared" si="13"/>
        <v>4.9687500000000002E-2</v>
      </c>
      <c r="AB54" s="406">
        <f t="shared" si="14"/>
        <v>0</v>
      </c>
      <c r="AC54" s="406">
        <f t="shared" si="49"/>
        <v>5.8194724991238324E-2</v>
      </c>
      <c r="AD54" s="406">
        <f t="shared" si="50"/>
        <v>0.3801598342353949</v>
      </c>
      <c r="AE54" s="406">
        <f t="shared" si="17"/>
        <v>2.8904299913176585E-3</v>
      </c>
      <c r="AF54" s="406">
        <f t="shared" si="18"/>
        <v>1.755E-2</v>
      </c>
      <c r="AG54" s="406">
        <f t="shared" si="51"/>
        <v>2.0449887426187374E-2</v>
      </c>
      <c r="AH54" s="406">
        <f t="shared" si="52"/>
        <v>0</v>
      </c>
      <c r="AI54">
        <f t="shared" si="21"/>
        <v>0</v>
      </c>
      <c r="AJ54" s="407">
        <f t="shared" si="22"/>
        <v>2.9981999999999998E-2</v>
      </c>
      <c r="AK54">
        <f t="shared" si="23"/>
        <v>0.03</v>
      </c>
      <c r="AL54" s="407">
        <f t="shared" si="24"/>
        <v>0.13500000000000001</v>
      </c>
      <c r="AM54" s="407">
        <f t="shared" si="25"/>
        <v>9.8855098389982105E-2</v>
      </c>
      <c r="AN54" s="407">
        <f t="shared" si="42"/>
        <v>0.16500000000000001</v>
      </c>
      <c r="AO54" s="407">
        <f t="shared" si="53"/>
        <v>0.47932208622391681</v>
      </c>
      <c r="AP54">
        <f t="shared" si="27"/>
        <v>2.2949999999999999</v>
      </c>
      <c r="AQ54" s="10">
        <f t="shared" si="43"/>
        <v>0.827229113517849</v>
      </c>
      <c r="AR54" s="63">
        <f t="shared" si="54"/>
        <v>2.6187626246057247</v>
      </c>
      <c r="AS54" s="63">
        <f t="shared" si="44"/>
        <v>0.81799549704749497</v>
      </c>
      <c r="AT54" s="10"/>
      <c r="AU54">
        <f t="shared" si="45"/>
        <v>82.722911351784902</v>
      </c>
      <c r="BD54">
        <v>9.9949670000000008</v>
      </c>
      <c r="BE54">
        <v>13.75</v>
      </c>
      <c r="BF54">
        <v>5.1122329999999998</v>
      </c>
      <c r="BG54">
        <v>85.985113444924963</v>
      </c>
      <c r="BH54">
        <v>11457.230537720005</v>
      </c>
    </row>
    <row r="55" spans="1:60" x14ac:dyDescent="0.2">
      <c r="A55" s="33" t="s">
        <v>146</v>
      </c>
      <c r="B55" s="5">
        <f>TrrBot*1000000000</f>
        <v>40</v>
      </c>
      <c r="C55" s="416" t="s">
        <v>147</v>
      </c>
      <c r="D55" s="31" t="s">
        <v>187</v>
      </c>
      <c r="G55">
        <v>46</v>
      </c>
      <c r="H55">
        <f t="shared" si="0"/>
        <v>0.46</v>
      </c>
      <c r="I55" s="406">
        <f t="shared" si="1"/>
        <v>0.34137079999999997</v>
      </c>
      <c r="J55" s="407">
        <f t="shared" si="2"/>
        <v>0.45060945599999996</v>
      </c>
      <c r="K55" s="407">
        <f t="shared" si="31"/>
        <v>0.68530472799999997</v>
      </c>
      <c r="L55" s="407">
        <f t="shared" si="32"/>
        <v>0.23469527200000004</v>
      </c>
      <c r="M55" s="63">
        <f t="shared" si="3"/>
        <v>0</v>
      </c>
      <c r="N55" s="406">
        <f t="shared" si="46"/>
        <v>0.47803842957763487</v>
      </c>
      <c r="O55" s="406">
        <f t="shared" si="5"/>
        <v>5.6470122295831397E-3</v>
      </c>
      <c r="P55">
        <f t="shared" si="6"/>
        <v>0.2</v>
      </c>
      <c r="Q55" s="406">
        <f t="shared" si="34"/>
        <v>0.20564701222958315</v>
      </c>
      <c r="R55" s="9">
        <f t="shared" si="39"/>
        <v>0.13007974536049541</v>
      </c>
      <c r="S55" s="9">
        <f t="shared" si="7"/>
        <v>3.3841480306102653E-5</v>
      </c>
      <c r="T55" s="9">
        <f t="shared" si="40"/>
        <v>3.3841480306102653E-5</v>
      </c>
      <c r="U55" s="406">
        <f t="shared" si="47"/>
        <v>0.27930325433592651</v>
      </c>
      <c r="V55" s="408">
        <f t="shared" si="9"/>
        <v>2.496329852244456E-4</v>
      </c>
      <c r="W55" s="406">
        <f t="shared" si="41"/>
        <v>2.496329852244456E-4</v>
      </c>
      <c r="X55" s="406">
        <f t="shared" si="48"/>
        <v>0.27930325433592651</v>
      </c>
      <c r="Y55" s="406">
        <f t="shared" si="11"/>
        <v>1.5602061576527851E-3</v>
      </c>
      <c r="Z55" s="406">
        <f t="shared" si="12"/>
        <v>7.1422688923547277E-3</v>
      </c>
      <c r="AA55" s="406">
        <f t="shared" si="13"/>
        <v>4.9687500000000002E-2</v>
      </c>
      <c r="AB55" s="406">
        <f t="shared" si="14"/>
        <v>0</v>
      </c>
      <c r="AC55" s="406">
        <f t="shared" si="49"/>
        <v>5.8406377728239513E-2</v>
      </c>
      <c r="AD55" s="406">
        <f t="shared" si="50"/>
        <v>0.38795674020489979</v>
      </c>
      <c r="AE55" s="406">
        <f t="shared" si="17"/>
        <v>3.0102086454082424E-3</v>
      </c>
      <c r="AF55" s="406">
        <f t="shared" si="18"/>
        <v>1.7940000000000001E-2</v>
      </c>
      <c r="AG55" s="406">
        <f t="shared" si="51"/>
        <v>2.0960303827454931E-2</v>
      </c>
      <c r="AH55" s="406">
        <f t="shared" si="52"/>
        <v>0</v>
      </c>
      <c r="AI55">
        <f t="shared" si="21"/>
        <v>0</v>
      </c>
      <c r="AJ55" s="407">
        <f t="shared" si="22"/>
        <v>2.9981600000000001E-2</v>
      </c>
      <c r="AK55">
        <f t="shared" si="23"/>
        <v>0.03</v>
      </c>
      <c r="AL55" s="407">
        <f t="shared" si="24"/>
        <v>0.13500000000000001</v>
      </c>
      <c r="AM55" s="407">
        <f t="shared" si="25"/>
        <v>9.8855098389982105E-2</v>
      </c>
      <c r="AN55" s="407">
        <f t="shared" si="42"/>
        <v>0.16500000000000001</v>
      </c>
      <c r="AO55" s="407">
        <f t="shared" si="53"/>
        <v>0.48027876825080817</v>
      </c>
      <c r="AP55">
        <f t="shared" si="27"/>
        <v>2.3460000000000001</v>
      </c>
      <c r="AQ55" s="10">
        <f t="shared" si="43"/>
        <v>0.83006673876404136</v>
      </c>
      <c r="AR55" s="63">
        <f t="shared" si="54"/>
        <v>2.6282869977707781</v>
      </c>
      <c r="AS55" s="63">
        <f t="shared" si="44"/>
        <v>0.83841215309819717</v>
      </c>
      <c r="AT55" s="10"/>
      <c r="AU55">
        <f t="shared" si="45"/>
        <v>83.006673876404136</v>
      </c>
      <c r="BD55">
        <v>9.9943860000000004</v>
      </c>
      <c r="BE55">
        <v>14.954000000000001</v>
      </c>
      <c r="BF55">
        <v>5.1130310000000003</v>
      </c>
      <c r="BG55">
        <v>84.352650264578628</v>
      </c>
      <c r="BH55">
        <v>14183.318533699994</v>
      </c>
    </row>
    <row r="56" spans="1:60" x14ac:dyDescent="0.2">
      <c r="A56" s="33" t="s">
        <v>160</v>
      </c>
      <c r="B56" s="5">
        <f>ThetaJaBot</f>
        <v>40</v>
      </c>
      <c r="C56" s="416" t="s">
        <v>380</v>
      </c>
      <c r="D56" s="31" t="s">
        <v>184</v>
      </c>
      <c r="E56" s="2"/>
      <c r="G56">
        <v>47</v>
      </c>
      <c r="H56">
        <f t="shared" si="0"/>
        <v>0.47</v>
      </c>
      <c r="I56" s="406">
        <f t="shared" si="1"/>
        <v>0.3414006</v>
      </c>
      <c r="J56" s="407">
        <f t="shared" si="2"/>
        <v>0.45064879200000002</v>
      </c>
      <c r="K56" s="407">
        <f t="shared" si="31"/>
        <v>0.69532439599999996</v>
      </c>
      <c r="L56" s="407">
        <f t="shared" si="32"/>
        <v>0.24467560399999996</v>
      </c>
      <c r="M56" s="63">
        <f t="shared" si="3"/>
        <v>0</v>
      </c>
      <c r="N56" s="406">
        <f t="shared" si="46"/>
        <v>0.4876717076862141</v>
      </c>
      <c r="O56" s="406">
        <f t="shared" si="5"/>
        <v>5.8770070920777092E-3</v>
      </c>
      <c r="P56">
        <f t="shared" si="6"/>
        <v>0.2</v>
      </c>
      <c r="Q56" s="406">
        <f t="shared" si="34"/>
        <v>0.20587700709207771</v>
      </c>
      <c r="R56" s="9">
        <f t="shared" si="39"/>
        <v>0.13009110068558985</v>
      </c>
      <c r="S56" s="9">
        <f t="shared" si="7"/>
        <v>3.3847388955176555E-5</v>
      </c>
      <c r="T56" s="9">
        <f t="shared" si="40"/>
        <v>3.3847388955176555E-5</v>
      </c>
      <c r="U56" s="406">
        <f t="shared" si="47"/>
        <v>0.28494412081821463</v>
      </c>
      <c r="V56" s="408">
        <f t="shared" si="9"/>
        <v>2.5981808636436898E-4</v>
      </c>
      <c r="W56" s="406">
        <f t="shared" si="41"/>
        <v>2.5981808636436898E-4</v>
      </c>
      <c r="X56" s="406">
        <f t="shared" si="48"/>
        <v>0.28494412081821463</v>
      </c>
      <c r="Y56" s="406">
        <f t="shared" si="11"/>
        <v>1.6238630397773061E-3</v>
      </c>
      <c r="Z56" s="406">
        <f t="shared" si="12"/>
        <v>7.2909293715504404E-3</v>
      </c>
      <c r="AA56" s="406">
        <f t="shared" si="13"/>
        <v>4.9687500000000002E-2</v>
      </c>
      <c r="AB56" s="406">
        <f t="shared" si="14"/>
        <v>0</v>
      </c>
      <c r="AC56" s="406">
        <f t="shared" si="49"/>
        <v>5.8619426596975228E-2</v>
      </c>
      <c r="AD56" s="406">
        <f t="shared" si="50"/>
        <v>0.39576576720166556</v>
      </c>
      <c r="AE56" s="406">
        <f t="shared" si="17"/>
        <v>3.1326108497744588E-3</v>
      </c>
      <c r="AF56" s="406">
        <f t="shared" si="18"/>
        <v>1.8329999999999999E-2</v>
      </c>
      <c r="AG56" s="406">
        <f t="shared" si="51"/>
        <v>2.147337368551662E-2</v>
      </c>
      <c r="AH56" s="406">
        <f t="shared" si="52"/>
        <v>0</v>
      </c>
      <c r="AI56">
        <f t="shared" si="21"/>
        <v>0</v>
      </c>
      <c r="AJ56" s="407">
        <f t="shared" si="22"/>
        <v>2.9981200000000003E-2</v>
      </c>
      <c r="AK56">
        <f t="shared" si="23"/>
        <v>0.03</v>
      </c>
      <c r="AL56" s="407">
        <f t="shared" si="24"/>
        <v>0.13500000000000001</v>
      </c>
      <c r="AM56" s="407">
        <f t="shared" si="25"/>
        <v>9.8855098389982105E-2</v>
      </c>
      <c r="AN56" s="407">
        <f t="shared" si="42"/>
        <v>0.16500000000000001</v>
      </c>
      <c r="AO56" s="407">
        <f t="shared" si="53"/>
        <v>0.48124467284988903</v>
      </c>
      <c r="AP56">
        <f t="shared" si="27"/>
        <v>2.3969999999999998</v>
      </c>
      <c r="AQ56" s="10">
        <f t="shared" si="43"/>
        <v>0.83279924830942698</v>
      </c>
      <c r="AR56" s="63">
        <f t="shared" si="54"/>
        <v>2.6378741968638852</v>
      </c>
      <c r="AS56" s="63">
        <f t="shared" si="44"/>
        <v>0.85893494742066478</v>
      </c>
      <c r="AT56" s="10"/>
      <c r="AU56">
        <f t="shared" si="45"/>
        <v>83.279924830942704</v>
      </c>
      <c r="BE56" s="28"/>
      <c r="BF56" s="29"/>
    </row>
    <row r="57" spans="1:60" x14ac:dyDescent="0.2">
      <c r="A57" s="34" t="s">
        <v>363</v>
      </c>
      <c r="B57" s="25" t="s">
        <v>201</v>
      </c>
      <c r="C57" s="34" t="s">
        <v>148</v>
      </c>
      <c r="D57" s="476" t="s">
        <v>390</v>
      </c>
      <c r="G57">
        <v>48</v>
      </c>
      <c r="H57">
        <f t="shared" si="0"/>
        <v>0.48</v>
      </c>
      <c r="I57" s="406">
        <f t="shared" si="1"/>
        <v>0.34143039999999997</v>
      </c>
      <c r="J57" s="407">
        <f t="shared" si="2"/>
        <v>0.45068812800000002</v>
      </c>
      <c r="K57" s="407">
        <f t="shared" si="31"/>
        <v>0.70534406399999994</v>
      </c>
      <c r="L57" s="407">
        <f t="shared" si="32"/>
        <v>0.25465593599999997</v>
      </c>
      <c r="M57" s="63">
        <f t="shared" si="3"/>
        <v>0</v>
      </c>
      <c r="N57" s="406">
        <f t="shared" si="46"/>
        <v>0.49731946378561542</v>
      </c>
      <c r="O57" s="406">
        <f t="shared" si="5"/>
        <v>6.1119552510193022E-3</v>
      </c>
      <c r="P57">
        <f t="shared" si="6"/>
        <v>0.2</v>
      </c>
      <c r="Q57" s="406">
        <f t="shared" si="34"/>
        <v>0.2061119552510193</v>
      </c>
      <c r="R57" s="9">
        <f t="shared" si="39"/>
        <v>0.13010245601068426</v>
      </c>
      <c r="S57" s="9">
        <f t="shared" si="7"/>
        <v>3.3853298120024072E-5</v>
      </c>
      <c r="T57" s="9">
        <f t="shared" si="40"/>
        <v>3.3853298120024072E-5</v>
      </c>
      <c r="U57" s="406">
        <f t="shared" si="47"/>
        <v>0.29059393785696824</v>
      </c>
      <c r="V57" s="408">
        <f t="shared" si="9"/>
        <v>2.7022347750150252E-4</v>
      </c>
      <c r="W57" s="406">
        <f t="shared" si="41"/>
        <v>2.7022347750150252E-4</v>
      </c>
      <c r="X57" s="406">
        <f t="shared" si="48"/>
        <v>0.29059393785696824</v>
      </c>
      <c r="Y57" s="406">
        <f t="shared" si="11"/>
        <v>1.6888967343843906E-3</v>
      </c>
      <c r="Z57" s="406">
        <f t="shared" si="12"/>
        <v>7.439589850746154E-3</v>
      </c>
      <c r="AA57" s="406">
        <f t="shared" si="13"/>
        <v>4.9687500000000002E-2</v>
      </c>
      <c r="AB57" s="406">
        <f t="shared" si="14"/>
        <v>0</v>
      </c>
      <c r="AC57" s="406">
        <f t="shared" si="49"/>
        <v>5.8833872165353379E-2</v>
      </c>
      <c r="AD57" s="406">
        <f t="shared" si="50"/>
        <v>0.40358618948223757</v>
      </c>
      <c r="AE57" s="406">
        <f t="shared" si="17"/>
        <v>3.2576362468158516E-3</v>
      </c>
      <c r="AF57" s="406">
        <f t="shared" si="18"/>
        <v>1.8720000000000001E-2</v>
      </c>
      <c r="AG57" s="406">
        <f t="shared" si="51"/>
        <v>2.1989097443754657E-2</v>
      </c>
      <c r="AH57" s="406">
        <f t="shared" si="52"/>
        <v>0</v>
      </c>
      <c r="AI57">
        <f t="shared" si="21"/>
        <v>0</v>
      </c>
      <c r="AJ57" s="407">
        <f t="shared" si="22"/>
        <v>2.9980799999999998E-2</v>
      </c>
      <c r="AK57">
        <f t="shared" si="23"/>
        <v>0.03</v>
      </c>
      <c r="AL57" s="407">
        <f t="shared" si="24"/>
        <v>0.13500000000000001</v>
      </c>
      <c r="AM57" s="407">
        <f t="shared" si="25"/>
        <v>9.8855098389982105E-2</v>
      </c>
      <c r="AN57" s="407">
        <f t="shared" si="42"/>
        <v>0.16500000000000001</v>
      </c>
      <c r="AO57" s="407">
        <f t="shared" si="53"/>
        <v>0.48221980163574885</v>
      </c>
      <c r="AP57">
        <f t="shared" si="27"/>
        <v>2.448</v>
      </c>
      <c r="AQ57" s="10">
        <f t="shared" si="43"/>
        <v>0.8354322084075203</v>
      </c>
      <c r="AR57" s="63">
        <f t="shared" si="54"/>
        <v>2.6475242474409022</v>
      </c>
      <c r="AS57" s="63">
        <f t="shared" si="44"/>
        <v>0.87956389775018629</v>
      </c>
      <c r="AT57" s="10"/>
      <c r="AU57">
        <f t="shared" si="45"/>
        <v>83.543220840752028</v>
      </c>
      <c r="BE57" s="28"/>
      <c r="BF57" s="29"/>
    </row>
    <row r="58" spans="1:60" x14ac:dyDescent="0.2">
      <c r="A58" s="33" t="s">
        <v>364</v>
      </c>
      <c r="B58" s="115">
        <f>VfdSky</f>
        <v>0</v>
      </c>
      <c r="C58" s="416" t="s">
        <v>0</v>
      </c>
      <c r="D58" s="31" t="s">
        <v>367</v>
      </c>
      <c r="G58">
        <v>49</v>
      </c>
      <c r="H58">
        <f t="shared" si="0"/>
        <v>0.49</v>
      </c>
      <c r="I58" s="406">
        <f t="shared" si="1"/>
        <v>0.34146019999999999</v>
      </c>
      <c r="J58" s="407">
        <f t="shared" si="2"/>
        <v>0.45072746400000002</v>
      </c>
      <c r="K58" s="407">
        <f t="shared" si="31"/>
        <v>0.71536373200000003</v>
      </c>
      <c r="L58" s="407">
        <f t="shared" si="32"/>
        <v>0.26463626799999995</v>
      </c>
      <c r="M58" s="63">
        <f t="shared" si="3"/>
        <v>0</v>
      </c>
      <c r="N58" s="406">
        <f t="shared" si="46"/>
        <v>0.50698087133571679</v>
      </c>
      <c r="O58" s="406">
        <f t="shared" si="5"/>
        <v>6.3518572642827491E-3</v>
      </c>
      <c r="P58">
        <f t="shared" si="6"/>
        <v>0.2</v>
      </c>
      <c r="Q58" s="406">
        <f t="shared" si="34"/>
        <v>0.20635185726428276</v>
      </c>
      <c r="R58" s="9">
        <f t="shared" si="39"/>
        <v>0.13011381133577868</v>
      </c>
      <c r="S58" s="9">
        <f t="shared" si="7"/>
        <v>3.3859207800645217E-5</v>
      </c>
      <c r="T58" s="9">
        <f t="shared" si="40"/>
        <v>3.3859207800645217E-5</v>
      </c>
      <c r="U58" s="406">
        <f t="shared" si="47"/>
        <v>0.29625222354224606</v>
      </c>
      <c r="V58" s="408">
        <f t="shared" si="9"/>
        <v>2.8084921585191979E-4</v>
      </c>
      <c r="W58" s="406">
        <f t="shared" si="41"/>
        <v>2.8084921585191979E-4</v>
      </c>
      <c r="X58" s="406">
        <f t="shared" si="48"/>
        <v>0.29625222354224606</v>
      </c>
      <c r="Y58" s="406">
        <f t="shared" si="11"/>
        <v>1.7553075990744988E-3</v>
      </c>
      <c r="Z58" s="406">
        <f t="shared" si="12"/>
        <v>7.5882503299418685E-3</v>
      </c>
      <c r="AA58" s="406">
        <f t="shared" si="13"/>
        <v>4.9687500000000002E-2</v>
      </c>
      <c r="AB58" s="406">
        <f t="shared" si="14"/>
        <v>0</v>
      </c>
      <c r="AC58" s="406">
        <f t="shared" si="49"/>
        <v>5.9049715003440743E-2</v>
      </c>
      <c r="AD58" s="406">
        <f t="shared" si="50"/>
        <v>0.41141733549596288</v>
      </c>
      <c r="AE58" s="406">
        <f t="shared" si="17"/>
        <v>3.3852844789319537E-3</v>
      </c>
      <c r="AF58" s="406">
        <f t="shared" si="18"/>
        <v>1.9109999999999999E-2</v>
      </c>
      <c r="AG58" s="406">
        <f t="shared" si="51"/>
        <v>2.2507475552155421E-2</v>
      </c>
      <c r="AH58" s="406">
        <f t="shared" si="52"/>
        <v>0</v>
      </c>
      <c r="AI58">
        <f t="shared" si="21"/>
        <v>0</v>
      </c>
      <c r="AJ58" s="407">
        <f t="shared" si="22"/>
        <v>2.9980400000000001E-2</v>
      </c>
      <c r="AK58">
        <f t="shared" si="23"/>
        <v>0.03</v>
      </c>
      <c r="AL58" s="407">
        <f t="shared" si="24"/>
        <v>0.13500000000000001</v>
      </c>
      <c r="AM58" s="407">
        <f t="shared" si="25"/>
        <v>9.8855098389982105E-2</v>
      </c>
      <c r="AN58" s="407">
        <f t="shared" si="42"/>
        <v>0.16500000000000001</v>
      </c>
      <c r="AO58" s="407">
        <f t="shared" si="53"/>
        <v>0.48320415624353152</v>
      </c>
      <c r="AP58">
        <f t="shared" si="27"/>
        <v>2.4989999999999997</v>
      </c>
      <c r="AQ58" s="10">
        <f t="shared" si="43"/>
        <v>0.83797079913798078</v>
      </c>
      <c r="AR58" s="63">
        <f t="shared" si="54"/>
        <v>2.6572371751548336</v>
      </c>
      <c r="AS58" s="63">
        <f t="shared" si="44"/>
        <v>0.90029902208621682</v>
      </c>
      <c r="AT58" s="10"/>
      <c r="AU58">
        <f t="shared" si="45"/>
        <v>83.797079913798072</v>
      </c>
      <c r="BE58" s="28"/>
      <c r="BF58" s="29"/>
    </row>
    <row r="59" spans="1:60" x14ac:dyDescent="0.2">
      <c r="A59" s="33" t="s">
        <v>365</v>
      </c>
      <c r="B59" s="115">
        <f>QrrSky</f>
        <v>0</v>
      </c>
      <c r="C59" s="416" t="s">
        <v>136</v>
      </c>
      <c r="D59" s="31" t="s">
        <v>368</v>
      </c>
      <c r="G59">
        <v>50</v>
      </c>
      <c r="H59">
        <f t="shared" si="0"/>
        <v>0.5</v>
      </c>
      <c r="I59" s="406">
        <f t="shared" si="1"/>
        <v>0.34148999999999996</v>
      </c>
      <c r="J59" s="407">
        <f t="shared" si="2"/>
        <v>0.45076679999999997</v>
      </c>
      <c r="K59" s="407">
        <f t="shared" si="31"/>
        <v>0.72538340000000001</v>
      </c>
      <c r="L59" s="407">
        <f t="shared" si="32"/>
        <v>0.27461659999999999</v>
      </c>
      <c r="M59" s="63">
        <f t="shared" si="3"/>
        <v>0</v>
      </c>
      <c r="N59" s="406">
        <f t="shared" si="46"/>
        <v>0.51665516449419135</v>
      </c>
      <c r="O59" s="406">
        <f t="shared" si="5"/>
        <v>6.5967137015380418E-3</v>
      </c>
      <c r="P59">
        <f t="shared" si="6"/>
        <v>0.2</v>
      </c>
      <c r="Q59" s="406">
        <f t="shared" si="34"/>
        <v>0.20659671370153807</v>
      </c>
      <c r="R59" s="9">
        <f t="shared" si="39"/>
        <v>0.13012516666087309</v>
      </c>
      <c r="S59" s="9">
        <f t="shared" si="7"/>
        <v>3.3865117997039997E-5</v>
      </c>
      <c r="T59" s="9">
        <f t="shared" si="40"/>
        <v>3.3865117997039997E-5</v>
      </c>
      <c r="U59" s="406">
        <f t="shared" si="47"/>
        <v>0.30191853134977414</v>
      </c>
      <c r="V59" s="408">
        <f t="shared" si="9"/>
        <v>2.9169535863169456E-4</v>
      </c>
      <c r="W59" s="406">
        <f t="shared" si="41"/>
        <v>2.9169535863169456E-4</v>
      </c>
      <c r="X59" s="406">
        <f t="shared" si="48"/>
        <v>0.30191853134977414</v>
      </c>
      <c r="Y59" s="406">
        <f t="shared" si="11"/>
        <v>1.823095991448091E-3</v>
      </c>
      <c r="Z59" s="406">
        <f t="shared" si="12"/>
        <v>7.7369108091375812E-3</v>
      </c>
      <c r="AA59" s="406">
        <f t="shared" si="13"/>
        <v>4.9687500000000002E-2</v>
      </c>
      <c r="AB59" s="406">
        <f t="shared" si="14"/>
        <v>0</v>
      </c>
      <c r="AC59" s="406">
        <f t="shared" si="49"/>
        <v>5.9266955683465419E-2</v>
      </c>
      <c r="AD59" s="406">
        <f t="shared" si="50"/>
        <v>0.41925858300828545</v>
      </c>
      <c r="AE59" s="406">
        <f t="shared" si="17"/>
        <v>3.5155551885223076E-3</v>
      </c>
      <c r="AF59" s="406">
        <f t="shared" si="18"/>
        <v>1.95E-2</v>
      </c>
      <c r="AG59" s="406">
        <f t="shared" si="51"/>
        <v>2.3028508467310495E-2</v>
      </c>
      <c r="AH59" s="406">
        <f t="shared" si="52"/>
        <v>0</v>
      </c>
      <c r="AI59">
        <f t="shared" si="21"/>
        <v>0</v>
      </c>
      <c r="AJ59" s="407">
        <f t="shared" si="22"/>
        <v>2.998E-2</v>
      </c>
      <c r="AK59">
        <f t="shared" si="23"/>
        <v>0.03</v>
      </c>
      <c r="AL59" s="407">
        <f t="shared" si="24"/>
        <v>0.13500000000000001</v>
      </c>
      <c r="AM59" s="407">
        <f t="shared" si="25"/>
        <v>9.8855098389982105E-2</v>
      </c>
      <c r="AN59" s="407">
        <f t="shared" si="42"/>
        <v>0.16500000000000001</v>
      </c>
      <c r="AO59" s="407">
        <f t="shared" si="53"/>
        <v>0.48419773832894275</v>
      </c>
      <c r="AP59">
        <f t="shared" si="27"/>
        <v>2.5499999999999998</v>
      </c>
      <c r="AQ59" s="10">
        <f t="shared" si="43"/>
        <v>0.84041984732491082</v>
      </c>
      <c r="AR59" s="63">
        <f t="shared" si="54"/>
        <v>2.667013005755944</v>
      </c>
      <c r="AS59" s="63">
        <f t="shared" si="44"/>
        <v>0.92114033869241985</v>
      </c>
      <c r="AT59" s="10"/>
      <c r="AU59">
        <f t="shared" si="45"/>
        <v>84.041984732491088</v>
      </c>
      <c r="BE59" s="28"/>
      <c r="BF59" s="29"/>
    </row>
    <row r="60" spans="1:60" x14ac:dyDescent="0.2">
      <c r="A60" s="33" t="s">
        <v>366</v>
      </c>
      <c r="B60" s="115">
        <f>Ireverse</f>
        <v>0</v>
      </c>
      <c r="C60" s="416" t="s">
        <v>135</v>
      </c>
      <c r="D60" s="31" t="s">
        <v>369</v>
      </c>
      <c r="E60" s="2"/>
      <c r="G60">
        <v>51</v>
      </c>
      <c r="H60">
        <f t="shared" si="0"/>
        <v>0.51</v>
      </c>
      <c r="I60" s="406">
        <f t="shared" si="1"/>
        <v>0.34151980000000004</v>
      </c>
      <c r="J60" s="407">
        <f t="shared" si="2"/>
        <v>0.45080613600000002</v>
      </c>
      <c r="K60" s="407">
        <f t="shared" si="31"/>
        <v>0.73540306799999999</v>
      </c>
      <c r="L60" s="407">
        <f t="shared" si="32"/>
        <v>0.28459693200000002</v>
      </c>
      <c r="M60" s="63">
        <f t="shared" si="3"/>
        <v>0</v>
      </c>
      <c r="N60" s="406">
        <f t="shared" si="46"/>
        <v>0.52634163273923551</v>
      </c>
      <c r="O60" s="406">
        <f t="shared" si="5"/>
        <v>6.8465251442537288E-3</v>
      </c>
      <c r="P60">
        <f t="shared" si="6"/>
        <v>0.2</v>
      </c>
      <c r="Q60" s="406">
        <f t="shared" si="34"/>
        <v>0.20684652514425375</v>
      </c>
      <c r="R60" s="9">
        <f t="shared" si="39"/>
        <v>0.13013652198596753</v>
      </c>
      <c r="S60" s="9">
        <f t="shared" si="7"/>
        <v>3.3871028709208426E-5</v>
      </c>
      <c r="T60" s="9">
        <f t="shared" si="40"/>
        <v>3.3871028709208426E-5</v>
      </c>
      <c r="U60" s="406">
        <f t="shared" si="47"/>
        <v>0.30759244700623195</v>
      </c>
      <c r="V60" s="408">
        <f t="shared" si="9"/>
        <v>3.0276196305690118E-4</v>
      </c>
      <c r="W60" s="406">
        <f t="shared" si="41"/>
        <v>3.0276196305690118E-4</v>
      </c>
      <c r="X60" s="406">
        <f t="shared" si="48"/>
        <v>0.30759244700623195</v>
      </c>
      <c r="Y60" s="406">
        <f t="shared" si="11"/>
        <v>1.8922622691056323E-3</v>
      </c>
      <c r="Z60" s="406">
        <f t="shared" si="12"/>
        <v>7.8855712883332957E-3</v>
      </c>
      <c r="AA60" s="406">
        <f t="shared" si="13"/>
        <v>4.9687500000000002E-2</v>
      </c>
      <c r="AB60" s="406">
        <f t="shared" si="14"/>
        <v>0</v>
      </c>
      <c r="AC60" s="406">
        <f t="shared" si="49"/>
        <v>5.9485594779819219E-2</v>
      </c>
      <c r="AD60" s="406">
        <f t="shared" si="50"/>
        <v>0.42710935473169243</v>
      </c>
      <c r="AE60" s="406">
        <f t="shared" si="17"/>
        <v>3.6484480179864538E-3</v>
      </c>
      <c r="AF60" s="406">
        <f t="shared" si="18"/>
        <v>1.9890000000000001E-2</v>
      </c>
      <c r="AG60" s="406">
        <f t="shared" si="51"/>
        <v>2.3552196652417774E-2</v>
      </c>
      <c r="AH60" s="406">
        <f t="shared" si="52"/>
        <v>0</v>
      </c>
      <c r="AI60">
        <f t="shared" si="21"/>
        <v>0</v>
      </c>
      <c r="AJ60" s="407">
        <f t="shared" si="22"/>
        <v>2.9979600000000002E-2</v>
      </c>
      <c r="AK60">
        <f t="shared" si="23"/>
        <v>0.03</v>
      </c>
      <c r="AL60" s="407">
        <f t="shared" si="24"/>
        <v>0.13500000000000001</v>
      </c>
      <c r="AM60" s="407">
        <f t="shared" si="25"/>
        <v>9.8855098389982105E-2</v>
      </c>
      <c r="AN60" s="407">
        <f t="shared" si="42"/>
        <v>0.16500000000000001</v>
      </c>
      <c r="AO60" s="407">
        <f t="shared" si="53"/>
        <v>0.48520054956825687</v>
      </c>
      <c r="AP60">
        <f t="shared" si="27"/>
        <v>2.601</v>
      </c>
      <c r="AQ60" s="10">
        <f t="shared" si="43"/>
        <v>0.84278385614436691</v>
      </c>
      <c r="AR60" s="63">
        <f t="shared" si="54"/>
        <v>2.6768517650918651</v>
      </c>
      <c r="AS60" s="63">
        <f t="shared" si="44"/>
        <v>0.94208786609671091</v>
      </c>
      <c r="AT60" s="10"/>
      <c r="AU60">
        <f t="shared" si="45"/>
        <v>84.278385614436687</v>
      </c>
      <c r="BE60" s="28"/>
      <c r="BF60" s="29"/>
    </row>
    <row r="61" spans="1:60" x14ac:dyDescent="0.2">
      <c r="A61" s="34" t="s">
        <v>209</v>
      </c>
      <c r="B61" s="25" t="s">
        <v>201</v>
      </c>
      <c r="C61" s="34" t="s">
        <v>148</v>
      </c>
      <c r="D61" s="476" t="s">
        <v>390</v>
      </c>
      <c r="G61">
        <v>52</v>
      </c>
      <c r="H61">
        <f t="shared" si="0"/>
        <v>0.52</v>
      </c>
      <c r="I61" s="406">
        <f t="shared" si="1"/>
        <v>0.34154959999999995</v>
      </c>
      <c r="J61" s="407">
        <f t="shared" si="2"/>
        <v>0.45084547199999997</v>
      </c>
      <c r="K61" s="407">
        <f t="shared" si="31"/>
        <v>0.74542273599999997</v>
      </c>
      <c r="L61" s="407">
        <f t="shared" si="32"/>
        <v>0.29457726400000006</v>
      </c>
      <c r="M61" s="63">
        <f t="shared" si="3"/>
        <v>0</v>
      </c>
      <c r="N61" s="406">
        <f t="shared" si="46"/>
        <v>0.53603961604397787</v>
      </c>
      <c r="O61" s="406">
        <f t="shared" si="5"/>
        <v>7.1012921857003305E-3</v>
      </c>
      <c r="P61">
        <f t="shared" si="6"/>
        <v>0.2</v>
      </c>
      <c r="Q61" s="406">
        <f t="shared" si="34"/>
        <v>0.20710129218570034</v>
      </c>
      <c r="R61" s="9">
        <f t="shared" si="39"/>
        <v>0.13014787731106195</v>
      </c>
      <c r="S61" s="9">
        <f t="shared" si="7"/>
        <v>3.3876939937150471E-5</v>
      </c>
      <c r="T61" s="9">
        <f t="shared" si="40"/>
        <v>3.3876939937150471E-5</v>
      </c>
      <c r="U61" s="406">
        <f t="shared" si="47"/>
        <v>0.3132735856761289</v>
      </c>
      <c r="V61" s="408">
        <f t="shared" si="9"/>
        <v>3.1404908634361238E-4</v>
      </c>
      <c r="W61" s="406">
        <f t="shared" si="41"/>
        <v>3.1404908634361238E-4</v>
      </c>
      <c r="X61" s="406">
        <f t="shared" si="48"/>
        <v>0.3132735856761289</v>
      </c>
      <c r="Y61" s="406">
        <f t="shared" si="11"/>
        <v>1.9628067896475775E-3</v>
      </c>
      <c r="Z61" s="406">
        <f t="shared" si="12"/>
        <v>8.0342317675290084E-3</v>
      </c>
      <c r="AA61" s="406">
        <f t="shared" si="13"/>
        <v>4.9687500000000002E-2</v>
      </c>
      <c r="AB61" s="406">
        <f t="shared" si="14"/>
        <v>0</v>
      </c>
      <c r="AC61" s="406">
        <f t="shared" si="49"/>
        <v>5.97056328690602E-2</v>
      </c>
      <c r="AD61" s="406">
        <f t="shared" si="50"/>
        <v>0.43496911440491537</v>
      </c>
      <c r="AE61" s="406">
        <f t="shared" si="17"/>
        <v>3.7839626097239273E-3</v>
      </c>
      <c r="AF61" s="406">
        <f t="shared" si="18"/>
        <v>2.0279999999999999E-2</v>
      </c>
      <c r="AG61" s="406">
        <f t="shared" si="51"/>
        <v>2.4078540577282512E-2</v>
      </c>
      <c r="AH61" s="406">
        <f t="shared" si="52"/>
        <v>0</v>
      </c>
      <c r="AI61">
        <f t="shared" si="21"/>
        <v>0</v>
      </c>
      <c r="AJ61" s="407">
        <f t="shared" si="22"/>
        <v>2.9979200000000001E-2</v>
      </c>
      <c r="AK61">
        <f t="shared" si="23"/>
        <v>0.03</v>
      </c>
      <c r="AL61" s="407">
        <f t="shared" si="24"/>
        <v>0.13500000000000001</v>
      </c>
      <c r="AM61" s="407">
        <f t="shared" si="25"/>
        <v>9.8855098389982105E-2</v>
      </c>
      <c r="AN61" s="407">
        <f t="shared" si="42"/>
        <v>0.16500000000000001</v>
      </c>
      <c r="AO61" s="407">
        <f t="shared" si="53"/>
        <v>0.48621259165832387</v>
      </c>
      <c r="AP61">
        <f t="shared" si="27"/>
        <v>2.6519999999999997</v>
      </c>
      <c r="AQ61" s="10">
        <f t="shared" si="43"/>
        <v>0.84506703180315934</v>
      </c>
      <c r="AR61" s="63">
        <f t="shared" si="54"/>
        <v>2.686753479107709</v>
      </c>
      <c r="AS61" s="63">
        <f t="shared" si="44"/>
        <v>0.96314162309130047</v>
      </c>
      <c r="AT61" s="10"/>
      <c r="AU61">
        <f t="shared" si="45"/>
        <v>84.506703180315938</v>
      </c>
      <c r="BE61" s="28"/>
      <c r="BF61" s="29"/>
    </row>
    <row r="62" spans="1:60" x14ac:dyDescent="0.2">
      <c r="A62" s="33" t="s">
        <v>210</v>
      </c>
      <c r="B62" s="116">
        <v>20</v>
      </c>
      <c r="C62" s="416" t="s">
        <v>380</v>
      </c>
      <c r="D62" s="31" t="s">
        <v>184</v>
      </c>
      <c r="G62">
        <v>53</v>
      </c>
      <c r="H62">
        <f t="shared" si="0"/>
        <v>0.53</v>
      </c>
      <c r="I62" s="406">
        <f t="shared" si="1"/>
        <v>0.34157939999999998</v>
      </c>
      <c r="J62" s="407">
        <f t="shared" si="2"/>
        <v>0.45088480799999997</v>
      </c>
      <c r="K62" s="407">
        <f t="shared" si="31"/>
        <v>0.75544240400000007</v>
      </c>
      <c r="L62" s="407">
        <f t="shared" si="32"/>
        <v>0.30455759600000004</v>
      </c>
      <c r="M62" s="63">
        <f t="shared" si="3"/>
        <v>0</v>
      </c>
      <c r="N62" s="406">
        <f t="shared" si="46"/>
        <v>0.54574850053887747</v>
      </c>
      <c r="O62" s="406">
        <f t="shared" si="5"/>
        <v>7.3610154309539178E-3</v>
      </c>
      <c r="P62">
        <f t="shared" si="6"/>
        <v>0.2</v>
      </c>
      <c r="Q62" s="406">
        <f t="shared" si="34"/>
        <v>0.20736101543095392</v>
      </c>
      <c r="R62" s="9">
        <f t="shared" si="39"/>
        <v>0.13015923263615636</v>
      </c>
      <c r="S62" s="9">
        <f t="shared" si="7"/>
        <v>3.388285168086615E-5</v>
      </c>
      <c r="T62" s="9">
        <f t="shared" si="40"/>
        <v>3.388285168086615E-5</v>
      </c>
      <c r="U62" s="406">
        <f t="shared" si="47"/>
        <v>0.31896158943314729</v>
      </c>
      <c r="V62" s="408">
        <f t="shared" si="9"/>
        <v>3.2555678570790278E-4</v>
      </c>
      <c r="W62" s="406">
        <f t="shared" si="41"/>
        <v>3.2555678570790278E-4</v>
      </c>
      <c r="X62" s="406">
        <f t="shared" si="48"/>
        <v>0.31896158943314729</v>
      </c>
      <c r="Y62" s="406">
        <f t="shared" si="11"/>
        <v>2.0347299106743925E-3</v>
      </c>
      <c r="Z62" s="406">
        <f t="shared" si="12"/>
        <v>8.1828922467247229E-3</v>
      </c>
      <c r="AA62" s="406">
        <f t="shared" si="13"/>
        <v>4.9687500000000002E-2</v>
      </c>
      <c r="AB62" s="406">
        <f t="shared" si="14"/>
        <v>0</v>
      </c>
      <c r="AC62" s="406">
        <f t="shared" si="49"/>
        <v>5.9927070529915048E-2</v>
      </c>
      <c r="AD62" s="406">
        <f t="shared" si="50"/>
        <v>0.44283736326863105</v>
      </c>
      <c r="AE62" s="406">
        <f t="shared" si="17"/>
        <v>3.9220986061342701E-3</v>
      </c>
      <c r="AF62" s="406">
        <f t="shared" si="18"/>
        <v>2.0670000000000001E-2</v>
      </c>
      <c r="AG62" s="406">
        <f t="shared" si="51"/>
        <v>2.4607540718318544E-2</v>
      </c>
      <c r="AH62" s="406">
        <f t="shared" si="52"/>
        <v>0</v>
      </c>
      <c r="AI62">
        <f t="shared" si="21"/>
        <v>0</v>
      </c>
      <c r="AJ62" s="407">
        <f t="shared" si="22"/>
        <v>2.99788E-2</v>
      </c>
      <c r="AK62">
        <f t="shared" si="23"/>
        <v>0.03</v>
      </c>
      <c r="AL62" s="407">
        <f t="shared" si="24"/>
        <v>0.13500000000000001</v>
      </c>
      <c r="AM62" s="407">
        <f t="shared" si="25"/>
        <v>9.8855098389982105E-2</v>
      </c>
      <c r="AN62" s="407">
        <f t="shared" si="42"/>
        <v>0.16500000000000001</v>
      </c>
      <c r="AO62" s="407">
        <f t="shared" si="53"/>
        <v>0.48723386631657628</v>
      </c>
      <c r="AP62">
        <f t="shared" si="27"/>
        <v>2.7029999999999998</v>
      </c>
      <c r="AQ62" s="10">
        <f t="shared" si="43"/>
        <v>0.84727330762144615</v>
      </c>
      <c r="AR62" s="63">
        <f t="shared" si="54"/>
        <v>2.6967181738461772</v>
      </c>
      <c r="AS62" s="63">
        <f t="shared" si="44"/>
        <v>0.98430162873274174</v>
      </c>
      <c r="AT62" s="10"/>
      <c r="AU62">
        <f t="shared" si="45"/>
        <v>84.727330762144618</v>
      </c>
      <c r="BE62" s="28"/>
      <c r="BF62" s="29"/>
    </row>
    <row r="63" spans="1:60" x14ac:dyDescent="0.2">
      <c r="A63" s="33" t="s">
        <v>210</v>
      </c>
      <c r="B63" s="116">
        <v>2</v>
      </c>
      <c r="C63" s="416" t="s">
        <v>278</v>
      </c>
      <c r="D63" s="31" t="s">
        <v>184</v>
      </c>
      <c r="G63">
        <v>54</v>
      </c>
      <c r="H63">
        <f t="shared" si="0"/>
        <v>0.54</v>
      </c>
      <c r="I63" s="406">
        <f t="shared" si="1"/>
        <v>0.34160919999999995</v>
      </c>
      <c r="J63" s="407">
        <f t="shared" si="2"/>
        <v>0.45092414399999997</v>
      </c>
      <c r="K63" s="407">
        <f t="shared" si="31"/>
        <v>0.76546207200000005</v>
      </c>
      <c r="L63" s="407">
        <f t="shared" si="32"/>
        <v>0.31453792800000002</v>
      </c>
      <c r="M63" s="63">
        <f t="shared" si="3"/>
        <v>0</v>
      </c>
      <c r="N63" s="406">
        <f t="shared" si="46"/>
        <v>0.55546771460650868</v>
      </c>
      <c r="O63" s="406">
        <f t="shared" si="5"/>
        <v>7.6256954968996577E-3</v>
      </c>
      <c r="P63">
        <f t="shared" si="6"/>
        <v>0.2</v>
      </c>
      <c r="Q63" s="406">
        <f t="shared" si="34"/>
        <v>0.20762569549689966</v>
      </c>
      <c r="R63" s="9">
        <f t="shared" si="39"/>
        <v>0.13017058796125078</v>
      </c>
      <c r="S63" s="9">
        <f t="shared" si="7"/>
        <v>3.3888763940355451E-5</v>
      </c>
      <c r="T63" s="9">
        <f t="shared" si="40"/>
        <v>3.3888763940355451E-5</v>
      </c>
      <c r="U63" s="406">
        <f t="shared" si="47"/>
        <v>0.3246561249835383</v>
      </c>
      <c r="V63" s="408">
        <f t="shared" si="9"/>
        <v>3.3728511836584593E-4</v>
      </c>
      <c r="W63" s="406">
        <f t="shared" si="41"/>
        <v>3.3728511836584593E-4</v>
      </c>
      <c r="X63" s="406">
        <f t="shared" si="48"/>
        <v>0.3246561249835383</v>
      </c>
      <c r="Y63" s="406">
        <f t="shared" si="11"/>
        <v>2.1080319897865368E-3</v>
      </c>
      <c r="Z63" s="406">
        <f t="shared" si="12"/>
        <v>8.3315527259204374E-3</v>
      </c>
      <c r="AA63" s="406">
        <f t="shared" si="13"/>
        <v>4.9687500000000002E-2</v>
      </c>
      <c r="AB63" s="406">
        <f t="shared" si="14"/>
        <v>0</v>
      </c>
      <c r="AC63" s="406">
        <f t="shared" si="49"/>
        <v>6.0149908343281641E-2</v>
      </c>
      <c r="AD63" s="406">
        <f t="shared" si="50"/>
        <v>0.45071363689248517</v>
      </c>
      <c r="AE63" s="406">
        <f t="shared" si="17"/>
        <v>4.0628556496170197E-3</v>
      </c>
      <c r="AF63" s="406">
        <f t="shared" si="18"/>
        <v>2.1060000000000002E-2</v>
      </c>
      <c r="AG63" s="406">
        <f t="shared" si="51"/>
        <v>2.5139197558549438E-2</v>
      </c>
      <c r="AH63" s="406">
        <f t="shared" si="52"/>
        <v>0</v>
      </c>
      <c r="AI63">
        <f t="shared" si="21"/>
        <v>0</v>
      </c>
      <c r="AJ63" s="407">
        <f t="shared" si="22"/>
        <v>2.9978400000000002E-2</v>
      </c>
      <c r="AK63">
        <f t="shared" si="23"/>
        <v>0.03</v>
      </c>
      <c r="AL63" s="407">
        <f t="shared" si="24"/>
        <v>0.13500000000000001</v>
      </c>
      <c r="AM63" s="407">
        <f t="shared" si="25"/>
        <v>9.8855098389982105E-2</v>
      </c>
      <c r="AN63" s="407">
        <f t="shared" si="42"/>
        <v>0.16500000000000001</v>
      </c>
      <c r="AO63" s="407">
        <f t="shared" si="53"/>
        <v>0.48826437528103694</v>
      </c>
      <c r="AP63">
        <f t="shared" si="27"/>
        <v>2.754</v>
      </c>
      <c r="AQ63" s="10">
        <f t="shared" si="43"/>
        <v>0.84940636580916862</v>
      </c>
      <c r="AR63" s="63">
        <f t="shared" si="54"/>
        <v>2.7067458754476736</v>
      </c>
      <c r="AS63" s="63">
        <f t="shared" si="44"/>
        <v>1.0055679023419775</v>
      </c>
      <c r="AT63" s="10"/>
      <c r="AU63">
        <f t="shared" si="45"/>
        <v>84.940636580916859</v>
      </c>
      <c r="BE63" s="28"/>
      <c r="BF63" s="29"/>
    </row>
    <row r="64" spans="1:60" x14ac:dyDescent="0.2">
      <c r="A64" s="117"/>
      <c r="B64" s="40"/>
      <c r="G64">
        <v>55</v>
      </c>
      <c r="H64">
        <f t="shared" si="0"/>
        <v>0.55000000000000004</v>
      </c>
      <c r="I64" s="406">
        <f t="shared" si="1"/>
        <v>0.34163899999999997</v>
      </c>
      <c r="J64" s="407">
        <f t="shared" si="2"/>
        <v>0.45096348000000003</v>
      </c>
      <c r="K64" s="407">
        <f t="shared" si="31"/>
        <v>0.77548174000000003</v>
      </c>
      <c r="L64" s="407">
        <f t="shared" si="32"/>
        <v>0.32451826000000006</v>
      </c>
      <c r="M64" s="63">
        <f t="shared" si="3"/>
        <v>0</v>
      </c>
      <c r="N64" s="406">
        <f t="shared" si="46"/>
        <v>0.56519672536012555</v>
      </c>
      <c r="O64" s="406">
        <f t="shared" si="5"/>
        <v>7.8953330122355121E-3</v>
      </c>
      <c r="P64">
        <f t="shared" si="6"/>
        <v>0.2</v>
      </c>
      <c r="Q64" s="406">
        <f t="shared" si="34"/>
        <v>0.20789533301223553</v>
      </c>
      <c r="R64" s="9">
        <f t="shared" si="39"/>
        <v>0.13018194328634522</v>
      </c>
      <c r="S64" s="9">
        <f t="shared" si="7"/>
        <v>3.3894676715618401E-5</v>
      </c>
      <c r="T64" s="9">
        <f t="shared" si="40"/>
        <v>3.3894676715618401E-5</v>
      </c>
      <c r="U64" s="406">
        <f t="shared" si="47"/>
        <v>0.33035688161323895</v>
      </c>
      <c r="V64" s="408">
        <f t="shared" si="9"/>
        <v>3.4923414153351546E-4</v>
      </c>
      <c r="W64" s="406">
        <f t="shared" si="41"/>
        <v>3.4923414153351546E-4</v>
      </c>
      <c r="X64" s="406">
        <f t="shared" si="48"/>
        <v>0.33035688161323895</v>
      </c>
      <c r="Y64" s="406">
        <f t="shared" si="11"/>
        <v>2.1827133845844717E-3</v>
      </c>
      <c r="Z64" s="406">
        <f t="shared" si="12"/>
        <v>8.4802132051161501E-3</v>
      </c>
      <c r="AA64" s="406">
        <f t="shared" si="13"/>
        <v>4.9687500000000002E-2</v>
      </c>
      <c r="AB64" s="406">
        <f t="shared" si="14"/>
        <v>0</v>
      </c>
      <c r="AC64" s="406">
        <f t="shared" si="49"/>
        <v>6.0374146892231445E-2</v>
      </c>
      <c r="AD64" s="406">
        <f t="shared" si="50"/>
        <v>0.45859750231394153</v>
      </c>
      <c r="AE64" s="406">
        <f t="shared" si="17"/>
        <v>4.2062333825717124E-3</v>
      </c>
      <c r="AF64" s="406">
        <f t="shared" si="18"/>
        <v>2.145E-2</v>
      </c>
      <c r="AG64" s="406">
        <f t="shared" si="51"/>
        <v>2.5673511587609735E-2</v>
      </c>
      <c r="AH64" s="406">
        <f t="shared" si="52"/>
        <v>0</v>
      </c>
      <c r="AI64">
        <f t="shared" si="21"/>
        <v>0</v>
      </c>
      <c r="AJ64" s="407">
        <f t="shared" si="22"/>
        <v>2.9978000000000001E-2</v>
      </c>
      <c r="AK64">
        <f t="shared" si="23"/>
        <v>0.03</v>
      </c>
      <c r="AL64" s="407">
        <f t="shared" si="24"/>
        <v>0.13500000000000001</v>
      </c>
      <c r="AM64" s="407">
        <f t="shared" si="25"/>
        <v>9.8855098389982105E-2</v>
      </c>
      <c r="AN64" s="407">
        <f t="shared" si="42"/>
        <v>0.16500000000000001</v>
      </c>
      <c r="AO64" s="407">
        <f t="shared" si="53"/>
        <v>0.48930412031032589</v>
      </c>
      <c r="AP64">
        <f t="shared" si="27"/>
        <v>2.8050000000000002</v>
      </c>
      <c r="AQ64" s="10">
        <f t="shared" si="43"/>
        <v>0.85146965718992784</v>
      </c>
      <c r="AR64" s="63">
        <f t="shared" si="54"/>
        <v>2.7168366101504149</v>
      </c>
      <c r="AS64" s="63">
        <f t="shared" si="44"/>
        <v>1.0269404635043893</v>
      </c>
      <c r="AT64" s="10"/>
      <c r="AU64">
        <f t="shared" si="45"/>
        <v>85.146965718992789</v>
      </c>
      <c r="BE64" s="28"/>
      <c r="BF64" s="29"/>
    </row>
    <row r="65" spans="1:58" x14ac:dyDescent="0.2">
      <c r="G65">
        <v>56</v>
      </c>
      <c r="H65">
        <f t="shared" si="0"/>
        <v>0.56000000000000005</v>
      </c>
      <c r="I65" s="406">
        <f t="shared" si="1"/>
        <v>0.34166879999999994</v>
      </c>
      <c r="J65" s="407">
        <f t="shared" si="2"/>
        <v>0.45100281599999992</v>
      </c>
      <c r="K65" s="407">
        <f t="shared" si="31"/>
        <v>0.78550140800000001</v>
      </c>
      <c r="L65" s="407">
        <f t="shared" si="32"/>
        <v>0.33449859200000009</v>
      </c>
      <c r="M65" s="63">
        <f t="shared" si="3"/>
        <v>0</v>
      </c>
      <c r="N65" s="406">
        <f t="shared" si="46"/>
        <v>0.57493503546342306</v>
      </c>
      <c r="O65" s="406">
        <f t="shared" si="5"/>
        <v>8.1699286174759644E-3</v>
      </c>
      <c r="P65">
        <f t="shared" si="6"/>
        <v>0.2</v>
      </c>
      <c r="Q65" s="406">
        <f t="shared" si="34"/>
        <v>0.20816992861747596</v>
      </c>
      <c r="R65" s="9">
        <f t="shared" si="39"/>
        <v>0.13019329861143961</v>
      </c>
      <c r="S65" s="9">
        <f t="shared" si="7"/>
        <v>3.3900590006654966E-5</v>
      </c>
      <c r="T65" s="9">
        <f t="shared" si="40"/>
        <v>3.3900590006654966E-5</v>
      </c>
      <c r="U65" s="406">
        <f t="shared" si="47"/>
        <v>0.33606356933388787</v>
      </c>
      <c r="V65" s="408">
        <f t="shared" si="9"/>
        <v>3.6140391242698515E-4</v>
      </c>
      <c r="W65" s="406">
        <f t="shared" si="41"/>
        <v>3.6140391242698515E-4</v>
      </c>
      <c r="X65" s="406">
        <f t="shared" si="48"/>
        <v>0.33606356933388787</v>
      </c>
      <c r="Y65" s="406">
        <f t="shared" si="11"/>
        <v>2.2587744526686572E-3</v>
      </c>
      <c r="Z65" s="406">
        <f t="shared" si="12"/>
        <v>8.6288736843118628E-3</v>
      </c>
      <c r="AA65" s="406">
        <f t="shared" si="13"/>
        <v>4.9687500000000002E-2</v>
      </c>
      <c r="AB65" s="406">
        <f t="shared" si="14"/>
        <v>0</v>
      </c>
      <c r="AC65" s="406">
        <f t="shared" si="49"/>
        <v>6.0599786762012053E-2</v>
      </c>
      <c r="AD65" s="406">
        <f t="shared" si="50"/>
        <v>0.46648855545435908</v>
      </c>
      <c r="AE65" s="406">
        <f t="shared" si="17"/>
        <v>4.3522314473978928E-3</v>
      </c>
      <c r="AF65" s="406">
        <f t="shared" si="18"/>
        <v>2.1840000000000002E-2</v>
      </c>
      <c r="AG65" s="406">
        <f t="shared" si="51"/>
        <v>2.621048330174627E-2</v>
      </c>
      <c r="AH65" s="406">
        <f t="shared" si="52"/>
        <v>0</v>
      </c>
      <c r="AI65">
        <f t="shared" si="21"/>
        <v>0</v>
      </c>
      <c r="AJ65" s="407">
        <f t="shared" si="22"/>
        <v>2.99776E-2</v>
      </c>
      <c r="AK65">
        <f t="shared" si="23"/>
        <v>0.03</v>
      </c>
      <c r="AL65" s="407">
        <f t="shared" si="24"/>
        <v>0.13500000000000001</v>
      </c>
      <c r="AM65" s="407">
        <f t="shared" si="25"/>
        <v>9.8855098389982105E-2</v>
      </c>
      <c r="AN65" s="407">
        <f t="shared" si="42"/>
        <v>0.16500000000000001</v>
      </c>
      <c r="AO65" s="407">
        <f t="shared" si="53"/>
        <v>0.49035310318366787</v>
      </c>
      <c r="AP65">
        <f t="shared" si="27"/>
        <v>2.8559999999999999</v>
      </c>
      <c r="AQ65" s="10">
        <f t="shared" si="43"/>
        <v>0.85346641909452015</v>
      </c>
      <c r="AR65" s="63">
        <f t="shared" si="54"/>
        <v>2.7269904042905422</v>
      </c>
      <c r="AS65" s="63">
        <f t="shared" si="44"/>
        <v>1.0484193320698507</v>
      </c>
      <c r="AT65" s="10"/>
      <c r="AU65">
        <f t="shared" si="45"/>
        <v>85.346641909452018</v>
      </c>
      <c r="BE65" s="28"/>
      <c r="BF65" s="29"/>
    </row>
    <row r="66" spans="1:58" x14ac:dyDescent="0.2">
      <c r="A66" s="12" t="s">
        <v>149</v>
      </c>
      <c r="B66" s="41"/>
      <c r="C66" s="41"/>
      <c r="G66">
        <v>57</v>
      </c>
      <c r="H66">
        <f t="shared" si="0"/>
        <v>0.56999999999999995</v>
      </c>
      <c r="I66" s="406">
        <f t="shared" si="1"/>
        <v>0.34169859999999996</v>
      </c>
      <c r="J66" s="407">
        <f t="shared" si="2"/>
        <v>0.45104215199999997</v>
      </c>
      <c r="K66" s="407">
        <f t="shared" si="31"/>
        <v>0.79552107599999999</v>
      </c>
      <c r="L66" s="407">
        <f t="shared" si="32"/>
        <v>0.34447892399999996</v>
      </c>
      <c r="M66" s="63">
        <f t="shared" si="3"/>
        <v>0</v>
      </c>
      <c r="N66" s="406">
        <f t="shared" si="46"/>
        <v>0.58468218025413821</v>
      </c>
      <c r="O66" s="406">
        <f t="shared" si="5"/>
        <v>8.4494829649558126E-3</v>
      </c>
      <c r="P66">
        <f t="shared" si="6"/>
        <v>0.2</v>
      </c>
      <c r="Q66" s="406">
        <f t="shared" si="34"/>
        <v>0.20844948296495583</v>
      </c>
      <c r="R66" s="9">
        <f t="shared" si="39"/>
        <v>0.13020465393653405</v>
      </c>
      <c r="S66" s="9">
        <f t="shared" si="7"/>
        <v>3.390650381346518E-5</v>
      </c>
      <c r="T66" s="9">
        <f t="shared" si="40"/>
        <v>3.390650381346518E-5</v>
      </c>
      <c r="U66" s="406">
        <f t="shared" si="47"/>
        <v>0.34177591720596384</v>
      </c>
      <c r="V66" s="408">
        <f t="shared" si="9"/>
        <v>3.7379448826232911E-4</v>
      </c>
      <c r="W66" s="406">
        <f t="shared" si="41"/>
        <v>3.7379448826232911E-4</v>
      </c>
      <c r="X66" s="406">
        <f t="shared" si="48"/>
        <v>0.34177591720596384</v>
      </c>
      <c r="Y66" s="406">
        <f t="shared" si="11"/>
        <v>2.3362155516395569E-3</v>
      </c>
      <c r="Z66" s="406">
        <f t="shared" si="12"/>
        <v>8.7775341635075756E-3</v>
      </c>
      <c r="AA66" s="406">
        <f t="shared" si="13"/>
        <v>4.9687500000000002E-2</v>
      </c>
      <c r="AB66" s="406">
        <f t="shared" si="14"/>
        <v>0</v>
      </c>
      <c r="AC66" s="406">
        <f t="shared" si="49"/>
        <v>6.0826828540049734E-2</v>
      </c>
      <c r="AD66" s="406">
        <f t="shared" si="50"/>
        <v>0.4743864187819406</v>
      </c>
      <c r="AE66" s="406">
        <f t="shared" si="17"/>
        <v>4.5008494864950946E-3</v>
      </c>
      <c r="AF66" s="406">
        <f t="shared" si="18"/>
        <v>2.223E-2</v>
      </c>
      <c r="AG66" s="406">
        <f t="shared" si="51"/>
        <v>2.6750113203819433E-2</v>
      </c>
      <c r="AH66" s="406">
        <f t="shared" si="52"/>
        <v>0</v>
      </c>
      <c r="AI66">
        <f t="shared" si="21"/>
        <v>0</v>
      </c>
      <c r="AJ66" s="407">
        <f t="shared" si="22"/>
        <v>2.9977199999999999E-2</v>
      </c>
      <c r="AK66">
        <f t="shared" si="23"/>
        <v>0.03</v>
      </c>
      <c r="AL66" s="407">
        <f t="shared" si="24"/>
        <v>0.13500000000000001</v>
      </c>
      <c r="AM66" s="407">
        <f t="shared" si="25"/>
        <v>9.8855098389982105E-2</v>
      </c>
      <c r="AN66" s="407">
        <f t="shared" si="42"/>
        <v>0.16500000000000001</v>
      </c>
      <c r="AO66" s="407">
        <f t="shared" si="53"/>
        <v>0.49141132570090074</v>
      </c>
      <c r="AP66">
        <f t="shared" si="27"/>
        <v>2.9069999999999996</v>
      </c>
      <c r="AQ66" s="10">
        <f t="shared" si="43"/>
        <v>0.85539969161927443</v>
      </c>
      <c r="AR66" s="63">
        <f t="shared" si="54"/>
        <v>2.7372072843022379</v>
      </c>
      <c r="AS66" s="63">
        <f t="shared" si="44"/>
        <v>1.0700045281527772</v>
      </c>
      <c r="AT66" s="10"/>
      <c r="AU66">
        <f t="shared" si="45"/>
        <v>85.539969161927445</v>
      </c>
      <c r="BE66" s="28"/>
      <c r="BF66" s="29"/>
    </row>
    <row r="67" spans="1:58" x14ac:dyDescent="0.2">
      <c r="A67" s="24" t="s">
        <v>125</v>
      </c>
      <c r="B67" s="25" t="s">
        <v>8</v>
      </c>
      <c r="C67" s="25" t="s">
        <v>148</v>
      </c>
      <c r="G67">
        <v>58</v>
      </c>
      <c r="H67">
        <f t="shared" si="0"/>
        <v>0.57999999999999996</v>
      </c>
      <c r="I67" s="406">
        <f t="shared" si="1"/>
        <v>0.34172839999999993</v>
      </c>
      <c r="J67" s="407">
        <f t="shared" si="2"/>
        <v>0.45108148799999992</v>
      </c>
      <c r="K67" s="407">
        <f t="shared" si="31"/>
        <v>0.80554074399999998</v>
      </c>
      <c r="L67" s="407">
        <f t="shared" si="32"/>
        <v>0.354459256</v>
      </c>
      <c r="M67" s="63">
        <f t="shared" si="3"/>
        <v>0</v>
      </c>
      <c r="N67" s="406">
        <f t="shared" si="46"/>
        <v>0.59443772513865956</v>
      </c>
      <c r="O67" s="406">
        <f t="shared" si="5"/>
        <v>8.7339967188340729E-3</v>
      </c>
      <c r="P67">
        <f t="shared" si="6"/>
        <v>0.2</v>
      </c>
      <c r="Q67" s="406">
        <f t="shared" si="34"/>
        <v>0.20873399671883408</v>
      </c>
      <c r="R67" s="9">
        <f t="shared" si="39"/>
        <v>0.13021600926162846</v>
      </c>
      <c r="S67" s="9">
        <f t="shared" si="7"/>
        <v>3.3912418136049023E-5</v>
      </c>
      <c r="T67" s="9">
        <f t="shared" si="40"/>
        <v>3.3912418136049023E-5</v>
      </c>
      <c r="U67" s="406">
        <f t="shared" si="47"/>
        <v>0.34749367181990737</v>
      </c>
      <c r="V67" s="408">
        <f t="shared" si="9"/>
        <v>3.864059262556208E-4</v>
      </c>
      <c r="W67" s="406">
        <f t="shared" si="41"/>
        <v>3.864059262556208E-4</v>
      </c>
      <c r="X67" s="406">
        <f t="shared" si="48"/>
        <v>0.34749367181990737</v>
      </c>
      <c r="Y67" s="406">
        <f t="shared" si="11"/>
        <v>2.4150370390976297E-3</v>
      </c>
      <c r="Z67" s="406">
        <f t="shared" si="12"/>
        <v>8.92619464270329E-3</v>
      </c>
      <c r="AA67" s="406">
        <f t="shared" si="13"/>
        <v>4.9687500000000002E-2</v>
      </c>
      <c r="AB67" s="406">
        <f t="shared" si="14"/>
        <v>0</v>
      </c>
      <c r="AC67" s="406">
        <f t="shared" si="49"/>
        <v>6.1055272815951821E-2</v>
      </c>
      <c r="AD67" s="406">
        <f t="shared" si="50"/>
        <v>0.48229073919487925</v>
      </c>
      <c r="AE67" s="406">
        <f t="shared" si="17"/>
        <v>4.6520871422628604E-3</v>
      </c>
      <c r="AF67" s="406">
        <f t="shared" si="18"/>
        <v>2.2619999999999998E-2</v>
      </c>
      <c r="AG67" s="406">
        <f t="shared" si="51"/>
        <v>2.7292401803304559E-2</v>
      </c>
      <c r="AH67" s="406">
        <f t="shared" si="52"/>
        <v>0</v>
      </c>
      <c r="AI67">
        <f t="shared" si="21"/>
        <v>0</v>
      </c>
      <c r="AJ67" s="407">
        <f t="shared" si="22"/>
        <v>2.9976800000000001E-2</v>
      </c>
      <c r="AK67">
        <f t="shared" si="23"/>
        <v>0.03</v>
      </c>
      <c r="AL67" s="407">
        <f t="shared" si="24"/>
        <v>0.13500000000000001</v>
      </c>
      <c r="AM67" s="407">
        <f t="shared" si="25"/>
        <v>9.8855098389982105E-2</v>
      </c>
      <c r="AN67" s="407">
        <f t="shared" si="42"/>
        <v>0.16500000000000001</v>
      </c>
      <c r="AO67" s="407">
        <f t="shared" si="53"/>
        <v>0.49247878968248215</v>
      </c>
      <c r="AP67">
        <f t="shared" si="27"/>
        <v>2.9579999999999997</v>
      </c>
      <c r="AQ67" s="10">
        <f t="shared" si="43"/>
        <v>0.85727233242091572</v>
      </c>
      <c r="AR67" s="63">
        <f t="shared" si="54"/>
        <v>2.7474872767178318</v>
      </c>
      <c r="AS67" s="63">
        <f t="shared" si="44"/>
        <v>1.0916960721321824</v>
      </c>
      <c r="AT67" s="10"/>
      <c r="AU67">
        <f t="shared" si="45"/>
        <v>85.727233242091572</v>
      </c>
      <c r="BE67" s="28"/>
      <c r="BF67" s="29"/>
    </row>
    <row r="68" spans="1:58" x14ac:dyDescent="0.2">
      <c r="A68" s="42" t="s">
        <v>385</v>
      </c>
      <c r="B68" s="409">
        <f>I109</f>
        <v>0.34297999999999995</v>
      </c>
      <c r="C68" s="31" t="s">
        <v>23</v>
      </c>
      <c r="G68">
        <v>59</v>
      </c>
      <c r="H68">
        <f t="shared" si="0"/>
        <v>0.59</v>
      </c>
      <c r="I68" s="406">
        <f t="shared" si="1"/>
        <v>0.34175820000000001</v>
      </c>
      <c r="J68" s="407">
        <f t="shared" si="2"/>
        <v>0.45112082400000003</v>
      </c>
      <c r="K68" s="407">
        <f t="shared" si="31"/>
        <v>0.81556041199999996</v>
      </c>
      <c r="L68" s="407">
        <f t="shared" si="32"/>
        <v>0.36443958799999998</v>
      </c>
      <c r="M68" s="63">
        <f t="shared" si="3"/>
        <v>0</v>
      </c>
      <c r="N68" s="406">
        <f t="shared" si="46"/>
        <v>0.60420126322873835</v>
      </c>
      <c r="O68" s="406">
        <f t="shared" si="5"/>
        <v>9.0234705550978969E-3</v>
      </c>
      <c r="P68">
        <f t="shared" si="6"/>
        <v>0.2</v>
      </c>
      <c r="Q68" s="406">
        <f t="shared" si="34"/>
        <v>0.2090234705550979</v>
      </c>
      <c r="R68" s="9">
        <f t="shared" si="39"/>
        <v>0.1302273645867229</v>
      </c>
      <c r="S68" s="9">
        <f t="shared" si="7"/>
        <v>3.39183329744065E-5</v>
      </c>
      <c r="T68" s="9">
        <f t="shared" si="40"/>
        <v>3.39183329744065E-5</v>
      </c>
      <c r="U68" s="406">
        <f t="shared" si="47"/>
        <v>0.35321659591837823</v>
      </c>
      <c r="V68" s="408">
        <f t="shared" si="9"/>
        <v>3.9923828362293406E-4</v>
      </c>
      <c r="W68" s="406">
        <f t="shared" si="41"/>
        <v>3.9923828362293406E-4</v>
      </c>
      <c r="X68" s="406">
        <f t="shared" si="48"/>
        <v>0.35321659591837823</v>
      </c>
      <c r="Y68" s="406">
        <f t="shared" si="11"/>
        <v>2.4952392726433378E-3</v>
      </c>
      <c r="Z68" s="406">
        <f t="shared" si="12"/>
        <v>9.0748551218990028E-3</v>
      </c>
      <c r="AA68" s="406">
        <f t="shared" si="13"/>
        <v>4.9687500000000002E-2</v>
      </c>
      <c r="AB68" s="406">
        <f t="shared" si="14"/>
        <v>0</v>
      </c>
      <c r="AC68" s="406">
        <f t="shared" si="49"/>
        <v>6.1285120181509348E-2</v>
      </c>
      <c r="AD68" s="406">
        <f t="shared" si="50"/>
        <v>0.49020118610121322</v>
      </c>
      <c r="AE68" s="406">
        <f t="shared" si="17"/>
        <v>4.8059440571007256E-3</v>
      </c>
      <c r="AF68" s="406">
        <f t="shared" si="18"/>
        <v>2.3009999999999999E-2</v>
      </c>
      <c r="AG68" s="406">
        <f t="shared" si="51"/>
        <v>2.7837349616293344E-2</v>
      </c>
      <c r="AH68" s="406">
        <f t="shared" si="52"/>
        <v>0</v>
      </c>
      <c r="AI68">
        <f t="shared" si="21"/>
        <v>0</v>
      </c>
      <c r="AJ68" s="407">
        <f t="shared" si="22"/>
        <v>2.9976400000000004E-2</v>
      </c>
      <c r="AK68">
        <f t="shared" si="23"/>
        <v>0.03</v>
      </c>
      <c r="AL68" s="407">
        <f t="shared" si="24"/>
        <v>0.13500000000000001</v>
      </c>
      <c r="AM68" s="407">
        <f t="shared" si="25"/>
        <v>9.8855098389982105E-2</v>
      </c>
      <c r="AN68" s="407">
        <f t="shared" si="42"/>
        <v>0.16500000000000001</v>
      </c>
      <c r="AO68" s="407">
        <f t="shared" si="53"/>
        <v>0.49355549696949796</v>
      </c>
      <c r="AP68">
        <f t="shared" si="27"/>
        <v>3.0089999999999995</v>
      </c>
      <c r="AQ68" s="10">
        <f t="shared" si="43"/>
        <v>0.85908703019936861</v>
      </c>
      <c r="AR68" s="63">
        <f t="shared" si="54"/>
        <v>2.7578304081679206</v>
      </c>
      <c r="AS68" s="63">
        <f t="shared" si="44"/>
        <v>1.1134939846517338</v>
      </c>
      <c r="AT68" s="10"/>
      <c r="AU68">
        <f t="shared" si="45"/>
        <v>85.908703019936866</v>
      </c>
      <c r="BE68" s="28"/>
      <c r="BF68" s="29"/>
    </row>
    <row r="69" spans="1:58" x14ac:dyDescent="0.2">
      <c r="A69" s="33" t="s">
        <v>151</v>
      </c>
      <c r="B69" s="409">
        <f>1-B68</f>
        <v>0.65702000000000005</v>
      </c>
      <c r="C69" s="31" t="s">
        <v>23</v>
      </c>
      <c r="G69">
        <v>60</v>
      </c>
      <c r="H69">
        <f t="shared" si="0"/>
        <v>0.6</v>
      </c>
      <c r="I69" s="406">
        <f t="shared" si="1"/>
        <v>0.34178799999999998</v>
      </c>
      <c r="J69" s="407">
        <f t="shared" si="2"/>
        <v>0.45116015999999998</v>
      </c>
      <c r="K69" s="407">
        <f t="shared" si="31"/>
        <v>0.82558007999999994</v>
      </c>
      <c r="L69" s="407">
        <f t="shared" si="32"/>
        <v>0.37441992000000002</v>
      </c>
      <c r="M69" s="63">
        <f t="shared" si="3"/>
        <v>0</v>
      </c>
      <c r="N69" s="406">
        <f t="shared" si="46"/>
        <v>0.61397241319481832</v>
      </c>
      <c r="O69" s="406">
        <f t="shared" si="5"/>
        <v>9.3179051615666295E-3</v>
      </c>
      <c r="P69">
        <f t="shared" si="6"/>
        <v>0.2</v>
      </c>
      <c r="Q69" s="406">
        <f t="shared" si="34"/>
        <v>0.20931790516156665</v>
      </c>
      <c r="R69" s="9">
        <f t="shared" si="39"/>
        <v>0.13023871991181732</v>
      </c>
      <c r="S69" s="9">
        <f t="shared" si="7"/>
        <v>3.3924248328537606E-5</v>
      </c>
      <c r="T69" s="9">
        <f t="shared" si="40"/>
        <v>3.3924248328537606E-5</v>
      </c>
      <c r="U69" s="406">
        <f t="shared" si="47"/>
        <v>0.35894446714478978</v>
      </c>
      <c r="V69" s="408">
        <f t="shared" si="9"/>
        <v>4.1229161758034262E-4</v>
      </c>
      <c r="W69" s="406">
        <f t="shared" si="41"/>
        <v>4.1229161758034262E-4</v>
      </c>
      <c r="X69" s="406">
        <f t="shared" si="48"/>
        <v>0.35894446714478978</v>
      </c>
      <c r="Y69" s="406">
        <f t="shared" si="11"/>
        <v>2.5768226098771413E-3</v>
      </c>
      <c r="Z69" s="406">
        <f t="shared" si="12"/>
        <v>9.2235156010947172E-3</v>
      </c>
      <c r="AA69" s="406">
        <f t="shared" si="13"/>
        <v>4.9687500000000002E-2</v>
      </c>
      <c r="AB69" s="406">
        <f t="shared" si="14"/>
        <v>0</v>
      </c>
      <c r="AC69" s="406">
        <f t="shared" si="49"/>
        <v>6.1516371230699536E-2</v>
      </c>
      <c r="AD69" s="406">
        <f t="shared" si="50"/>
        <v>0.4981174496746843</v>
      </c>
      <c r="AE69" s="406">
        <f t="shared" si="17"/>
        <v>4.9624198734082329E-3</v>
      </c>
      <c r="AF69" s="406">
        <f t="shared" si="18"/>
        <v>2.3400000000000001E-2</v>
      </c>
      <c r="AG69" s="406">
        <f t="shared" si="51"/>
        <v>2.8384957165495259E-2</v>
      </c>
      <c r="AH69" s="406">
        <f t="shared" si="52"/>
        <v>0</v>
      </c>
      <c r="AI69">
        <f t="shared" si="21"/>
        <v>0</v>
      </c>
      <c r="AJ69" s="407">
        <f t="shared" si="22"/>
        <v>2.9975999999999999E-2</v>
      </c>
      <c r="AK69">
        <f t="shared" si="23"/>
        <v>0.03</v>
      </c>
      <c r="AL69" s="407">
        <f t="shared" si="24"/>
        <v>0.13500000000000001</v>
      </c>
      <c r="AM69" s="407">
        <f t="shared" si="25"/>
        <v>9.8855098389982105E-2</v>
      </c>
      <c r="AN69" s="407">
        <f t="shared" si="42"/>
        <v>0.16500000000000001</v>
      </c>
      <c r="AO69" s="407">
        <f t="shared" si="53"/>
        <v>0.49464144942367039</v>
      </c>
      <c r="AP69">
        <f t="shared" si="27"/>
        <v>3.0599999999999996</v>
      </c>
      <c r="AQ69" s="10">
        <f t="shared" si="43"/>
        <v>0.86084631700227632</v>
      </c>
      <c r="AR69" s="63">
        <f t="shared" si="54"/>
        <v>2.7682367053814789</v>
      </c>
      <c r="AS69" s="63">
        <f t="shared" si="44"/>
        <v>1.1353982866198105</v>
      </c>
      <c r="AT69" s="10"/>
      <c r="AU69">
        <f t="shared" si="45"/>
        <v>86.084631700227632</v>
      </c>
      <c r="BE69" s="28"/>
      <c r="BF69" s="29"/>
    </row>
    <row r="70" spans="1:58" x14ac:dyDescent="0.2">
      <c r="A70" s="43" t="s">
        <v>386</v>
      </c>
      <c r="B70" s="409">
        <f>Ipp</f>
        <v>0.65702000000000005</v>
      </c>
      <c r="C70" s="31" t="s">
        <v>2</v>
      </c>
      <c r="G70">
        <v>61</v>
      </c>
      <c r="H70">
        <f t="shared" si="0"/>
        <v>0.61</v>
      </c>
      <c r="I70" s="406">
        <f t="shared" si="1"/>
        <v>0.3418178</v>
      </c>
      <c r="J70" s="407">
        <f t="shared" si="2"/>
        <v>0.45119949600000003</v>
      </c>
      <c r="K70" s="407">
        <f t="shared" si="31"/>
        <v>0.83559974800000003</v>
      </c>
      <c r="L70" s="407">
        <f t="shared" si="32"/>
        <v>0.38440025199999994</v>
      </c>
      <c r="M70" s="63">
        <f t="shared" si="3"/>
        <v>0</v>
      </c>
      <c r="N70" s="406">
        <f t="shared" si="46"/>
        <v>0.62375081731346949</v>
      </c>
      <c r="O70" s="406">
        <f t="shared" si="5"/>
        <v>9.6173012378958575E-3</v>
      </c>
      <c r="P70">
        <f t="shared" si="6"/>
        <v>0.2</v>
      </c>
      <c r="Q70" s="406">
        <f t="shared" si="34"/>
        <v>0.20961730123789588</v>
      </c>
      <c r="R70" s="9">
        <f t="shared" si="39"/>
        <v>0.13025007523691176</v>
      </c>
      <c r="S70" s="9">
        <f t="shared" si="7"/>
        <v>3.3930164198442354E-5</v>
      </c>
      <c r="T70" s="9">
        <f t="shared" si="40"/>
        <v>3.3930164198442354E-5</v>
      </c>
      <c r="U70" s="406">
        <f t="shared" si="47"/>
        <v>0.36467707690499984</v>
      </c>
      <c r="V70" s="408">
        <f t="shared" si="9"/>
        <v>4.2556598534392053E-4</v>
      </c>
      <c r="W70" s="406">
        <f t="shared" si="41"/>
        <v>4.2556598534392053E-4</v>
      </c>
      <c r="X70" s="406">
        <f t="shared" si="48"/>
        <v>0.36467707690499984</v>
      </c>
      <c r="Y70" s="406">
        <f t="shared" si="11"/>
        <v>2.6597874083995033E-3</v>
      </c>
      <c r="Z70" s="406">
        <f t="shared" si="12"/>
        <v>9.3721760802904317E-3</v>
      </c>
      <c r="AA70" s="406">
        <f t="shared" si="13"/>
        <v>4.9687500000000002E-2</v>
      </c>
      <c r="AB70" s="406">
        <f t="shared" si="14"/>
        <v>0</v>
      </c>
      <c r="AC70" s="406">
        <f t="shared" si="49"/>
        <v>6.1749026559688329E-2</v>
      </c>
      <c r="AD70" s="406">
        <f t="shared" si="50"/>
        <v>0.50603923926830618</v>
      </c>
      <c r="AE70" s="406">
        <f t="shared" si="17"/>
        <v>5.1215142335849211E-3</v>
      </c>
      <c r="AF70" s="406">
        <f t="shared" si="18"/>
        <v>2.3789999999999999E-2</v>
      </c>
      <c r="AG70" s="406">
        <f t="shared" si="51"/>
        <v>2.8935224980239045E-2</v>
      </c>
      <c r="AH70" s="406">
        <f t="shared" si="52"/>
        <v>0</v>
      </c>
      <c r="AI70">
        <f t="shared" si="21"/>
        <v>0</v>
      </c>
      <c r="AJ70" s="407">
        <f t="shared" si="22"/>
        <v>2.9975600000000002E-2</v>
      </c>
      <c r="AK70">
        <f t="shared" si="23"/>
        <v>0.03</v>
      </c>
      <c r="AL70" s="407">
        <f t="shared" si="24"/>
        <v>0.13500000000000001</v>
      </c>
      <c r="AM70" s="407">
        <f t="shared" si="25"/>
        <v>9.8855098389982105E-2</v>
      </c>
      <c r="AN70" s="407">
        <f t="shared" si="42"/>
        <v>0.16500000000000001</v>
      </c>
      <c r="AO70" s="407">
        <f t="shared" si="53"/>
        <v>0.49573664892736558</v>
      </c>
      <c r="AP70">
        <f t="shared" si="27"/>
        <v>3.1109999999999998</v>
      </c>
      <c r="AQ70" s="10">
        <f t="shared" si="43"/>
        <v>0.86255257946964425</v>
      </c>
      <c r="AR70" s="63">
        <f t="shared" si="54"/>
        <v>2.7787061951859746</v>
      </c>
      <c r="AS70" s="63">
        <f t="shared" si="44"/>
        <v>1.1574089992095618</v>
      </c>
      <c r="AT70" s="10"/>
      <c r="AU70">
        <f t="shared" si="45"/>
        <v>86.25525794696442</v>
      </c>
      <c r="BE70" s="28"/>
      <c r="BF70" s="29"/>
    </row>
    <row r="71" spans="1:58" x14ac:dyDescent="0.2">
      <c r="A71" s="24" t="s">
        <v>129</v>
      </c>
      <c r="B71" s="25" t="s">
        <v>8</v>
      </c>
      <c r="C71" s="27" t="s">
        <v>148</v>
      </c>
      <c r="G71">
        <v>62</v>
      </c>
      <c r="H71">
        <f t="shared" si="0"/>
        <v>0.62</v>
      </c>
      <c r="I71" s="406">
        <f t="shared" si="1"/>
        <v>0.34184760000000003</v>
      </c>
      <c r="J71" s="407">
        <f t="shared" si="2"/>
        <v>0.45123883200000009</v>
      </c>
      <c r="K71" s="407">
        <f t="shared" si="31"/>
        <v>0.84561941600000001</v>
      </c>
      <c r="L71" s="407">
        <f t="shared" si="32"/>
        <v>0.39438058399999998</v>
      </c>
      <c r="M71" s="63">
        <f t="shared" si="3"/>
        <v>0</v>
      </c>
      <c r="N71" s="406">
        <f t="shared" si="46"/>
        <v>0.63353613968901601</v>
      </c>
      <c r="O71" s="406">
        <f t="shared" si="5"/>
        <v>9.9216594955815907E-3</v>
      </c>
      <c r="P71">
        <f t="shared" si="6"/>
        <v>0.2</v>
      </c>
      <c r="Q71" s="406">
        <f t="shared" si="34"/>
        <v>0.20992165949558161</v>
      </c>
      <c r="R71" s="9">
        <f t="shared" si="39"/>
        <v>0.1302614305620062</v>
      </c>
      <c r="S71" s="9">
        <f t="shared" si="7"/>
        <v>3.3936080584120724E-5</v>
      </c>
      <c r="T71" s="9">
        <f t="shared" si="40"/>
        <v>3.3936080584120724E-5</v>
      </c>
      <c r="U71" s="406">
        <f t="shared" si="47"/>
        <v>0.37041422933054852</v>
      </c>
      <c r="V71" s="408">
        <f t="shared" si="9"/>
        <v>4.3906144412974142E-4</v>
      </c>
      <c r="W71" s="406">
        <f t="shared" si="41"/>
        <v>4.3906144412974142E-4</v>
      </c>
      <c r="X71" s="406">
        <f t="shared" si="48"/>
        <v>0.37041422933054852</v>
      </c>
      <c r="Y71" s="406">
        <f t="shared" si="11"/>
        <v>2.7441340258108839E-3</v>
      </c>
      <c r="Z71" s="406">
        <f t="shared" si="12"/>
        <v>9.5208365594861444E-3</v>
      </c>
      <c r="AA71" s="406">
        <f t="shared" si="13"/>
        <v>4.9687500000000002E-2</v>
      </c>
      <c r="AB71" s="406">
        <f t="shared" si="14"/>
        <v>0</v>
      </c>
      <c r="AC71" s="406">
        <f t="shared" si="49"/>
        <v>6.198308676683293E-2</v>
      </c>
      <c r="AD71" s="406">
        <f t="shared" si="50"/>
        <v>0.51396628196946559</v>
      </c>
      <c r="AE71" s="406">
        <f t="shared" si="17"/>
        <v>5.2832267800303244E-3</v>
      </c>
      <c r="AF71" s="406">
        <f t="shared" si="18"/>
        <v>2.418E-2</v>
      </c>
      <c r="AG71" s="406">
        <f t="shared" si="51"/>
        <v>2.9488153596474252E-2</v>
      </c>
      <c r="AH71" s="406">
        <f t="shared" si="52"/>
        <v>0</v>
      </c>
      <c r="AI71">
        <f t="shared" si="21"/>
        <v>0</v>
      </c>
      <c r="AJ71" s="407">
        <f t="shared" si="22"/>
        <v>2.99752E-2</v>
      </c>
      <c r="AK71">
        <f t="shared" si="23"/>
        <v>0.03</v>
      </c>
      <c r="AL71" s="407">
        <f t="shared" si="24"/>
        <v>0.13500000000000001</v>
      </c>
      <c r="AM71" s="407">
        <f t="shared" si="25"/>
        <v>9.8855098389982105E-2</v>
      </c>
      <c r="AN71" s="407">
        <f t="shared" si="42"/>
        <v>0.16500000000000001</v>
      </c>
      <c r="AO71" s="407">
        <f t="shared" si="53"/>
        <v>0.49684109738360271</v>
      </c>
      <c r="AP71">
        <f t="shared" si="27"/>
        <v>3.1619999999999999</v>
      </c>
      <c r="AQ71" s="10">
        <f t="shared" si="43"/>
        <v>0.8642080691236117</v>
      </c>
      <c r="AR71" s="63">
        <f t="shared" si="54"/>
        <v>2.7892389045074819</v>
      </c>
      <c r="AS71" s="63">
        <f t="shared" si="44"/>
        <v>1.1795261438589701</v>
      </c>
      <c r="AT71" s="10"/>
      <c r="AU71">
        <f t="shared" si="45"/>
        <v>86.420806912361172</v>
      </c>
      <c r="BE71" s="28"/>
      <c r="BF71" s="29"/>
    </row>
    <row r="72" spans="1:58" x14ac:dyDescent="0.2">
      <c r="A72" s="42" t="s">
        <v>166</v>
      </c>
      <c r="B72" s="409">
        <f>(QgdTop+QgsTop/2)*(RdsonDRT+RGateTop)/(Vdd-VspTop)*1000000000</f>
        <v>1.8012219959266804</v>
      </c>
      <c r="C72" s="31" t="s">
        <v>147</v>
      </c>
      <c r="G72">
        <v>63</v>
      </c>
      <c r="H72">
        <f t="shared" si="0"/>
        <v>0.63</v>
      </c>
      <c r="I72" s="406">
        <f t="shared" si="1"/>
        <v>0.34187739999999994</v>
      </c>
      <c r="J72" s="407">
        <f t="shared" si="2"/>
        <v>0.45127816799999992</v>
      </c>
      <c r="K72" s="407">
        <f t="shared" si="31"/>
        <v>0.85563908399999999</v>
      </c>
      <c r="L72" s="407">
        <f t="shared" si="32"/>
        <v>0.40436091600000001</v>
      </c>
      <c r="M72" s="63">
        <f t="shared" si="3"/>
        <v>0</v>
      </c>
      <c r="N72" s="406">
        <f t="shared" si="46"/>
        <v>0.64332806463171366</v>
      </c>
      <c r="O72" s="406">
        <f t="shared" si="5"/>
        <v>1.0230980657964489E-2</v>
      </c>
      <c r="P72">
        <f t="shared" si="6"/>
        <v>0.2</v>
      </c>
      <c r="Q72" s="406">
        <f t="shared" si="34"/>
        <v>0.2102309806579645</v>
      </c>
      <c r="R72" s="9">
        <f t="shared" si="39"/>
        <v>0.13027278588710056</v>
      </c>
      <c r="S72" s="9">
        <f t="shared" si="7"/>
        <v>3.3941997485572696E-5</v>
      </c>
      <c r="T72" s="9">
        <f t="shared" si="40"/>
        <v>3.3941997485572696E-5</v>
      </c>
      <c r="U72" s="406">
        <f t="shared" si="47"/>
        <v>0.37615574033315913</v>
      </c>
      <c r="V72" s="408">
        <f t="shared" si="9"/>
        <v>4.5277805115387859E-4</v>
      </c>
      <c r="W72" s="406">
        <f t="shared" si="41"/>
        <v>4.5277805115387859E-4</v>
      </c>
      <c r="X72" s="406">
        <f t="shared" si="48"/>
        <v>0.37615574033315913</v>
      </c>
      <c r="Y72" s="406">
        <f t="shared" si="11"/>
        <v>2.829862819711741E-3</v>
      </c>
      <c r="Z72" s="406">
        <f t="shared" si="12"/>
        <v>9.6694970386818589E-3</v>
      </c>
      <c r="AA72" s="406">
        <f t="shared" si="13"/>
        <v>4.9687500000000002E-2</v>
      </c>
      <c r="AB72" s="406">
        <f t="shared" si="14"/>
        <v>0</v>
      </c>
      <c r="AC72" s="406">
        <f t="shared" si="49"/>
        <v>6.2218552452684379E-2</v>
      </c>
      <c r="AD72" s="406">
        <f t="shared" si="50"/>
        <v>0.52189832128221991</v>
      </c>
      <c r="AE72" s="406">
        <f t="shared" si="17"/>
        <v>5.4475571551439849E-3</v>
      </c>
      <c r="AF72" s="406">
        <f t="shared" si="18"/>
        <v>2.4570000000000002E-2</v>
      </c>
      <c r="AG72" s="406">
        <f t="shared" si="51"/>
        <v>3.0043743556772789E-2</v>
      </c>
      <c r="AH72" s="406">
        <f t="shared" si="52"/>
        <v>0</v>
      </c>
      <c r="AI72">
        <f t="shared" si="21"/>
        <v>0</v>
      </c>
      <c r="AJ72" s="407">
        <f t="shared" si="22"/>
        <v>2.9974799999999999E-2</v>
      </c>
      <c r="AK72">
        <f t="shared" si="23"/>
        <v>0.03</v>
      </c>
      <c r="AL72" s="407">
        <f t="shared" si="24"/>
        <v>0.13500000000000001</v>
      </c>
      <c r="AM72" s="407">
        <f t="shared" si="25"/>
        <v>9.8855098389982105E-2</v>
      </c>
      <c r="AN72" s="407">
        <f t="shared" si="42"/>
        <v>0.16500000000000001</v>
      </c>
      <c r="AO72" s="407">
        <f t="shared" si="53"/>
        <v>0.49795479671606113</v>
      </c>
      <c r="AP72">
        <f t="shared" si="27"/>
        <v>3.2129999999999996</v>
      </c>
      <c r="AQ72" s="10">
        <f t="shared" si="43"/>
        <v>0.86581491179663062</v>
      </c>
      <c r="AR72" s="63">
        <f t="shared" si="54"/>
        <v>2.799834860370797</v>
      </c>
      <c r="AS72" s="63">
        <f t="shared" si="44"/>
        <v>1.2017497422709116</v>
      </c>
      <c r="AT72" s="10"/>
      <c r="AU72">
        <f t="shared" si="45"/>
        <v>86.581491179663061</v>
      </c>
      <c r="BE72" s="28"/>
      <c r="BF72" s="29"/>
    </row>
    <row r="73" spans="1:58" x14ac:dyDescent="0.2">
      <c r="A73" s="43" t="s">
        <v>167</v>
      </c>
      <c r="B73" s="409">
        <f>(QgdTop+QgsTop/2)*(RdsonDRT+RGateTop)/(VspTop)*1000000000</f>
        <v>2.1623471882640586</v>
      </c>
      <c r="C73" s="31" t="s">
        <v>147</v>
      </c>
      <c r="G73">
        <v>64</v>
      </c>
      <c r="H73">
        <f t="shared" ref="H73:H136" si="55">Iout*(G73/200)</f>
        <v>0.64</v>
      </c>
      <c r="I73" s="406">
        <f t="shared" si="1"/>
        <v>0.34190719999999997</v>
      </c>
      <c r="J73" s="407">
        <f t="shared" ref="J73:J136" si="56">(Vin-Vout)*I73/(Fsw*Lout2)</f>
        <v>0.45131750399999998</v>
      </c>
      <c r="K73" s="407">
        <f t="shared" si="31"/>
        <v>0.86565875199999998</v>
      </c>
      <c r="L73" s="407">
        <f t="shared" si="32"/>
        <v>0.41434124800000005</v>
      </c>
      <c r="M73" s="63">
        <f t="shared" ref="M73:M136" si="57">IF(MIN(Vin, -L73/(CossTop+CossBot)*0.00000002)&lt;0, 0, MIN(Vin, -L73/(CossTop+CossBot)*0.00000002))</f>
        <v>0</v>
      </c>
      <c r="N73" s="406">
        <f t="shared" ref="N73:N109" si="58">SQRT(H73^2+(J73^2)/12)</f>
        <v>0.65312629517682042</v>
      </c>
      <c r="O73" s="406">
        <f t="shared" si="5"/>
        <v>1.054526546023418E-2</v>
      </c>
      <c r="P73">
        <f t="shared" ref="P73:P136" si="59">Core_Loss</f>
        <v>0.2</v>
      </c>
      <c r="Q73" s="406">
        <f t="shared" si="34"/>
        <v>0.21054526546023419</v>
      </c>
      <c r="R73" s="9">
        <f t="shared" si="39"/>
        <v>0.130284141212195</v>
      </c>
      <c r="S73" s="9">
        <f t="shared" si="7"/>
        <v>3.3947914902798336E-5</v>
      </c>
      <c r="T73" s="9">
        <f t="shared" si="40"/>
        <v>3.3947914902798336E-5</v>
      </c>
      <c r="U73" s="406">
        <f t="shared" ref="U73:U109" si="60">SQRT(I73)*SQRT(H73^2+(J73^2)/12)</f>
        <v>0.38190143674137572</v>
      </c>
      <c r="V73" s="408">
        <f t="shared" si="9"/>
        <v>4.6671586363240645E-4</v>
      </c>
      <c r="W73" s="406">
        <f t="shared" si="41"/>
        <v>4.6671586363240645E-4</v>
      </c>
      <c r="X73" s="406">
        <f t="shared" ref="X73:X109" si="61">SQRT(I73)*SQRT(H73^2+(J73^2)/12)</f>
        <v>0.38190143674137572</v>
      </c>
      <c r="Y73" s="406">
        <f t="shared" si="11"/>
        <v>2.9169741477025404E-3</v>
      </c>
      <c r="Z73" s="406">
        <f t="shared" ref="Z73:Z136" si="62">IF(L73&lt;0, (Vin*K73*Tf/2)*Fsw, (Vin*L73*Tr/2+Vin*K73*Tf/2)*Fsw)</f>
        <v>9.8181575178775717E-3</v>
      </c>
      <c r="AA73" s="406">
        <f t="shared" ref="AA73:AA136" si="63">(0.5*CossTop*(Vin-M73)^2-0.5*CossBot*(Vin-M73)^2+(QossBot*(Vin-M73)/Vin)*Vin)*Fsw</f>
        <v>4.9687500000000002E-2</v>
      </c>
      <c r="AB73" s="406">
        <f t="shared" ref="AB73:AB136" si="64">IF(L73&gt;0,0,-L73*VsdTop*Deadtime*Fsw)</f>
        <v>0</v>
      </c>
      <c r="AC73" s="406">
        <f t="shared" ref="AC73:AC104" si="65">(AB73+AA73+Z73+Y73*(1+RdsonTopTc*Ta-RdsonTopTc*25))/(1-Y73*RdsonTopTc*ThetaJaTop)</f>
        <v>6.2455424219990147E-2</v>
      </c>
      <c r="AD73" s="406">
        <f t="shared" ref="AD73:AD109" si="66">SQRT(1-I73)*SQRT(H73^2+(J73^2)/12)</f>
        <v>0.52983511592406951</v>
      </c>
      <c r="AE73" s="406">
        <f t="shared" si="17"/>
        <v>5.6145050013254438E-3</v>
      </c>
      <c r="AF73" s="406">
        <f t="shared" ref="AF73:AF136" si="67">IF(L73&lt;0, Deadtime*Fsw*IF(VfdSky&gt;0,0,VsdBot)*K73, Deadtime*Fsw*IF(VfdSky&gt;0,0,VsdBot)*(K73+L73))</f>
        <v>2.496E-2</v>
      </c>
      <c r="AG73" s="406">
        <f t="shared" ref="AG73:AG104" si="68">(AF73+AE73*(1+RdsonBotTc*Ta-RdsonBotTc*25))/(1-AE73*RdsonBotTc*ThetaJaBot)</f>
        <v>3.0601995410330533E-2</v>
      </c>
      <c r="AH73" s="406">
        <f t="shared" ref="AH73:AH109" si="69">IF(RDSON_sense=1, 0, AD73^2*Rshunt)</f>
        <v>0</v>
      </c>
      <c r="AI73">
        <f t="shared" ref="AI73:AI136" si="70">2*Deadtime*Fsw*IF(VfdSky&gt;0,VfdSky,0)*H73</f>
        <v>0</v>
      </c>
      <c r="AJ73" s="407">
        <f t="shared" ref="AJ73:AJ136" si="71">IF(QrrSky&gt;0,QrrSky,QrrBot)*Fsw*(Vin-H73*RdsonTop)</f>
        <v>2.9974399999999998E-2</v>
      </c>
      <c r="AK73">
        <f t="shared" si="23"/>
        <v>0.03</v>
      </c>
      <c r="AL73" s="407">
        <f t="shared" ref="AL73:AL136" si="72">IF(Ext_VCC=1, Vdd*(QgTop+QgBot)*Fsw, Vin*(QgTop+QgBot)*Fsw)</f>
        <v>0.13500000000000001</v>
      </c>
      <c r="AM73" s="407">
        <f t="shared" si="25"/>
        <v>9.8855098389982105E-2</v>
      </c>
      <c r="AN73" s="407">
        <f t="shared" si="42"/>
        <v>0.16500000000000001</v>
      </c>
      <c r="AO73" s="407">
        <f t="shared" ref="AO73:AO104" si="73">SUM(Q73,T73,W73,AC73,AJ73,AI73,AG73,AN73, AH73)</f>
        <v>0.49907774886909007</v>
      </c>
      <c r="AP73">
        <f t="shared" ref="AP73:AP136" si="74">Vout*H73</f>
        <v>3.2639999999999998</v>
      </c>
      <c r="AQ73" s="10">
        <f t="shared" si="43"/>
        <v>0.8673751162810609</v>
      </c>
      <c r="AR73" s="63">
        <f t="shared" ref="AR73:AR109" si="75">ThetaJaTop*AC73</f>
        <v>2.8104940898995565</v>
      </c>
      <c r="AS73" s="63">
        <f t="shared" si="44"/>
        <v>1.2240798164132214</v>
      </c>
      <c r="AT73" s="10"/>
      <c r="AU73">
        <f t="shared" si="45"/>
        <v>86.737511628106091</v>
      </c>
      <c r="BE73" s="28"/>
      <c r="BF73" s="29"/>
    </row>
    <row r="74" spans="1:58" x14ac:dyDescent="0.2">
      <c r="A74" s="24" t="s">
        <v>206</v>
      </c>
      <c r="B74" s="25" t="s">
        <v>8</v>
      </c>
      <c r="C74" s="27" t="s">
        <v>148</v>
      </c>
      <c r="G74">
        <v>65</v>
      </c>
      <c r="H74">
        <f t="shared" si="55"/>
        <v>0.65</v>
      </c>
      <c r="I74" s="406">
        <f t="shared" ref="I74:I109" si="76">(Vout+Rdcr*H74+RdsonBot*H74)/(Vin-RdsonTop*H74+RdsonBot*H74)</f>
        <v>0.34193699999999994</v>
      </c>
      <c r="J74" s="407">
        <f t="shared" si="56"/>
        <v>0.45135683999999993</v>
      </c>
      <c r="K74" s="407">
        <f t="shared" ref="K74:K137" si="77">H74+J74/2</f>
        <v>0.87567841999999996</v>
      </c>
      <c r="L74" s="407">
        <f t="shared" ref="L74:L109" si="78">H74-J74/2</f>
        <v>0.42432158000000009</v>
      </c>
      <c r="M74" s="63">
        <f t="shared" si="57"/>
        <v>0</v>
      </c>
      <c r="N74" s="406">
        <f t="shared" si="58"/>
        <v>0.66293055173064608</v>
      </c>
      <c r="O74" s="406">
        <f t="shared" ref="O74:O109" si="79">(N74^2*Rdcr*(1+Ltc*Ta-Ltc*25))/(1-N74^2*Rdcr*Ltc*ThetaCa)</f>
        <v>1.0864514649433605E-2</v>
      </c>
      <c r="P74">
        <f t="shared" si="59"/>
        <v>0.2</v>
      </c>
      <c r="Q74" s="406">
        <f t="shared" ref="Q74:Q137" si="80">O74+P74</f>
        <v>0.21086451464943362</v>
      </c>
      <c r="R74" s="9">
        <f t="shared" si="39"/>
        <v>0.13029549653728942</v>
      </c>
      <c r="S74" s="9">
        <f t="shared" ref="S74:S109" si="81">RCoutEsr*R74^2</f>
        <v>3.3953832835797591E-5</v>
      </c>
      <c r="T74" s="9">
        <f t="shared" si="40"/>
        <v>3.3953832835797591E-5</v>
      </c>
      <c r="U74" s="406">
        <f t="shared" si="60"/>
        <v>0.38765115551122381</v>
      </c>
      <c r="V74" s="408">
        <f t="shared" ref="V74:V109" si="82">RCinEsr*U74^2</f>
        <v>4.8087493878139854E-4</v>
      </c>
      <c r="W74" s="406">
        <f t="shared" si="41"/>
        <v>4.8087493878139854E-4</v>
      </c>
      <c r="X74" s="406">
        <f t="shared" si="61"/>
        <v>0.38765115551122381</v>
      </c>
      <c r="Y74" s="406">
        <f t="shared" ref="Y74:Y109" si="83">RdsonTop*X74^2</f>
        <v>3.0054683673837409E-3</v>
      </c>
      <c r="Z74" s="406">
        <f t="shared" si="62"/>
        <v>9.9668179970732844E-3</v>
      </c>
      <c r="AA74" s="406">
        <f t="shared" si="63"/>
        <v>4.9687500000000002E-2</v>
      </c>
      <c r="AB74" s="406">
        <f t="shared" si="64"/>
        <v>0</v>
      </c>
      <c r="AC74" s="406">
        <f t="shared" si="65"/>
        <v>6.2693702673696616E-2</v>
      </c>
      <c r="AD74" s="406">
        <f t="shared" si="66"/>
        <v>0.53777643872590009</v>
      </c>
      <c r="AE74" s="406">
        <f t="shared" ref="AE74:AE109" si="84">RdsonBot*AD74^2</f>
        <v>5.7840699609742353E-3</v>
      </c>
      <c r="AF74" s="406">
        <f t="shared" si="67"/>
        <v>2.5350000000000001E-2</v>
      </c>
      <c r="AG74" s="406">
        <f t="shared" si="68"/>
        <v>3.1162909712969013E-2</v>
      </c>
      <c r="AH74" s="406">
        <f t="shared" si="69"/>
        <v>0</v>
      </c>
      <c r="AI74">
        <f t="shared" si="70"/>
        <v>0</v>
      </c>
      <c r="AJ74" s="407">
        <f t="shared" si="71"/>
        <v>2.9974000000000001E-2</v>
      </c>
      <c r="AK74">
        <f t="shared" ref="AK74:AK137" si="85">Iq*Vin</f>
        <v>0.03</v>
      </c>
      <c r="AL74" s="407">
        <f t="shared" si="72"/>
        <v>0.13500000000000001</v>
      </c>
      <c r="AM74" s="407">
        <f t="shared" ref="AM74:AM137" si="86">(Vin-Vdd)*Fsw*(QgTop+QgBot)+(RdsonDRT+RdsonDRT2)*Fsw*QgTop*Vdd/(RdsonDRT+2*RGateTop+RdsonDRT2)+(RdsonDRB+RdsonDRB2)*Fsw*QgBot*Vdd/(RdsonDRB+2*RGateBot+RdsonDRB2)</f>
        <v>9.8855098389982105E-2</v>
      </c>
      <c r="AN74" s="407">
        <f t="shared" si="42"/>
        <v>0.16500000000000001</v>
      </c>
      <c r="AO74" s="407">
        <f t="shared" si="73"/>
        <v>0.50020995580771654</v>
      </c>
      <c r="AP74">
        <f t="shared" si="74"/>
        <v>3.3149999999999999</v>
      </c>
      <c r="AQ74" s="10">
        <f t="shared" si="43"/>
        <v>0.86889058227417604</v>
      </c>
      <c r="AR74" s="63">
        <f t="shared" si="75"/>
        <v>2.8212166203163478</v>
      </c>
      <c r="AS74" s="63">
        <f t="shared" si="44"/>
        <v>1.2465163885187605</v>
      </c>
      <c r="AT74" s="10"/>
      <c r="AU74">
        <f t="shared" si="45"/>
        <v>86.889058227417607</v>
      </c>
      <c r="BE74" s="28"/>
      <c r="BF74" s="29"/>
    </row>
    <row r="75" spans="1:58" x14ac:dyDescent="0.2">
      <c r="A75" s="44" t="s">
        <v>207</v>
      </c>
      <c r="B75" s="121">
        <f>AN9</f>
        <v>0.16500000000000001</v>
      </c>
      <c r="C75" s="122" t="s">
        <v>208</v>
      </c>
      <c r="G75">
        <v>66</v>
      </c>
      <c r="H75">
        <f t="shared" si="55"/>
        <v>0.66</v>
      </c>
      <c r="I75" s="406">
        <f t="shared" si="76"/>
        <v>0.34196679999999996</v>
      </c>
      <c r="J75" s="407">
        <f t="shared" si="56"/>
        <v>0.45139617599999998</v>
      </c>
      <c r="K75" s="407">
        <f t="shared" si="77"/>
        <v>0.88569808800000005</v>
      </c>
      <c r="L75" s="407">
        <f t="shared" si="78"/>
        <v>0.43430191200000001</v>
      </c>
      <c r="M75" s="63">
        <f t="shared" si="57"/>
        <v>0</v>
      </c>
      <c r="N75" s="406">
        <f t="shared" si="58"/>
        <v>0.67274057083119743</v>
      </c>
      <c r="O75" s="406">
        <f t="shared" si="79"/>
        <v>1.1188728984463478E-2</v>
      </c>
      <c r="P75">
        <f t="shared" si="59"/>
        <v>0.2</v>
      </c>
      <c r="Q75" s="406">
        <f t="shared" si="80"/>
        <v>0.2111887289844635</v>
      </c>
      <c r="R75" s="9">
        <f t="shared" ref="R75:R109" si="87">J75/(2*SQRT(3))</f>
        <v>0.13030685186238386</v>
      </c>
      <c r="S75" s="9">
        <f t="shared" si="81"/>
        <v>3.3959751284570503E-5</v>
      </c>
      <c r="T75" s="9">
        <f t="shared" ref="T75:T109" si="88">S75</f>
        <v>3.3959751284570503E-5</v>
      </c>
      <c r="U75" s="406">
        <f t="shared" si="60"/>
        <v>0.39340474300367839</v>
      </c>
      <c r="V75" s="408">
        <f t="shared" si="82"/>
        <v>4.9525533381692885E-4</v>
      </c>
      <c r="W75" s="406">
        <f t="shared" ref="W75:W109" si="89">V75</f>
        <v>4.9525533381692885E-4</v>
      </c>
      <c r="X75" s="406">
        <f t="shared" si="61"/>
        <v>0.39340474300367839</v>
      </c>
      <c r="Y75" s="406">
        <f t="shared" si="83"/>
        <v>3.0953458363558051E-3</v>
      </c>
      <c r="Z75" s="406">
        <f t="shared" si="62"/>
        <v>1.0115478476268999E-2</v>
      </c>
      <c r="AA75" s="406">
        <f t="shared" si="63"/>
        <v>4.9687500000000002E-2</v>
      </c>
      <c r="AB75" s="406">
        <f t="shared" si="64"/>
        <v>0</v>
      </c>
      <c r="AC75" s="406">
        <f t="shared" si="65"/>
        <v>6.293338842095178E-2</v>
      </c>
      <c r="AD75" s="406">
        <f t="shared" si="66"/>
        <v>0.54572207562503383</v>
      </c>
      <c r="AE75" s="406">
        <f t="shared" si="84"/>
        <v>5.9562516764899032E-3</v>
      </c>
      <c r="AF75" s="406">
        <f t="shared" si="67"/>
        <v>2.5740000000000002E-2</v>
      </c>
      <c r="AG75" s="406">
        <f t="shared" si="68"/>
        <v>3.1726487027137033E-2</v>
      </c>
      <c r="AH75" s="406">
        <f t="shared" si="69"/>
        <v>0</v>
      </c>
      <c r="AI75">
        <f t="shared" si="70"/>
        <v>0</v>
      </c>
      <c r="AJ75" s="407">
        <f t="shared" si="71"/>
        <v>2.9973600000000003E-2</v>
      </c>
      <c r="AK75">
        <f t="shared" si="85"/>
        <v>0.03</v>
      </c>
      <c r="AL75" s="407">
        <f t="shared" si="72"/>
        <v>0.13500000000000001</v>
      </c>
      <c r="AM75" s="407">
        <f t="shared" si="86"/>
        <v>9.8855098389982105E-2</v>
      </c>
      <c r="AN75" s="407">
        <f t="shared" ref="AN75:AN109" si="90">SUM(AK75:AL75)</f>
        <v>0.16500000000000001</v>
      </c>
      <c r="AO75" s="407">
        <f t="shared" si="73"/>
        <v>0.50135141951765383</v>
      </c>
      <c r="AP75">
        <f t="shared" si="74"/>
        <v>3.3660000000000001</v>
      </c>
      <c r="AQ75" s="10">
        <f t="shared" ref="AQ75:AQ109" si="91">AP75/(AP75+AO75)</f>
        <v>0.87036310768464287</v>
      </c>
      <c r="AR75" s="63">
        <f t="shared" si="75"/>
        <v>2.83200247894283</v>
      </c>
      <c r="AS75" s="63">
        <f t="shared" ref="AS75:AS109" si="92">AG75*ThetaJaBot</f>
        <v>1.2690594810854814</v>
      </c>
      <c r="AT75" s="10"/>
      <c r="AU75">
        <f t="shared" ref="AU75:AU109" si="93">AQ75*100</f>
        <v>87.03631076846429</v>
      </c>
      <c r="BE75" s="28"/>
      <c r="BF75" s="29"/>
    </row>
    <row r="76" spans="1:58" x14ac:dyDescent="0.2">
      <c r="A76" s="44" t="s">
        <v>211</v>
      </c>
      <c r="B76" s="120">
        <f>B75*B62</f>
        <v>3.3000000000000003</v>
      </c>
      <c r="C76" s="416" t="s">
        <v>441</v>
      </c>
      <c r="G76">
        <v>67</v>
      </c>
      <c r="H76">
        <f t="shared" si="55"/>
        <v>0.67</v>
      </c>
      <c r="I76" s="406">
        <f t="shared" si="76"/>
        <v>0.34199659999999998</v>
      </c>
      <c r="J76" s="407">
        <f t="shared" si="56"/>
        <v>0.45143551199999998</v>
      </c>
      <c r="K76" s="407">
        <f t="shared" si="77"/>
        <v>0.89571775600000003</v>
      </c>
      <c r="L76" s="407">
        <f t="shared" si="78"/>
        <v>0.44428224400000005</v>
      </c>
      <c r="M76" s="63">
        <f t="shared" si="57"/>
        <v>0</v>
      </c>
      <c r="N76" s="406">
        <f t="shared" si="58"/>
        <v>0.68255610401237976</v>
      </c>
      <c r="O76" s="406">
        <f t="shared" si="79"/>
        <v>1.1517909236086797E-2</v>
      </c>
      <c r="P76">
        <f t="shared" si="59"/>
        <v>0.2</v>
      </c>
      <c r="Q76" s="406">
        <f t="shared" si="80"/>
        <v>0.21151790923608682</v>
      </c>
      <c r="R76" s="9">
        <f t="shared" si="87"/>
        <v>0.13031820718747827</v>
      </c>
      <c r="S76" s="9">
        <f t="shared" si="81"/>
        <v>3.3965670249117028E-5</v>
      </c>
      <c r="T76" s="9">
        <f t="shared" si="88"/>
        <v>3.3965670249117028E-5</v>
      </c>
      <c r="U76" s="406">
        <f t="shared" si="60"/>
        <v>0.39916205432250146</v>
      </c>
      <c r="V76" s="408">
        <f t="shared" si="82"/>
        <v>5.0985710595507073E-4</v>
      </c>
      <c r="W76" s="406">
        <f t="shared" si="89"/>
        <v>5.0985710595507073E-4</v>
      </c>
      <c r="X76" s="406">
        <f t="shared" si="61"/>
        <v>0.39916205432250146</v>
      </c>
      <c r="Y76" s="406">
        <f t="shared" si="83"/>
        <v>3.1866069122191919E-3</v>
      </c>
      <c r="Z76" s="406">
        <f t="shared" si="62"/>
        <v>1.0264138955464713E-2</v>
      </c>
      <c r="AA76" s="406">
        <f t="shared" si="63"/>
        <v>4.9687500000000002E-2</v>
      </c>
      <c r="AB76" s="406">
        <f t="shared" si="64"/>
        <v>0</v>
      </c>
      <c r="AC76" s="406">
        <f t="shared" si="65"/>
        <v>6.3174482071107763E-2</v>
      </c>
      <c r="AD76" s="406">
        <f t="shared" si="66"/>
        <v>0.55367182474241816</v>
      </c>
      <c r="AE76" s="406">
        <f t="shared" si="84"/>
        <v>6.1310497902719811E-3</v>
      </c>
      <c r="AF76" s="406">
        <f t="shared" si="67"/>
        <v>2.613E-2</v>
      </c>
      <c r="AG76" s="406">
        <f t="shared" si="68"/>
        <v>3.2292727921912449E-2</v>
      </c>
      <c r="AH76" s="406">
        <f t="shared" si="69"/>
        <v>0</v>
      </c>
      <c r="AI76">
        <f t="shared" si="70"/>
        <v>0</v>
      </c>
      <c r="AJ76" s="407">
        <f t="shared" si="71"/>
        <v>2.9973199999999998E-2</v>
      </c>
      <c r="AK76">
        <f t="shared" si="85"/>
        <v>0.03</v>
      </c>
      <c r="AL76" s="407">
        <f t="shared" si="72"/>
        <v>0.13500000000000001</v>
      </c>
      <c r="AM76" s="407">
        <f t="shared" si="86"/>
        <v>9.8855098389982105E-2</v>
      </c>
      <c r="AN76" s="407">
        <f t="shared" si="90"/>
        <v>0.16500000000000001</v>
      </c>
      <c r="AO76" s="407">
        <f t="shared" si="73"/>
        <v>0.50250214200531129</v>
      </c>
      <c r="AP76">
        <f t="shared" si="74"/>
        <v>3.4169999999999998</v>
      </c>
      <c r="AQ76" s="10">
        <f t="shared" si="91"/>
        <v>0.87179439535955472</v>
      </c>
      <c r="AR76" s="63">
        <f t="shared" si="75"/>
        <v>2.8428516931998491</v>
      </c>
      <c r="AS76" s="63">
        <f t="shared" si="92"/>
        <v>1.291709116876498</v>
      </c>
      <c r="AT76" s="10"/>
      <c r="AU76">
        <f t="shared" si="93"/>
        <v>87.179439535955467</v>
      </c>
      <c r="BE76" s="28"/>
      <c r="BF76" s="29"/>
    </row>
    <row r="77" spans="1:58" x14ac:dyDescent="0.2">
      <c r="A77" s="44" t="s">
        <v>387</v>
      </c>
      <c r="B77" s="120">
        <f>(QgBot+QgTop)*Fsw+Iq</f>
        <v>1.0999999999999999E-2</v>
      </c>
      <c r="C77" s="31" t="s">
        <v>2</v>
      </c>
      <c r="G77">
        <v>68</v>
      </c>
      <c r="H77">
        <f t="shared" si="55"/>
        <v>0.68</v>
      </c>
      <c r="I77" s="406">
        <f t="shared" si="76"/>
        <v>0.34202640000000001</v>
      </c>
      <c r="J77" s="407">
        <f t="shared" si="56"/>
        <v>0.45147484800000004</v>
      </c>
      <c r="K77" s="407">
        <f t="shared" si="77"/>
        <v>0.90573742400000001</v>
      </c>
      <c r="L77" s="407">
        <f t="shared" si="78"/>
        <v>0.45426257600000003</v>
      </c>
      <c r="M77" s="63">
        <f t="shared" si="57"/>
        <v>0</v>
      </c>
      <c r="N77" s="406">
        <f t="shared" si="58"/>
        <v>0.69237691676190261</v>
      </c>
      <c r="O77" s="406">
        <f t="shared" si="79"/>
        <v>1.1852056186933435E-2</v>
      </c>
      <c r="P77">
        <f t="shared" si="59"/>
        <v>0.2</v>
      </c>
      <c r="Q77" s="406">
        <f t="shared" si="80"/>
        <v>0.21185205618693345</v>
      </c>
      <c r="R77" s="9">
        <f t="shared" si="87"/>
        <v>0.13032956251257272</v>
      </c>
      <c r="S77" s="9">
        <f t="shared" si="81"/>
        <v>3.3971589729437203E-5</v>
      </c>
      <c r="T77" s="9">
        <f t="shared" si="88"/>
        <v>3.3971589729437203E-5</v>
      </c>
      <c r="U77" s="406">
        <f t="shared" si="60"/>
        <v>0.40492295270670714</v>
      </c>
      <c r="V77" s="408">
        <f t="shared" si="82"/>
        <v>5.2468031241189824E-4</v>
      </c>
      <c r="W77" s="406">
        <f t="shared" si="89"/>
        <v>5.2468031241189824E-4</v>
      </c>
      <c r="X77" s="406">
        <f t="shared" si="61"/>
        <v>0.40492295270670714</v>
      </c>
      <c r="Y77" s="406">
        <f t="shared" si="83"/>
        <v>3.2792519525743635E-3</v>
      </c>
      <c r="Z77" s="406">
        <f t="shared" si="62"/>
        <v>1.0412799434660428E-2</v>
      </c>
      <c r="AA77" s="406">
        <f t="shared" si="63"/>
        <v>4.9687500000000002E-2</v>
      </c>
      <c r="AB77" s="406">
        <f t="shared" si="64"/>
        <v>0</v>
      </c>
      <c r="AC77" s="406">
        <f t="shared" si="65"/>
        <v>6.3416984235723436E-2</v>
      </c>
      <c r="AD77" s="406">
        <f t="shared" si="66"/>
        <v>0.56162549553594909</v>
      </c>
      <c r="AE77" s="406">
        <f t="shared" si="84"/>
        <v>6.3084639447200073E-3</v>
      </c>
      <c r="AF77" s="406">
        <f t="shared" si="67"/>
        <v>2.6520000000000002E-2</v>
      </c>
      <c r="AG77" s="406">
        <f t="shared" si="68"/>
        <v>3.2861632973003985E-2</v>
      </c>
      <c r="AH77" s="406">
        <f t="shared" si="69"/>
        <v>0</v>
      </c>
      <c r="AI77">
        <f t="shared" si="70"/>
        <v>0</v>
      </c>
      <c r="AJ77" s="407">
        <f t="shared" si="71"/>
        <v>2.9972800000000001E-2</v>
      </c>
      <c r="AK77">
        <f t="shared" si="85"/>
        <v>0.03</v>
      </c>
      <c r="AL77" s="407">
        <f t="shared" si="72"/>
        <v>0.13500000000000001</v>
      </c>
      <c r="AM77" s="407">
        <f t="shared" si="86"/>
        <v>9.8855098389982105E-2</v>
      </c>
      <c r="AN77" s="407">
        <f t="shared" si="90"/>
        <v>0.16500000000000001</v>
      </c>
      <c r="AO77" s="407">
        <f t="shared" si="73"/>
        <v>0.50366212529780219</v>
      </c>
      <c r="AP77">
        <f t="shared" si="74"/>
        <v>3.468</v>
      </c>
      <c r="AQ77" s="10">
        <f t="shared" si="91"/>
        <v>0.87318605928493054</v>
      </c>
      <c r="AR77" s="63">
        <f t="shared" si="75"/>
        <v>2.8537642906075544</v>
      </c>
      <c r="AS77" s="63">
        <f t="shared" si="92"/>
        <v>1.3144653189201594</v>
      </c>
      <c r="AT77" s="10"/>
      <c r="AU77">
        <f t="shared" si="93"/>
        <v>87.318605928493056</v>
      </c>
      <c r="BE77" s="28"/>
      <c r="BF77" s="29"/>
    </row>
    <row r="78" spans="1:58" x14ac:dyDescent="0.2">
      <c r="A78" s="44" t="s">
        <v>388</v>
      </c>
      <c r="B78" s="119">
        <f>QrrBot*Fsw</f>
        <v>2E-3</v>
      </c>
      <c r="C78" s="31" t="s">
        <v>2</v>
      </c>
      <c r="G78">
        <v>69</v>
      </c>
      <c r="H78">
        <f t="shared" si="55"/>
        <v>0.69</v>
      </c>
      <c r="I78" s="406">
        <f t="shared" si="76"/>
        <v>0.34205619999999998</v>
      </c>
      <c r="J78" s="407">
        <f t="shared" si="56"/>
        <v>0.45151418399999999</v>
      </c>
      <c r="K78" s="407">
        <f t="shared" si="77"/>
        <v>0.91575709199999999</v>
      </c>
      <c r="L78" s="407">
        <f t="shared" si="78"/>
        <v>0.46424290799999995</v>
      </c>
      <c r="M78" s="63">
        <f t="shared" si="57"/>
        <v>0</v>
      </c>
      <c r="N78" s="406">
        <f t="shared" si="58"/>
        <v>0.70220278756408061</v>
      </c>
      <c r="O78" s="406">
        <f t="shared" si="79"/>
        <v>1.2191170631504791E-2</v>
      </c>
      <c r="P78">
        <f t="shared" si="59"/>
        <v>0.2</v>
      </c>
      <c r="Q78" s="406">
        <f t="shared" si="80"/>
        <v>0.21219117063150481</v>
      </c>
      <c r="R78" s="9">
        <f t="shared" si="87"/>
        <v>0.1303409178376671</v>
      </c>
      <c r="S78" s="9">
        <f t="shared" si="81"/>
        <v>3.3977509725530973E-5</v>
      </c>
      <c r="T78" s="9">
        <f t="shared" si="88"/>
        <v>3.3977509725530973E-5</v>
      </c>
      <c r="U78" s="406">
        <f t="shared" si="60"/>
        <v>0.41068730897251871</v>
      </c>
      <c r="V78" s="408">
        <f t="shared" si="82"/>
        <v>5.3972501040348494E-4</v>
      </c>
      <c r="W78" s="406">
        <f t="shared" si="89"/>
        <v>5.3972501040348494E-4</v>
      </c>
      <c r="X78" s="406">
        <f t="shared" si="61"/>
        <v>0.41068730897251871</v>
      </c>
      <c r="Y78" s="406">
        <f t="shared" si="83"/>
        <v>3.3732813150217813E-3</v>
      </c>
      <c r="Z78" s="406">
        <f t="shared" si="62"/>
        <v>1.0561459913856139E-2</v>
      </c>
      <c r="AA78" s="406">
        <f t="shared" si="63"/>
        <v>4.9687500000000002E-2</v>
      </c>
      <c r="AB78" s="406">
        <f t="shared" si="64"/>
        <v>0</v>
      </c>
      <c r="AC78" s="406">
        <f t="shared" si="65"/>
        <v>6.366089552856706E-2</v>
      </c>
      <c r="AD78" s="406">
        <f t="shared" si="66"/>
        <v>0.5695829080227709</v>
      </c>
      <c r="AE78" s="406">
        <f t="shared" si="84"/>
        <v>6.4884937822335259E-3</v>
      </c>
      <c r="AF78" s="406">
        <f t="shared" si="67"/>
        <v>2.6909999999999996E-2</v>
      </c>
      <c r="AG78" s="406">
        <f t="shared" si="68"/>
        <v>3.3433202762752925E-2</v>
      </c>
      <c r="AH78" s="406">
        <f t="shared" si="69"/>
        <v>0</v>
      </c>
      <c r="AI78">
        <f t="shared" si="70"/>
        <v>0</v>
      </c>
      <c r="AJ78" s="407">
        <f t="shared" si="71"/>
        <v>2.99724E-2</v>
      </c>
      <c r="AK78">
        <f t="shared" si="85"/>
        <v>0.03</v>
      </c>
      <c r="AL78" s="407">
        <f t="shared" si="72"/>
        <v>0.13500000000000001</v>
      </c>
      <c r="AM78" s="407">
        <f t="shared" si="86"/>
        <v>9.8855098389982105E-2</v>
      </c>
      <c r="AN78" s="407">
        <f t="shared" si="90"/>
        <v>0.16500000000000001</v>
      </c>
      <c r="AO78" s="407">
        <f t="shared" si="73"/>
        <v>0.50483137144295376</v>
      </c>
      <c r="AP78">
        <f t="shared" si="74"/>
        <v>3.5189999999999997</v>
      </c>
      <c r="AQ78" s="10">
        <f t="shared" si="91"/>
        <v>0.87453963030714177</v>
      </c>
      <c r="AR78" s="63">
        <f t="shared" si="75"/>
        <v>2.8647402987855175</v>
      </c>
      <c r="AS78" s="63">
        <f t="shared" si="92"/>
        <v>1.3373281105101169</v>
      </c>
      <c r="AT78" s="10"/>
      <c r="AU78">
        <f t="shared" si="93"/>
        <v>87.453963030714178</v>
      </c>
      <c r="BE78" s="28"/>
      <c r="BF78" s="29"/>
    </row>
    <row r="79" spans="1:58" x14ac:dyDescent="0.2">
      <c r="A79" s="44" t="s">
        <v>389</v>
      </c>
      <c r="B79" s="475">
        <f>C79/Vin</f>
        <v>7.5557300000000005E-4</v>
      </c>
      <c r="C79" s="474">
        <f>Deadtime*Fsw*(Ipp/2)*(VsdTop+VsdBot)</f>
        <v>1.1333595E-2</v>
      </c>
      <c r="G79">
        <v>70</v>
      </c>
      <c r="H79">
        <f t="shared" si="55"/>
        <v>0.7</v>
      </c>
      <c r="I79" s="406">
        <f t="shared" si="76"/>
        <v>0.342086</v>
      </c>
      <c r="J79" s="407">
        <f t="shared" si="56"/>
        <v>0.45155352000000004</v>
      </c>
      <c r="K79" s="407">
        <f t="shared" si="77"/>
        <v>0.92577675999999998</v>
      </c>
      <c r="L79" s="407">
        <f t="shared" si="78"/>
        <v>0.47422323999999993</v>
      </c>
      <c r="M79" s="63">
        <f t="shared" si="57"/>
        <v>0</v>
      </c>
      <c r="N79" s="406">
        <f t="shared" si="58"/>
        <v>0.71203350701964796</v>
      </c>
      <c r="O79" s="406">
        <f t="shared" si="79"/>
        <v>1.2535253376178532E-2</v>
      </c>
      <c r="P79">
        <f t="shared" si="59"/>
        <v>0.2</v>
      </c>
      <c r="Q79" s="406">
        <f t="shared" si="80"/>
        <v>0.21253525337617854</v>
      </c>
      <c r="R79" s="9">
        <f t="shared" si="87"/>
        <v>0.13035227316276154</v>
      </c>
      <c r="S79" s="9">
        <f t="shared" si="81"/>
        <v>3.3983430237398411E-5</v>
      </c>
      <c r="T79" s="9">
        <f t="shared" si="88"/>
        <v>3.3983430237398411E-5</v>
      </c>
      <c r="U79" s="406">
        <f t="shared" si="60"/>
        <v>0.41645500100022248</v>
      </c>
      <c r="V79" s="408">
        <f t="shared" si="82"/>
        <v>5.5499125714590506E-4</v>
      </c>
      <c r="W79" s="406">
        <f t="shared" si="89"/>
        <v>5.5499125714590506E-4</v>
      </c>
      <c r="X79" s="406">
        <f t="shared" si="61"/>
        <v>0.41645500100022248</v>
      </c>
      <c r="Y79" s="406">
        <f t="shared" si="83"/>
        <v>3.4686953571619063E-3</v>
      </c>
      <c r="Z79" s="406">
        <f t="shared" si="62"/>
        <v>1.0710120393051852E-2</v>
      </c>
      <c r="AA79" s="406">
        <f t="shared" si="63"/>
        <v>4.9687500000000002E-2</v>
      </c>
      <c r="AB79" s="406">
        <f t="shared" si="64"/>
        <v>0</v>
      </c>
      <c r="AC79" s="406">
        <f t="shared" si="65"/>
        <v>6.3906216565618845E-2</v>
      </c>
      <c r="AD79" s="406">
        <f t="shared" si="66"/>
        <v>0.57754389206414758</v>
      </c>
      <c r="AE79" s="406">
        <f t="shared" si="84"/>
        <v>6.6711389452120753E-3</v>
      </c>
      <c r="AF79" s="406">
        <f t="shared" si="67"/>
        <v>2.7299999999999998E-2</v>
      </c>
      <c r="AG79" s="406">
        <f t="shared" si="68"/>
        <v>3.4007437880135119E-2</v>
      </c>
      <c r="AH79" s="406">
        <f t="shared" si="69"/>
        <v>0</v>
      </c>
      <c r="AI79">
        <f t="shared" si="70"/>
        <v>0</v>
      </c>
      <c r="AJ79" s="407">
        <f t="shared" si="71"/>
        <v>2.9972000000000002E-2</v>
      </c>
      <c r="AK79">
        <f t="shared" si="85"/>
        <v>0.03</v>
      </c>
      <c r="AL79" s="407">
        <f t="shared" si="72"/>
        <v>0.13500000000000001</v>
      </c>
      <c r="AM79" s="407">
        <f t="shared" si="86"/>
        <v>9.8855098389982105E-2</v>
      </c>
      <c r="AN79" s="407">
        <f t="shared" si="90"/>
        <v>0.16500000000000001</v>
      </c>
      <c r="AO79" s="407">
        <f t="shared" si="73"/>
        <v>0.50600988250931578</v>
      </c>
      <c r="AP79">
        <f t="shared" si="74"/>
        <v>3.5699999999999994</v>
      </c>
      <c r="AQ79" s="10">
        <f t="shared" si="91"/>
        <v>0.87585656141790291</v>
      </c>
      <c r="AR79" s="63">
        <f t="shared" si="75"/>
        <v>2.875779745452848</v>
      </c>
      <c r="AS79" s="63">
        <f t="shared" si="92"/>
        <v>1.3602975152054047</v>
      </c>
      <c r="AT79" s="10"/>
      <c r="AU79">
        <f t="shared" si="93"/>
        <v>87.585656141790295</v>
      </c>
      <c r="BE79" s="28"/>
      <c r="BF79" s="29"/>
    </row>
    <row r="80" spans="1:58" x14ac:dyDescent="0.2">
      <c r="A80" s="44" t="s">
        <v>92</v>
      </c>
      <c r="B80" s="475">
        <f>SUM(B77:B79)</f>
        <v>1.3755573E-2</v>
      </c>
      <c r="C80" s="31" t="s">
        <v>2</v>
      </c>
      <c r="G80">
        <v>71</v>
      </c>
      <c r="H80">
        <f t="shared" si="55"/>
        <v>0.71</v>
      </c>
      <c r="I80" s="406">
        <f t="shared" si="76"/>
        <v>0.34211579999999997</v>
      </c>
      <c r="J80" s="407">
        <f t="shared" si="56"/>
        <v>0.45159285599999993</v>
      </c>
      <c r="K80" s="407">
        <f t="shared" si="77"/>
        <v>0.93579642799999996</v>
      </c>
      <c r="L80" s="407">
        <f t="shared" si="78"/>
        <v>0.48420357199999997</v>
      </c>
      <c r="M80" s="63">
        <f t="shared" si="57"/>
        <v>0</v>
      </c>
      <c r="N80" s="406">
        <f t="shared" si="58"/>
        <v>0.72186887703551794</v>
      </c>
      <c r="O80" s="406">
        <f t="shared" si="79"/>
        <v>1.2884305239213368E-2</v>
      </c>
      <c r="P80">
        <f t="shared" si="59"/>
        <v>0.2</v>
      </c>
      <c r="Q80" s="406">
        <f t="shared" si="80"/>
        <v>0.21288430523921337</v>
      </c>
      <c r="R80" s="9">
        <f t="shared" si="87"/>
        <v>0.13036362848785593</v>
      </c>
      <c r="S80" s="9">
        <f t="shared" si="81"/>
        <v>3.3989351265039445E-5</v>
      </c>
      <c r="T80" s="9">
        <f t="shared" si="88"/>
        <v>3.3989351265039445E-5</v>
      </c>
      <c r="U80" s="406">
        <f t="shared" si="60"/>
        <v>0.42222591326179876</v>
      </c>
      <c r="V80" s="408">
        <f t="shared" si="82"/>
        <v>5.7047910985523205E-4</v>
      </c>
      <c r="W80" s="406">
        <f t="shared" si="89"/>
        <v>5.7047910985523205E-4</v>
      </c>
      <c r="X80" s="406">
        <f t="shared" si="61"/>
        <v>0.42222591326179876</v>
      </c>
      <c r="Y80" s="406">
        <f t="shared" si="83"/>
        <v>3.5654944365952003E-3</v>
      </c>
      <c r="Z80" s="406">
        <f t="shared" si="62"/>
        <v>1.0858780872247566E-2</v>
      </c>
      <c r="AA80" s="406">
        <f t="shared" si="63"/>
        <v>4.9687500000000002E-2</v>
      </c>
      <c r="AB80" s="406">
        <f t="shared" si="64"/>
        <v>0</v>
      </c>
      <c r="AC80" s="406">
        <f t="shared" si="65"/>
        <v>6.4152947965073689E-2</v>
      </c>
      <c r="AD80" s="406">
        <f t="shared" si="66"/>
        <v>0.58550828670716493</v>
      </c>
      <c r="AE80" s="406">
        <f t="shared" si="84"/>
        <v>6.8563990760551934E-3</v>
      </c>
      <c r="AF80" s="406">
        <f t="shared" si="67"/>
        <v>2.7689999999999999E-2</v>
      </c>
      <c r="AG80" s="406">
        <f t="shared" si="68"/>
        <v>3.4584338920762764E-2</v>
      </c>
      <c r="AH80" s="406">
        <f t="shared" si="69"/>
        <v>0</v>
      </c>
      <c r="AI80">
        <f t="shared" si="70"/>
        <v>0</v>
      </c>
      <c r="AJ80" s="407">
        <f t="shared" si="71"/>
        <v>2.9971600000000001E-2</v>
      </c>
      <c r="AK80">
        <f t="shared" si="85"/>
        <v>0.03</v>
      </c>
      <c r="AL80" s="407">
        <f t="shared" si="72"/>
        <v>0.13500000000000001</v>
      </c>
      <c r="AM80" s="407">
        <f t="shared" si="86"/>
        <v>9.8855098389982105E-2</v>
      </c>
      <c r="AN80" s="407">
        <f t="shared" si="90"/>
        <v>0.16500000000000001</v>
      </c>
      <c r="AO80" s="407">
        <f t="shared" si="73"/>
        <v>0.50719766058617011</v>
      </c>
      <c r="AP80">
        <f t="shared" si="74"/>
        <v>3.6209999999999996</v>
      </c>
      <c r="AQ80" s="10">
        <f t="shared" si="91"/>
        <v>0.87713823264117818</v>
      </c>
      <c r="AR80" s="63">
        <f t="shared" si="75"/>
        <v>2.8868826584283158</v>
      </c>
      <c r="AS80" s="63">
        <f t="shared" si="92"/>
        <v>1.3833735568305106</v>
      </c>
      <c r="AT80" s="10"/>
      <c r="AU80">
        <f t="shared" si="93"/>
        <v>87.713823264117821</v>
      </c>
      <c r="BE80" s="28"/>
      <c r="BF80" s="29"/>
    </row>
    <row r="81" spans="1:58" x14ac:dyDescent="0.2">
      <c r="A81" s="2"/>
      <c r="G81">
        <v>72</v>
      </c>
      <c r="H81">
        <f t="shared" si="55"/>
        <v>0.72</v>
      </c>
      <c r="I81" s="406">
        <f t="shared" si="76"/>
        <v>0.34214559999999999</v>
      </c>
      <c r="J81" s="407">
        <f t="shared" si="56"/>
        <v>0.45163219199999999</v>
      </c>
      <c r="K81" s="407">
        <f t="shared" si="77"/>
        <v>0.94581609599999994</v>
      </c>
      <c r="L81" s="407">
        <f t="shared" si="78"/>
        <v>0.49418390400000001</v>
      </c>
      <c r="M81" s="63">
        <f t="shared" si="57"/>
        <v>0</v>
      </c>
      <c r="N81" s="406">
        <f t="shared" si="58"/>
        <v>0.73170871007814786</v>
      </c>
      <c r="O81" s="406">
        <f t="shared" si="79"/>
        <v>1.3238327050753935E-2</v>
      </c>
      <c r="P81">
        <f t="shared" si="59"/>
        <v>0.2</v>
      </c>
      <c r="Q81" s="406">
        <f t="shared" si="80"/>
        <v>0.21323832705075393</v>
      </c>
      <c r="R81" s="9">
        <f t="shared" si="87"/>
        <v>0.13037498381295037</v>
      </c>
      <c r="S81" s="9">
        <f t="shared" si="81"/>
        <v>3.3995272808454147E-5</v>
      </c>
      <c r="T81" s="9">
        <f t="shared" si="88"/>
        <v>3.3995272808454147E-5</v>
      </c>
      <c r="U81" s="406">
        <f t="shared" si="60"/>
        <v>0.42799993638563327</v>
      </c>
      <c r="V81" s="408">
        <f t="shared" si="82"/>
        <v>5.8618862574753958E-4</v>
      </c>
      <c r="W81" s="406">
        <f t="shared" si="89"/>
        <v>5.8618862574753958E-4</v>
      </c>
      <c r="X81" s="406">
        <f t="shared" si="61"/>
        <v>0.42799993638563327</v>
      </c>
      <c r="Y81" s="406">
        <f t="shared" si="83"/>
        <v>3.6636789109221225E-3</v>
      </c>
      <c r="Z81" s="406">
        <f t="shared" si="62"/>
        <v>1.1007441351443279E-2</v>
      </c>
      <c r="AA81" s="406">
        <f t="shared" si="63"/>
        <v>4.9687500000000002E-2</v>
      </c>
      <c r="AB81" s="406">
        <f t="shared" si="64"/>
        <v>0</v>
      </c>
      <c r="AC81" s="406">
        <f t="shared" si="65"/>
        <v>6.4401090347343662E-2</v>
      </c>
      <c r="AD81" s="406">
        <f t="shared" si="66"/>
        <v>0.59347593957811029</v>
      </c>
      <c r="AE81" s="406">
        <f t="shared" si="84"/>
        <v>7.0442738171624169E-3</v>
      </c>
      <c r="AF81" s="406">
        <f t="shared" si="67"/>
        <v>2.8079999999999997E-2</v>
      </c>
      <c r="AG81" s="406">
        <f t="shared" si="68"/>
        <v>3.5163906486886366E-2</v>
      </c>
      <c r="AH81" s="406">
        <f t="shared" si="69"/>
        <v>0</v>
      </c>
      <c r="AI81">
        <f t="shared" si="70"/>
        <v>0</v>
      </c>
      <c r="AJ81" s="407">
        <f t="shared" si="71"/>
        <v>2.99712E-2</v>
      </c>
      <c r="AK81">
        <f t="shared" si="85"/>
        <v>0.03</v>
      </c>
      <c r="AL81" s="407">
        <f t="shared" si="72"/>
        <v>0.13500000000000001</v>
      </c>
      <c r="AM81" s="407">
        <f t="shared" si="86"/>
        <v>9.8855098389982105E-2</v>
      </c>
      <c r="AN81" s="407">
        <f t="shared" si="90"/>
        <v>0.16500000000000001</v>
      </c>
      <c r="AO81" s="407">
        <f t="shared" si="73"/>
        <v>0.50839470778354001</v>
      </c>
      <c r="AP81">
        <f t="shared" si="74"/>
        <v>3.6719999999999997</v>
      </c>
      <c r="AQ81" s="10">
        <f t="shared" si="91"/>
        <v>0.87838595555655252</v>
      </c>
      <c r="AR81" s="63">
        <f t="shared" si="75"/>
        <v>2.8980490656304649</v>
      </c>
      <c r="AS81" s="63">
        <f t="shared" si="92"/>
        <v>1.4065562594754546</v>
      </c>
      <c r="AT81" s="10"/>
      <c r="AU81">
        <f t="shared" si="93"/>
        <v>87.838595555655246</v>
      </c>
      <c r="BE81" s="28"/>
      <c r="BF81" s="29"/>
    </row>
    <row r="82" spans="1:58" x14ac:dyDescent="0.2">
      <c r="A82" s="2"/>
      <c r="G82">
        <v>73</v>
      </c>
      <c r="H82">
        <f t="shared" si="55"/>
        <v>0.73</v>
      </c>
      <c r="I82" s="406">
        <f t="shared" si="76"/>
        <v>0.34217539999999996</v>
      </c>
      <c r="J82" s="407">
        <f t="shared" si="56"/>
        <v>0.45167152799999999</v>
      </c>
      <c r="K82" s="407">
        <f t="shared" si="77"/>
        <v>0.95583576399999992</v>
      </c>
      <c r="L82" s="407">
        <f t="shared" si="78"/>
        <v>0.50416423600000004</v>
      </c>
      <c r="M82" s="63">
        <f t="shared" si="57"/>
        <v>0</v>
      </c>
      <c r="N82" s="406">
        <f t="shared" si="58"/>
        <v>0.74155282848480941</v>
      </c>
      <c r="O82" s="406">
        <f t="shared" si="79"/>
        <v>1.3597319652835754E-2</v>
      </c>
      <c r="P82">
        <f t="shared" si="59"/>
        <v>0.2</v>
      </c>
      <c r="Q82" s="406">
        <f t="shared" si="80"/>
        <v>0.21359731965283577</v>
      </c>
      <c r="R82" s="9">
        <f t="shared" si="87"/>
        <v>0.13038633913804479</v>
      </c>
      <c r="S82" s="9">
        <f t="shared" si="81"/>
        <v>3.4001194867642464E-5</v>
      </c>
      <c r="T82" s="9">
        <f t="shared" si="88"/>
        <v>3.4001194867642464E-5</v>
      </c>
      <c r="U82" s="406">
        <f t="shared" si="60"/>
        <v>0.43377696675498656</v>
      </c>
      <c r="V82" s="408">
        <f t="shared" si="82"/>
        <v>6.0211986203890155E-4</v>
      </c>
      <c r="W82" s="406">
        <f t="shared" si="89"/>
        <v>6.0211986203890155E-4</v>
      </c>
      <c r="X82" s="406">
        <f t="shared" si="61"/>
        <v>0.43377696675498656</v>
      </c>
      <c r="Y82" s="406">
        <f t="shared" si="83"/>
        <v>3.7632491377431344E-3</v>
      </c>
      <c r="Z82" s="406">
        <f t="shared" si="62"/>
        <v>1.1156101830638993E-2</v>
      </c>
      <c r="AA82" s="406">
        <f t="shared" si="63"/>
        <v>4.9687500000000002E-2</v>
      </c>
      <c r="AB82" s="406">
        <f t="shared" si="64"/>
        <v>0</v>
      </c>
      <c r="AC82" s="406">
        <f t="shared" si="65"/>
        <v>6.4650644335060847E-2</v>
      </c>
      <c r="AD82" s="406">
        <f t="shared" si="66"/>
        <v>0.60144670632289976</v>
      </c>
      <c r="AE82" s="406">
        <f t="shared" si="84"/>
        <v>7.2347628109332889E-3</v>
      </c>
      <c r="AF82" s="406">
        <f t="shared" si="67"/>
        <v>2.8469999999999999E-2</v>
      </c>
      <c r="AG82" s="406">
        <f t="shared" si="68"/>
        <v>3.5746141187396802E-2</v>
      </c>
      <c r="AH82" s="406">
        <f t="shared" si="69"/>
        <v>0</v>
      </c>
      <c r="AI82">
        <f t="shared" si="70"/>
        <v>0</v>
      </c>
      <c r="AJ82" s="407">
        <f t="shared" si="71"/>
        <v>2.9970800000000002E-2</v>
      </c>
      <c r="AK82">
        <f t="shared" si="85"/>
        <v>0.03</v>
      </c>
      <c r="AL82" s="407">
        <f t="shared" si="72"/>
        <v>0.13500000000000001</v>
      </c>
      <c r="AM82" s="407">
        <f t="shared" si="86"/>
        <v>9.8855098389982105E-2</v>
      </c>
      <c r="AN82" s="407">
        <f t="shared" si="90"/>
        <v>0.16500000000000001</v>
      </c>
      <c r="AO82" s="407">
        <f t="shared" si="73"/>
        <v>0.50960102623220005</v>
      </c>
      <c r="AP82">
        <f t="shared" si="74"/>
        <v>3.7229999999999999</v>
      </c>
      <c r="AQ82" s="10">
        <f t="shared" si="91"/>
        <v>0.87960097749023136</v>
      </c>
      <c r="AR82" s="63">
        <f t="shared" si="75"/>
        <v>2.909278995077738</v>
      </c>
      <c r="AS82" s="63">
        <f t="shared" si="92"/>
        <v>1.4298456474958721</v>
      </c>
      <c r="AT82" s="10"/>
      <c r="AU82">
        <f t="shared" si="93"/>
        <v>87.960097749023134</v>
      </c>
      <c r="BE82" s="28"/>
      <c r="BF82" s="29"/>
    </row>
    <row r="83" spans="1:58" x14ac:dyDescent="0.2">
      <c r="A83" s="2"/>
      <c r="G83">
        <v>74</v>
      </c>
      <c r="H83">
        <f t="shared" si="55"/>
        <v>0.74</v>
      </c>
      <c r="I83" s="406">
        <f t="shared" si="76"/>
        <v>0.34220519999999993</v>
      </c>
      <c r="J83" s="407">
        <f t="shared" si="56"/>
        <v>0.45171086399999993</v>
      </c>
      <c r="K83" s="407">
        <f t="shared" si="77"/>
        <v>0.9658554319999999</v>
      </c>
      <c r="L83" s="407">
        <f t="shared" si="78"/>
        <v>0.51414456800000008</v>
      </c>
      <c r="M83" s="63">
        <f t="shared" si="57"/>
        <v>0</v>
      </c>
      <c r="N83" s="406">
        <f t="shared" si="58"/>
        <v>0.75140106382763538</v>
      </c>
      <c r="O83" s="406">
        <f t="shared" si="79"/>
        <v>1.3961283899390218E-2</v>
      </c>
      <c r="P83">
        <f t="shared" si="59"/>
        <v>0.2</v>
      </c>
      <c r="Q83" s="406">
        <f t="shared" si="80"/>
        <v>0.21396128389939023</v>
      </c>
      <c r="R83" s="9">
        <f t="shared" si="87"/>
        <v>0.1303976944631392</v>
      </c>
      <c r="S83" s="9">
        <f t="shared" si="81"/>
        <v>3.400711744260441E-5</v>
      </c>
      <c r="T83" s="9">
        <f t="shared" si="88"/>
        <v>3.400711744260441E-5</v>
      </c>
      <c r="U83" s="406">
        <f t="shared" si="60"/>
        <v>0.43955690613723147</v>
      </c>
      <c r="V83" s="408">
        <f t="shared" si="82"/>
        <v>6.1827287594539175E-4</v>
      </c>
      <c r="W83" s="406">
        <f t="shared" si="89"/>
        <v>6.1827287594539175E-4</v>
      </c>
      <c r="X83" s="406">
        <f t="shared" si="61"/>
        <v>0.43955690613723147</v>
      </c>
      <c r="Y83" s="406">
        <f t="shared" si="83"/>
        <v>3.8642054746586985E-3</v>
      </c>
      <c r="Z83" s="406">
        <f t="shared" si="62"/>
        <v>1.1304762309834708E-2</v>
      </c>
      <c r="AA83" s="406">
        <f t="shared" si="63"/>
        <v>4.9687500000000002E-2</v>
      </c>
      <c r="AB83" s="406">
        <f t="shared" si="64"/>
        <v>0</v>
      </c>
      <c r="AC83" s="406">
        <f t="shared" si="65"/>
        <v>6.4901610553079817E-2</v>
      </c>
      <c r="AD83" s="406">
        <f t="shared" si="66"/>
        <v>0.60942045009038481</v>
      </c>
      <c r="AE83" s="406">
        <f t="shared" si="84"/>
        <v>7.4278656997673444E-3</v>
      </c>
      <c r="AF83" s="406">
        <f t="shared" si="67"/>
        <v>2.886E-2</v>
      </c>
      <c r="AG83" s="406">
        <f t="shared" si="68"/>
        <v>3.6331043637827215E-2</v>
      </c>
      <c r="AH83" s="406">
        <f t="shared" si="69"/>
        <v>0</v>
      </c>
      <c r="AI83">
        <f t="shared" si="70"/>
        <v>0</v>
      </c>
      <c r="AJ83" s="407">
        <f t="shared" si="71"/>
        <v>2.9970400000000001E-2</v>
      </c>
      <c r="AK83">
        <f t="shared" si="85"/>
        <v>0.03</v>
      </c>
      <c r="AL83" s="407">
        <f t="shared" si="72"/>
        <v>0.13500000000000001</v>
      </c>
      <c r="AM83" s="407">
        <f t="shared" si="86"/>
        <v>9.8855098389982105E-2</v>
      </c>
      <c r="AN83" s="407">
        <f t="shared" si="90"/>
        <v>0.16500000000000001</v>
      </c>
      <c r="AO83" s="407">
        <f t="shared" si="73"/>
        <v>0.51081661808368528</v>
      </c>
      <c r="AP83">
        <f t="shared" si="74"/>
        <v>3.7739999999999996</v>
      </c>
      <c r="AQ83" s="10">
        <f t="shared" si="91"/>
        <v>0.88078448540181875</v>
      </c>
      <c r="AR83" s="63">
        <f t="shared" si="75"/>
        <v>2.920572474888592</v>
      </c>
      <c r="AS83" s="63">
        <f t="shared" si="92"/>
        <v>1.4532417455130886</v>
      </c>
      <c r="AT83" s="10"/>
      <c r="AU83">
        <f t="shared" si="93"/>
        <v>88.078448540181881</v>
      </c>
      <c r="BE83" s="28"/>
      <c r="BF83" s="29"/>
    </row>
    <row r="84" spans="1:58" x14ac:dyDescent="0.2">
      <c r="G84">
        <v>75</v>
      </c>
      <c r="H84">
        <f t="shared" si="55"/>
        <v>0.75</v>
      </c>
      <c r="I84" s="406">
        <f t="shared" si="76"/>
        <v>0.34223499999999996</v>
      </c>
      <c r="J84" s="407">
        <f t="shared" si="56"/>
        <v>0.45175019999999999</v>
      </c>
      <c r="K84" s="407">
        <f t="shared" si="77"/>
        <v>0.9758751</v>
      </c>
      <c r="L84" s="407">
        <f t="shared" si="78"/>
        <v>0.5241249</v>
      </c>
      <c r="M84" s="63">
        <f t="shared" si="57"/>
        <v>0</v>
      </c>
      <c r="N84" s="406">
        <f t="shared" si="58"/>
        <v>0.76125325632582352</v>
      </c>
      <c r="O84" s="406">
        <f t="shared" si="79"/>
        <v>1.4330220656249689E-2</v>
      </c>
      <c r="P84">
        <f t="shared" si="59"/>
        <v>0.2</v>
      </c>
      <c r="Q84" s="406">
        <f t="shared" si="80"/>
        <v>0.21433022065624971</v>
      </c>
      <c r="R84" s="9">
        <f t="shared" si="87"/>
        <v>0.13040904978823364</v>
      </c>
      <c r="S84" s="9">
        <f t="shared" si="81"/>
        <v>3.4013040533340005E-5</v>
      </c>
      <c r="T84" s="9">
        <f t="shared" si="88"/>
        <v>3.4013040533340005E-5</v>
      </c>
      <c r="U84" s="406">
        <f t="shared" si="60"/>
        <v>0.44533966134116526</v>
      </c>
      <c r="V84" s="408">
        <f t="shared" si="82"/>
        <v>6.3464772468308406E-4</v>
      </c>
      <c r="W84" s="406">
        <f t="shared" si="89"/>
        <v>6.3464772468308406E-4</v>
      </c>
      <c r="X84" s="406">
        <f t="shared" si="61"/>
        <v>0.44533966134116526</v>
      </c>
      <c r="Y84" s="406">
        <f t="shared" si="83"/>
        <v>3.9665482792692755E-3</v>
      </c>
      <c r="Z84" s="406">
        <f t="shared" si="62"/>
        <v>1.145342278903042E-2</v>
      </c>
      <c r="AA84" s="406">
        <f t="shared" si="63"/>
        <v>4.9687500000000002E-2</v>
      </c>
      <c r="AB84" s="406">
        <f t="shared" si="64"/>
        <v>0</v>
      </c>
      <c r="AC84" s="406">
        <f t="shared" si="65"/>
        <v>6.5153989628480402E-2</v>
      </c>
      <c r="AD84" s="406">
        <f t="shared" si="66"/>
        <v>0.61739704105478688</v>
      </c>
      <c r="AE84" s="406">
        <f t="shared" si="84"/>
        <v>7.6235821260641238E-3</v>
      </c>
      <c r="AF84" s="406">
        <f t="shared" si="67"/>
        <v>2.9249999999999998E-2</v>
      </c>
      <c r="AG84" s="406">
        <f t="shared" si="68"/>
        <v>3.6918614460355166E-2</v>
      </c>
      <c r="AH84" s="406">
        <f t="shared" si="69"/>
        <v>0</v>
      </c>
      <c r="AI84">
        <f t="shared" si="70"/>
        <v>0</v>
      </c>
      <c r="AJ84" s="407">
        <f t="shared" si="71"/>
        <v>2.997E-2</v>
      </c>
      <c r="AK84">
        <f t="shared" si="85"/>
        <v>0.03</v>
      </c>
      <c r="AL84" s="407">
        <f t="shared" si="72"/>
        <v>0.13500000000000001</v>
      </c>
      <c r="AM84" s="407">
        <f t="shared" si="86"/>
        <v>9.8855098389982105E-2</v>
      </c>
      <c r="AN84" s="407">
        <f t="shared" si="90"/>
        <v>0.16500000000000001</v>
      </c>
      <c r="AO84" s="407">
        <f t="shared" si="73"/>
        <v>0.51204148551030171</v>
      </c>
      <c r="AP84">
        <f t="shared" si="74"/>
        <v>3.8249999999999997</v>
      </c>
      <c r="AQ84" s="10">
        <f t="shared" si="91"/>
        <v>0.88193760949232558</v>
      </c>
      <c r="AR84" s="63">
        <f t="shared" si="75"/>
        <v>2.9319295332816182</v>
      </c>
      <c r="AS84" s="63">
        <f t="shared" si="92"/>
        <v>1.4767445784142066</v>
      </c>
      <c r="AT84" s="10"/>
      <c r="AU84">
        <f t="shared" si="93"/>
        <v>88.193760949232555</v>
      </c>
      <c r="BE84" s="28"/>
      <c r="BF84" s="29"/>
    </row>
    <row r="85" spans="1:58" x14ac:dyDescent="0.2">
      <c r="G85">
        <v>76</v>
      </c>
      <c r="H85">
        <f t="shared" si="55"/>
        <v>0.76</v>
      </c>
      <c r="I85" s="406">
        <f t="shared" si="76"/>
        <v>0.34226479999999998</v>
      </c>
      <c r="J85" s="407">
        <f t="shared" si="56"/>
        <v>0.45178953599999999</v>
      </c>
      <c r="K85" s="407">
        <f t="shared" si="77"/>
        <v>0.98589476799999998</v>
      </c>
      <c r="L85" s="407">
        <f t="shared" si="78"/>
        <v>0.53410523200000004</v>
      </c>
      <c r="M85" s="63">
        <f t="shared" si="57"/>
        <v>0</v>
      </c>
      <c r="N85" s="406">
        <f t="shared" si="58"/>
        <v>0.77110925430183019</v>
      </c>
      <c r="O85" s="406">
        <f t="shared" si="79"/>
        <v>1.4704130801152663E-2</v>
      </c>
      <c r="P85">
        <f t="shared" si="59"/>
        <v>0.2</v>
      </c>
      <c r="Q85" s="406">
        <f t="shared" si="80"/>
        <v>0.21470413080115267</v>
      </c>
      <c r="R85" s="9">
        <f t="shared" si="87"/>
        <v>0.13042040511332806</v>
      </c>
      <c r="S85" s="9">
        <f t="shared" si="81"/>
        <v>3.4018964139849214E-5</v>
      </c>
      <c r="T85" s="9">
        <f t="shared" si="88"/>
        <v>3.4018964139849214E-5</v>
      </c>
      <c r="U85" s="406">
        <f t="shared" si="60"/>
        <v>0.45112514389996744</v>
      </c>
      <c r="V85" s="408">
        <f t="shared" si="82"/>
        <v>6.5124446546805227E-4</v>
      </c>
      <c r="W85" s="406">
        <f t="shared" si="89"/>
        <v>6.5124446546805227E-4</v>
      </c>
      <c r="X85" s="406">
        <f t="shared" si="61"/>
        <v>0.45112514389996744</v>
      </c>
      <c r="Y85" s="406">
        <f t="shared" si="83"/>
        <v>4.0702779091753268E-3</v>
      </c>
      <c r="Z85" s="406">
        <f t="shared" si="62"/>
        <v>1.1602083268226135E-2</v>
      </c>
      <c r="AA85" s="406">
        <f t="shared" si="63"/>
        <v>4.9687500000000002E-2</v>
      </c>
      <c r="AB85" s="406">
        <f t="shared" si="64"/>
        <v>0</v>
      </c>
      <c r="AC85" s="406">
        <f t="shared" si="65"/>
        <v>6.5407782190570377E-2</v>
      </c>
      <c r="AD85" s="406">
        <f t="shared" si="66"/>
        <v>0.62537635597387142</v>
      </c>
      <c r="AE85" s="406">
        <f t="shared" si="84"/>
        <v>7.8219117322231666E-3</v>
      </c>
      <c r="AF85" s="406">
        <f t="shared" si="67"/>
        <v>2.964E-2</v>
      </c>
      <c r="AG85" s="406">
        <f t="shared" si="68"/>
        <v>3.7508854283804724E-2</v>
      </c>
      <c r="AH85" s="406">
        <f t="shared" si="69"/>
        <v>0</v>
      </c>
      <c r="AI85">
        <f t="shared" si="70"/>
        <v>0</v>
      </c>
      <c r="AJ85" s="407">
        <f t="shared" si="71"/>
        <v>2.9969599999999999E-2</v>
      </c>
      <c r="AK85">
        <f t="shared" si="85"/>
        <v>0.03</v>
      </c>
      <c r="AL85" s="407">
        <f t="shared" si="72"/>
        <v>0.13500000000000001</v>
      </c>
      <c r="AM85" s="407">
        <f t="shared" si="86"/>
        <v>9.8855098389982105E-2</v>
      </c>
      <c r="AN85" s="407">
        <f t="shared" si="90"/>
        <v>0.16500000000000001</v>
      </c>
      <c r="AO85" s="407">
        <f t="shared" si="73"/>
        <v>0.51327563070513571</v>
      </c>
      <c r="AP85">
        <f t="shared" si="74"/>
        <v>3.8759999999999999</v>
      </c>
      <c r="AQ85" s="10">
        <f t="shared" si="91"/>
        <v>0.88306142655646391</v>
      </c>
      <c r="AR85" s="63">
        <f t="shared" si="75"/>
        <v>2.9433501985756672</v>
      </c>
      <c r="AS85" s="63">
        <f t="shared" si="92"/>
        <v>1.5003541713521891</v>
      </c>
      <c r="AT85" s="10"/>
      <c r="AU85">
        <f t="shared" si="93"/>
        <v>88.306142655646397</v>
      </c>
      <c r="BE85" s="28"/>
      <c r="BF85" s="29"/>
    </row>
    <row r="86" spans="1:58" x14ac:dyDescent="0.2">
      <c r="G86">
        <v>77</v>
      </c>
      <c r="H86">
        <f t="shared" si="55"/>
        <v>0.77</v>
      </c>
      <c r="I86" s="406">
        <f t="shared" si="76"/>
        <v>0.34229459999999995</v>
      </c>
      <c r="J86" s="407">
        <f t="shared" si="56"/>
        <v>0.45182887199999994</v>
      </c>
      <c r="K86" s="407">
        <f t="shared" si="77"/>
        <v>0.99591443599999996</v>
      </c>
      <c r="L86" s="407">
        <f t="shared" si="78"/>
        <v>0.54408556400000008</v>
      </c>
      <c r="M86" s="63">
        <f t="shared" si="57"/>
        <v>0</v>
      </c>
      <c r="N86" s="406">
        <f t="shared" si="58"/>
        <v>0.78096891367778909</v>
      </c>
      <c r="O86" s="406">
        <f t="shared" si="79"/>
        <v>1.5083015223748974E-2</v>
      </c>
      <c r="P86">
        <f t="shared" si="59"/>
        <v>0.2</v>
      </c>
      <c r="Q86" s="406">
        <f t="shared" si="80"/>
        <v>0.21508301522374898</v>
      </c>
      <c r="R86" s="9">
        <f t="shared" si="87"/>
        <v>0.13043176043842247</v>
      </c>
      <c r="S86" s="9">
        <f t="shared" si="81"/>
        <v>3.4024888262132066E-5</v>
      </c>
      <c r="T86" s="9">
        <f t="shared" si="88"/>
        <v>3.4024888262132066E-5</v>
      </c>
      <c r="U86" s="406">
        <f t="shared" si="60"/>
        <v>0.45691326977760838</v>
      </c>
      <c r="V86" s="408">
        <f t="shared" si="82"/>
        <v>6.6806315551636974E-4</v>
      </c>
      <c r="W86" s="406">
        <f t="shared" si="89"/>
        <v>6.6806315551636974E-4</v>
      </c>
      <c r="X86" s="406">
        <f t="shared" si="61"/>
        <v>0.45691326977760838</v>
      </c>
      <c r="Y86" s="406">
        <f t="shared" si="83"/>
        <v>4.1753947219773111E-3</v>
      </c>
      <c r="Z86" s="406">
        <f t="shared" si="62"/>
        <v>1.1750743747421848E-2</v>
      </c>
      <c r="AA86" s="406">
        <f t="shared" si="63"/>
        <v>4.9687500000000002E-2</v>
      </c>
      <c r="AB86" s="406">
        <f t="shared" si="64"/>
        <v>0</v>
      </c>
      <c r="AC86" s="406">
        <f t="shared" si="65"/>
        <v>6.5662988870888103E-2</v>
      </c>
      <c r="AD86" s="406">
        <f t="shared" si="66"/>
        <v>0.6333582777798048</v>
      </c>
      <c r="AE86" s="406">
        <f t="shared" si="84"/>
        <v>8.0228541606440079E-3</v>
      </c>
      <c r="AF86" s="406">
        <f t="shared" si="67"/>
        <v>3.0030000000000001E-2</v>
      </c>
      <c r="AG86" s="406">
        <f t="shared" si="68"/>
        <v>3.8101763743648584E-2</v>
      </c>
      <c r="AH86" s="406">
        <f t="shared" si="69"/>
        <v>0</v>
      </c>
      <c r="AI86">
        <f t="shared" si="70"/>
        <v>0</v>
      </c>
      <c r="AJ86" s="407">
        <f t="shared" si="71"/>
        <v>2.9969200000000001E-2</v>
      </c>
      <c r="AK86">
        <f t="shared" si="85"/>
        <v>0.03</v>
      </c>
      <c r="AL86" s="407">
        <f t="shared" si="72"/>
        <v>0.13500000000000001</v>
      </c>
      <c r="AM86" s="407">
        <f t="shared" si="86"/>
        <v>9.8855098389982105E-2</v>
      </c>
      <c r="AN86" s="407">
        <f t="shared" si="90"/>
        <v>0.16500000000000001</v>
      </c>
      <c r="AO86" s="407">
        <f t="shared" si="73"/>
        <v>0.51451905588206426</v>
      </c>
      <c r="AP86">
        <f t="shared" si="74"/>
        <v>3.9269999999999996</v>
      </c>
      <c r="AQ86" s="10">
        <f t="shared" si="91"/>
        <v>0.88415696310012037</v>
      </c>
      <c r="AR86" s="63">
        <f t="shared" si="75"/>
        <v>2.9548344991899644</v>
      </c>
      <c r="AS86" s="63">
        <f t="shared" si="92"/>
        <v>1.5240705497459435</v>
      </c>
      <c r="AT86" s="10"/>
      <c r="AU86">
        <f t="shared" si="93"/>
        <v>88.415696310012038</v>
      </c>
      <c r="BE86" s="28"/>
      <c r="BF86" s="29"/>
    </row>
    <row r="87" spans="1:58" x14ac:dyDescent="0.2">
      <c r="G87">
        <v>78</v>
      </c>
      <c r="H87">
        <f t="shared" si="55"/>
        <v>0.78</v>
      </c>
      <c r="I87" s="406">
        <f t="shared" si="76"/>
        <v>0.34232439999999997</v>
      </c>
      <c r="J87" s="407">
        <f t="shared" si="56"/>
        <v>0.45186820799999994</v>
      </c>
      <c r="K87" s="407">
        <f t="shared" si="77"/>
        <v>1.0059341040000001</v>
      </c>
      <c r="L87" s="407">
        <f t="shared" si="78"/>
        <v>0.554065896</v>
      </c>
      <c r="M87" s="63">
        <f t="shared" si="57"/>
        <v>0</v>
      </c>
      <c r="N87" s="406">
        <f t="shared" si="58"/>
        <v>0.79083209750875327</v>
      </c>
      <c r="O87" s="406">
        <f t="shared" si="79"/>
        <v>1.5466874825605131E-2</v>
      </c>
      <c r="P87">
        <f t="shared" si="59"/>
        <v>0.2</v>
      </c>
      <c r="Q87" s="406">
        <f t="shared" si="80"/>
        <v>0.21546687482560514</v>
      </c>
      <c r="R87" s="9">
        <f t="shared" si="87"/>
        <v>0.13044311576351689</v>
      </c>
      <c r="S87" s="9">
        <f t="shared" si="81"/>
        <v>3.4030812900188533E-5</v>
      </c>
      <c r="T87" s="9">
        <f t="shared" si="88"/>
        <v>3.4030812900188533E-5</v>
      </c>
      <c r="U87" s="406">
        <f t="shared" si="60"/>
        <v>0.4627039590967259</v>
      </c>
      <c r="V87" s="408">
        <f t="shared" si="82"/>
        <v>6.8510385204411078E-4</v>
      </c>
      <c r="W87" s="406">
        <f t="shared" si="89"/>
        <v>6.8510385204411078E-4</v>
      </c>
      <c r="X87" s="406">
        <f t="shared" si="61"/>
        <v>0.4627039590967259</v>
      </c>
      <c r="Y87" s="406">
        <f t="shared" si="83"/>
        <v>4.2818990752756924E-3</v>
      </c>
      <c r="Z87" s="406">
        <f t="shared" si="62"/>
        <v>1.1899404226617564E-2</v>
      </c>
      <c r="AA87" s="406">
        <f t="shared" si="63"/>
        <v>4.9687500000000002E-2</v>
      </c>
      <c r="AB87" s="406">
        <f t="shared" si="64"/>
        <v>0</v>
      </c>
      <c r="AC87" s="406">
        <f t="shared" si="65"/>
        <v>6.5919610303205228E-2</v>
      </c>
      <c r="AD87" s="406">
        <f t="shared" si="66"/>
        <v>0.64134269519992948</v>
      </c>
      <c r="AE87" s="406">
        <f t="shared" si="84"/>
        <v>8.2264090537261924E-3</v>
      </c>
      <c r="AF87" s="406">
        <f t="shared" si="67"/>
        <v>3.0420000000000003E-2</v>
      </c>
      <c r="AG87" s="406">
        <f t="shared" si="68"/>
        <v>3.8697343482010288E-2</v>
      </c>
      <c r="AH87" s="406">
        <f t="shared" si="69"/>
        <v>0</v>
      </c>
      <c r="AI87">
        <f t="shared" si="70"/>
        <v>0</v>
      </c>
      <c r="AJ87" s="407">
        <f t="shared" si="71"/>
        <v>2.9968800000000004E-2</v>
      </c>
      <c r="AK87">
        <f t="shared" si="85"/>
        <v>0.03</v>
      </c>
      <c r="AL87" s="407">
        <f t="shared" si="72"/>
        <v>0.13500000000000001</v>
      </c>
      <c r="AM87" s="407">
        <f t="shared" si="86"/>
        <v>9.8855098389982105E-2</v>
      </c>
      <c r="AN87" s="407">
        <f t="shared" si="90"/>
        <v>0.16500000000000001</v>
      </c>
      <c r="AO87" s="407">
        <f t="shared" si="73"/>
        <v>0.51577176327576502</v>
      </c>
      <c r="AP87">
        <f t="shared" si="74"/>
        <v>3.9779999999999998</v>
      </c>
      <c r="AQ87" s="10">
        <f t="shared" si="91"/>
        <v>0.88522519824197965</v>
      </c>
      <c r="AR87" s="63">
        <f t="shared" si="75"/>
        <v>2.9663824636442353</v>
      </c>
      <c r="AS87" s="63">
        <f t="shared" si="92"/>
        <v>1.5478937392804115</v>
      </c>
      <c r="AT87" s="10"/>
      <c r="AU87">
        <f t="shared" si="93"/>
        <v>88.522519824197971</v>
      </c>
      <c r="BE87" s="28"/>
      <c r="BF87" s="29"/>
    </row>
    <row r="88" spans="1:58" x14ac:dyDescent="0.2">
      <c r="G88">
        <v>79</v>
      </c>
      <c r="H88">
        <f t="shared" si="55"/>
        <v>0.79</v>
      </c>
      <c r="I88" s="406">
        <f t="shared" si="76"/>
        <v>0.34235419999999994</v>
      </c>
      <c r="J88" s="407">
        <f t="shared" si="56"/>
        <v>0.45190754399999994</v>
      </c>
      <c r="K88" s="407">
        <f t="shared" si="77"/>
        <v>1.015953772</v>
      </c>
      <c r="L88" s="407">
        <f t="shared" si="78"/>
        <v>0.56404622800000004</v>
      </c>
      <c r="M88" s="63">
        <f t="shared" si="57"/>
        <v>0</v>
      </c>
      <c r="N88" s="406">
        <f t="shared" si="58"/>
        <v>0.80069867554967855</v>
      </c>
      <c r="O88" s="406">
        <f t="shared" si="79"/>
        <v>1.5855710520209648E-2</v>
      </c>
      <c r="P88">
        <f t="shared" si="59"/>
        <v>0.2</v>
      </c>
      <c r="Q88" s="406">
        <f t="shared" si="80"/>
        <v>0.21585571052020966</v>
      </c>
      <c r="R88" s="9">
        <f t="shared" si="87"/>
        <v>0.1304544710886113</v>
      </c>
      <c r="S88" s="9">
        <f t="shared" si="81"/>
        <v>3.4036738054018641E-5</v>
      </c>
      <c r="T88" s="9">
        <f t="shared" si="88"/>
        <v>3.4036738054018641E-5</v>
      </c>
      <c r="U88" s="406">
        <f t="shared" si="60"/>
        <v>0.46849713588617226</v>
      </c>
      <c r="V88" s="408">
        <f t="shared" si="82"/>
        <v>7.0236661226734897E-4</v>
      </c>
      <c r="W88" s="406">
        <f t="shared" si="89"/>
        <v>7.0236661226734897E-4</v>
      </c>
      <c r="X88" s="406">
        <f t="shared" si="61"/>
        <v>0.46849713588617226</v>
      </c>
      <c r="Y88" s="406">
        <f t="shared" si="83"/>
        <v>4.3897913266709313E-3</v>
      </c>
      <c r="Z88" s="406">
        <f t="shared" si="62"/>
        <v>1.2048064705813275E-2</v>
      </c>
      <c r="AA88" s="406">
        <f t="shared" si="63"/>
        <v>4.9687500000000002E-2</v>
      </c>
      <c r="AB88" s="406">
        <f t="shared" si="64"/>
        <v>0</v>
      </c>
      <c r="AC88" s="406">
        <f t="shared" si="65"/>
        <v>6.6177647123529429E-2</v>
      </c>
      <c r="AD88" s="406">
        <f t="shared" si="66"/>
        <v>0.64932950240495224</v>
      </c>
      <c r="AE88" s="406">
        <f t="shared" si="84"/>
        <v>8.4325760538692569E-3</v>
      </c>
      <c r="AF88" s="406">
        <f t="shared" si="67"/>
        <v>3.0810000000000001E-2</v>
      </c>
      <c r="AG88" s="406">
        <f t="shared" si="68"/>
        <v>3.9295594147666403E-2</v>
      </c>
      <c r="AH88" s="406">
        <f t="shared" si="69"/>
        <v>0</v>
      </c>
      <c r="AI88">
        <f t="shared" si="70"/>
        <v>0</v>
      </c>
      <c r="AJ88" s="407">
        <f t="shared" si="71"/>
        <v>2.9968399999999999E-2</v>
      </c>
      <c r="AK88">
        <f t="shared" si="85"/>
        <v>0.03</v>
      </c>
      <c r="AL88" s="407">
        <f t="shared" si="72"/>
        <v>0.13500000000000001</v>
      </c>
      <c r="AM88" s="407">
        <f t="shared" si="86"/>
        <v>9.8855098389982105E-2</v>
      </c>
      <c r="AN88" s="407">
        <f t="shared" si="90"/>
        <v>0.16500000000000001</v>
      </c>
      <c r="AO88" s="407">
        <f t="shared" si="73"/>
        <v>0.51703375514172689</v>
      </c>
      <c r="AP88">
        <f t="shared" si="74"/>
        <v>4.0289999999999999</v>
      </c>
      <c r="AQ88" s="10">
        <f t="shared" si="91"/>
        <v>0.88626706641653441</v>
      </c>
      <c r="AR88" s="63">
        <f t="shared" si="75"/>
        <v>2.9779941205588245</v>
      </c>
      <c r="AS88" s="63">
        <f t="shared" si="92"/>
        <v>1.5718237659066561</v>
      </c>
      <c r="AT88" s="10"/>
      <c r="AU88">
        <f t="shared" si="93"/>
        <v>88.626706641653442</v>
      </c>
      <c r="BE88" s="28"/>
      <c r="BF88" s="29"/>
    </row>
    <row r="89" spans="1:58" x14ac:dyDescent="0.2">
      <c r="G89">
        <v>80</v>
      </c>
      <c r="H89">
        <f t="shared" si="55"/>
        <v>0.8</v>
      </c>
      <c r="I89" s="406">
        <f t="shared" si="76"/>
        <v>0.34238399999999997</v>
      </c>
      <c r="J89" s="407">
        <f t="shared" si="56"/>
        <v>0.45194688</v>
      </c>
      <c r="K89" s="407">
        <f t="shared" si="77"/>
        <v>1.02597344</v>
      </c>
      <c r="L89" s="407">
        <f t="shared" si="78"/>
        <v>0.57402656000000007</v>
      </c>
      <c r="M89" s="63">
        <f t="shared" si="57"/>
        <v>0</v>
      </c>
      <c r="N89" s="406">
        <f t="shared" si="58"/>
        <v>0.81056852385335776</v>
      </c>
      <c r="O89" s="406">
        <f t="shared" si="79"/>
        <v>1.6249523232978527E-2</v>
      </c>
      <c r="P89">
        <f t="shared" si="59"/>
        <v>0.2</v>
      </c>
      <c r="Q89" s="406">
        <f t="shared" si="80"/>
        <v>0.21624952323297852</v>
      </c>
      <c r="R89" s="9">
        <f t="shared" si="87"/>
        <v>0.13046582641370574</v>
      </c>
      <c r="S89" s="9">
        <f t="shared" si="81"/>
        <v>3.4042663723622399E-5</v>
      </c>
      <c r="T89" s="9">
        <f t="shared" si="88"/>
        <v>3.4042663723622399E-5</v>
      </c>
      <c r="U89" s="406">
        <f t="shared" si="60"/>
        <v>0.47429272784660576</v>
      </c>
      <c r="V89" s="408">
        <f t="shared" si="82"/>
        <v>7.198514934021583E-4</v>
      </c>
      <c r="W89" s="406">
        <f t="shared" si="89"/>
        <v>7.198514934021583E-4</v>
      </c>
      <c r="X89" s="406">
        <f t="shared" si="61"/>
        <v>0.47429272784660576</v>
      </c>
      <c r="Y89" s="406">
        <f t="shared" si="83"/>
        <v>4.4990718337634891E-3</v>
      </c>
      <c r="Z89" s="406">
        <f t="shared" si="62"/>
        <v>1.2196725185008988E-2</v>
      </c>
      <c r="AA89" s="406">
        <f t="shared" si="63"/>
        <v>4.9687500000000002E-2</v>
      </c>
      <c r="AB89" s="406">
        <f t="shared" si="64"/>
        <v>0</v>
      </c>
      <c r="AC89" s="406">
        <f t="shared" si="65"/>
        <v>6.6437099970107119E-2</v>
      </c>
      <c r="AD89" s="406">
        <f t="shared" si="66"/>
        <v>0.65731859868228049</v>
      </c>
      <c r="AE89" s="406">
        <f t="shared" si="84"/>
        <v>8.6413548034727384E-3</v>
      </c>
      <c r="AF89" s="406">
        <f t="shared" si="67"/>
        <v>3.1200000000000002E-2</v>
      </c>
      <c r="AG89" s="406">
        <f t="shared" si="68"/>
        <v>3.9896516396048874E-2</v>
      </c>
      <c r="AH89" s="406">
        <f t="shared" si="69"/>
        <v>0</v>
      </c>
      <c r="AI89">
        <f t="shared" si="70"/>
        <v>0</v>
      </c>
      <c r="AJ89" s="407">
        <f t="shared" si="71"/>
        <v>2.9968000000000002E-2</v>
      </c>
      <c r="AK89">
        <f t="shared" si="85"/>
        <v>0.03</v>
      </c>
      <c r="AL89" s="407">
        <f t="shared" si="72"/>
        <v>0.13500000000000001</v>
      </c>
      <c r="AM89" s="407">
        <f t="shared" si="86"/>
        <v>9.8855098389982105E-2</v>
      </c>
      <c r="AN89" s="407">
        <f t="shared" si="90"/>
        <v>0.16500000000000001</v>
      </c>
      <c r="AO89" s="407">
        <f t="shared" si="73"/>
        <v>0.51830503375626025</v>
      </c>
      <c r="AP89">
        <f t="shared" si="74"/>
        <v>4.08</v>
      </c>
      <c r="AQ89" s="10">
        <f t="shared" si="91"/>
        <v>0.88728345989416291</v>
      </c>
      <c r="AR89" s="63">
        <f t="shared" si="75"/>
        <v>2.9896694986548202</v>
      </c>
      <c r="AS89" s="63">
        <f t="shared" si="92"/>
        <v>1.595860655841955</v>
      </c>
      <c r="AT89" s="10"/>
      <c r="AU89">
        <f t="shared" si="93"/>
        <v>88.728345989416297</v>
      </c>
      <c r="BE89" s="28"/>
      <c r="BF89" s="29"/>
    </row>
    <row r="90" spans="1:58" x14ac:dyDescent="0.2">
      <c r="G90">
        <v>81</v>
      </c>
      <c r="H90">
        <f t="shared" si="55"/>
        <v>0.81</v>
      </c>
      <c r="I90" s="406">
        <f t="shared" si="76"/>
        <v>0.34241379999999999</v>
      </c>
      <c r="J90" s="407">
        <f t="shared" si="56"/>
        <v>0.451986216</v>
      </c>
      <c r="K90" s="407">
        <f t="shared" si="77"/>
        <v>1.035993108</v>
      </c>
      <c r="L90" s="407">
        <f t="shared" si="78"/>
        <v>0.58400689200000011</v>
      </c>
      <c r="M90" s="63">
        <f t="shared" si="57"/>
        <v>0</v>
      </c>
      <c r="N90" s="406">
        <f t="shared" si="58"/>
        <v>0.82044152439677254</v>
      </c>
      <c r="O90" s="406">
        <f t="shared" si="79"/>
        <v>1.6648313901260713E-2</v>
      </c>
      <c r="P90">
        <f t="shared" si="59"/>
        <v>0.2</v>
      </c>
      <c r="Q90" s="406">
        <f t="shared" si="80"/>
        <v>0.21664831390126071</v>
      </c>
      <c r="R90" s="9">
        <f t="shared" si="87"/>
        <v>0.13047718173880019</v>
      </c>
      <c r="S90" s="9">
        <f t="shared" si="81"/>
        <v>3.4048589908999785E-5</v>
      </c>
      <c r="T90" s="9">
        <f t="shared" si="88"/>
        <v>3.4048589908999785E-5</v>
      </c>
      <c r="U90" s="406">
        <f t="shared" si="60"/>
        <v>0.4800906661326495</v>
      </c>
      <c r="V90" s="408">
        <f t="shared" si="82"/>
        <v>7.3755855266461169E-4</v>
      </c>
      <c r="W90" s="406">
        <f t="shared" si="89"/>
        <v>7.3755855266461169E-4</v>
      </c>
      <c r="X90" s="406">
        <f t="shared" si="61"/>
        <v>0.4800906661326495</v>
      </c>
      <c r="Y90" s="406">
        <f t="shared" si="83"/>
        <v>4.609740954153823E-3</v>
      </c>
      <c r="Z90" s="406">
        <f t="shared" si="62"/>
        <v>1.2345385664204704E-2</v>
      </c>
      <c r="AA90" s="406">
        <f t="shared" si="63"/>
        <v>4.9687500000000002E-2</v>
      </c>
      <c r="AB90" s="406">
        <f t="shared" si="64"/>
        <v>0</v>
      </c>
      <c r="AC90" s="406">
        <f t="shared" si="65"/>
        <v>6.6697969483426128E-2</v>
      </c>
      <c r="AD90" s="406">
        <f t="shared" si="66"/>
        <v>0.66530988813244674</v>
      </c>
      <c r="AE90" s="406">
        <f t="shared" si="84"/>
        <v>8.8527449449361771E-3</v>
      </c>
      <c r="AF90" s="406">
        <f t="shared" si="67"/>
        <v>3.159E-2</v>
      </c>
      <c r="AG90" s="406">
        <f t="shared" si="68"/>
        <v>4.0500110889247237E-2</v>
      </c>
      <c r="AH90" s="406">
        <f t="shared" si="69"/>
        <v>0</v>
      </c>
      <c r="AI90">
        <f t="shared" si="70"/>
        <v>0</v>
      </c>
      <c r="AJ90" s="407">
        <f t="shared" si="71"/>
        <v>2.99676E-2</v>
      </c>
      <c r="AK90">
        <f t="shared" si="85"/>
        <v>0.03</v>
      </c>
      <c r="AL90" s="407">
        <f t="shared" si="72"/>
        <v>0.13500000000000001</v>
      </c>
      <c r="AM90" s="407">
        <f t="shared" si="86"/>
        <v>9.8855098389982105E-2</v>
      </c>
      <c r="AN90" s="407">
        <f t="shared" si="90"/>
        <v>0.16500000000000001</v>
      </c>
      <c r="AO90" s="407">
        <f t="shared" si="73"/>
        <v>0.51958560141650767</v>
      </c>
      <c r="AP90">
        <f t="shared" si="74"/>
        <v>4.1310000000000002</v>
      </c>
      <c r="AQ90" s="10">
        <f t="shared" si="91"/>
        <v>0.88827523113255913</v>
      </c>
      <c r="AR90" s="63">
        <f t="shared" si="75"/>
        <v>3.0014086267541757</v>
      </c>
      <c r="AS90" s="63">
        <f t="shared" si="92"/>
        <v>1.6200044355698895</v>
      </c>
      <c r="AT90" s="10"/>
      <c r="AU90">
        <f t="shared" si="93"/>
        <v>88.827523113255907</v>
      </c>
      <c r="BE90" s="28"/>
      <c r="BF90" s="29"/>
    </row>
    <row r="91" spans="1:58" x14ac:dyDescent="0.2">
      <c r="G91">
        <v>82</v>
      </c>
      <c r="H91">
        <f t="shared" si="55"/>
        <v>0.82</v>
      </c>
      <c r="I91" s="406">
        <f t="shared" si="76"/>
        <v>0.34244360000000001</v>
      </c>
      <c r="J91" s="407">
        <f t="shared" si="56"/>
        <v>0.45202555200000005</v>
      </c>
      <c r="K91" s="407">
        <f t="shared" si="77"/>
        <v>1.046012776</v>
      </c>
      <c r="L91" s="407">
        <f t="shared" si="78"/>
        <v>0.59398722399999992</v>
      </c>
      <c r="M91" s="63">
        <f t="shared" si="57"/>
        <v>0</v>
      </c>
      <c r="N91" s="406">
        <f t="shared" si="58"/>
        <v>0.83031756473356344</v>
      </c>
      <c r="O91" s="406">
        <f t="shared" si="79"/>
        <v>1.7052083474343775E-2</v>
      </c>
      <c r="P91">
        <f t="shared" si="59"/>
        <v>0.2</v>
      </c>
      <c r="Q91" s="406">
        <f t="shared" si="80"/>
        <v>0.21705208347434379</v>
      </c>
      <c r="R91" s="9">
        <f t="shared" si="87"/>
        <v>0.1304885370638946</v>
      </c>
      <c r="S91" s="9">
        <f t="shared" si="81"/>
        <v>3.4054516610150793E-5</v>
      </c>
      <c r="T91" s="9">
        <f t="shared" si="88"/>
        <v>3.4054516610150793E-5</v>
      </c>
      <c r="U91" s="406">
        <f t="shared" si="60"/>
        <v>0.48589088515027723</v>
      </c>
      <c r="V91" s="408">
        <f t="shared" si="82"/>
        <v>7.554878472707837E-4</v>
      </c>
      <c r="W91" s="406">
        <f t="shared" si="89"/>
        <v>7.554878472707837E-4</v>
      </c>
      <c r="X91" s="406">
        <f t="shared" si="61"/>
        <v>0.48589088515027723</v>
      </c>
      <c r="Y91" s="406">
        <f t="shared" si="83"/>
        <v>4.7217990454423977E-3</v>
      </c>
      <c r="Z91" s="406">
        <f t="shared" si="62"/>
        <v>1.2494046143400415E-2</v>
      </c>
      <c r="AA91" s="406">
        <f t="shared" si="63"/>
        <v>4.9687500000000002E-2</v>
      </c>
      <c r="AB91" s="406">
        <f t="shared" si="64"/>
        <v>0</v>
      </c>
      <c r="AC91" s="406">
        <f t="shared" si="65"/>
        <v>6.6960256306218491E-2</v>
      </c>
      <c r="AD91" s="406">
        <f t="shared" si="66"/>
        <v>0.67330327938675261</v>
      </c>
      <c r="AE91" s="406">
        <f t="shared" si="84"/>
        <v>9.0667461206591082E-3</v>
      </c>
      <c r="AF91" s="406">
        <f t="shared" si="67"/>
        <v>3.1980000000000001E-2</v>
      </c>
      <c r="AG91" s="406">
        <f t="shared" si="68"/>
        <v>4.1106378296011062E-2</v>
      </c>
      <c r="AH91" s="406">
        <f t="shared" si="69"/>
        <v>0</v>
      </c>
      <c r="AI91">
        <f t="shared" si="70"/>
        <v>0</v>
      </c>
      <c r="AJ91" s="407">
        <f t="shared" si="71"/>
        <v>2.9967199999999999E-2</v>
      </c>
      <c r="AK91">
        <f t="shared" si="85"/>
        <v>0.03</v>
      </c>
      <c r="AL91" s="407">
        <f t="shared" si="72"/>
        <v>0.13500000000000001</v>
      </c>
      <c r="AM91" s="407">
        <f t="shared" si="86"/>
        <v>9.8855098389982105E-2</v>
      </c>
      <c r="AN91" s="407">
        <f t="shared" si="90"/>
        <v>0.16500000000000001</v>
      </c>
      <c r="AO91" s="407">
        <f t="shared" si="73"/>
        <v>0.5208754604404543</v>
      </c>
      <c r="AP91">
        <f t="shared" si="74"/>
        <v>4.1819999999999995</v>
      </c>
      <c r="AQ91" s="10">
        <f t="shared" si="91"/>
        <v>0.88924319497253479</v>
      </c>
      <c r="AR91" s="63">
        <f t="shared" si="75"/>
        <v>3.013211533779832</v>
      </c>
      <c r="AS91" s="63">
        <f t="shared" si="92"/>
        <v>1.6442551318404424</v>
      </c>
      <c r="AT91" s="10"/>
      <c r="AU91">
        <f t="shared" si="93"/>
        <v>88.924319497253478</v>
      </c>
      <c r="BE91" s="28"/>
      <c r="BF91" s="29"/>
    </row>
    <row r="92" spans="1:58" x14ac:dyDescent="0.2">
      <c r="G92">
        <v>83</v>
      </c>
      <c r="H92">
        <f t="shared" si="55"/>
        <v>0.83</v>
      </c>
      <c r="I92" s="406">
        <f t="shared" si="76"/>
        <v>0.34247340000000004</v>
      </c>
      <c r="J92" s="407">
        <f t="shared" si="56"/>
        <v>0.45206488800000005</v>
      </c>
      <c r="K92" s="407">
        <f t="shared" si="77"/>
        <v>1.056032444</v>
      </c>
      <c r="L92" s="407">
        <f t="shared" si="78"/>
        <v>0.60396755599999996</v>
      </c>
      <c r="M92" s="63">
        <f t="shared" si="57"/>
        <v>0</v>
      </c>
      <c r="N92" s="406">
        <f t="shared" si="58"/>
        <v>0.84019653767052482</v>
      </c>
      <c r="O92" s="406">
        <f t="shared" si="79"/>
        <v>1.7460832913459484E-2</v>
      </c>
      <c r="P92">
        <f t="shared" si="59"/>
        <v>0.2</v>
      </c>
      <c r="Q92" s="406">
        <f t="shared" si="80"/>
        <v>0.2174608329134595</v>
      </c>
      <c r="R92" s="9">
        <f t="shared" si="87"/>
        <v>0.13049989238898904</v>
      </c>
      <c r="S92" s="9">
        <f t="shared" si="81"/>
        <v>3.4060443827075443E-5</v>
      </c>
      <c r="T92" s="9">
        <f t="shared" si="88"/>
        <v>3.4060443827075443E-5</v>
      </c>
      <c r="U92" s="406">
        <f t="shared" si="60"/>
        <v>0.49169332236820518</v>
      </c>
      <c r="V92" s="408">
        <f t="shared" si="82"/>
        <v>7.7363943443674798E-4</v>
      </c>
      <c r="W92" s="406">
        <f t="shared" si="89"/>
        <v>7.7363943443674798E-4</v>
      </c>
      <c r="X92" s="406">
        <f t="shared" si="61"/>
        <v>0.49169332236820518</v>
      </c>
      <c r="Y92" s="406">
        <f t="shared" si="83"/>
        <v>4.8352464652296747E-3</v>
      </c>
      <c r="Z92" s="406">
        <f t="shared" si="62"/>
        <v>1.2642706622596128E-2</v>
      </c>
      <c r="AA92" s="406">
        <f t="shared" si="63"/>
        <v>4.9687500000000002E-2</v>
      </c>
      <c r="AB92" s="406">
        <f t="shared" si="64"/>
        <v>0</v>
      </c>
      <c r="AC92" s="406">
        <f t="shared" si="65"/>
        <v>6.7223961083463166E-2</v>
      </c>
      <c r="AD92" s="406">
        <f t="shared" si="66"/>
        <v>0.68129868534443383</v>
      </c>
      <c r="AE92" s="406">
        <f t="shared" si="84"/>
        <v>9.2833579730410773E-3</v>
      </c>
      <c r="AF92" s="406">
        <f t="shared" si="67"/>
        <v>3.2369999999999996E-2</v>
      </c>
      <c r="AG92" s="406">
        <f t="shared" si="68"/>
        <v>4.1715319291752283E-2</v>
      </c>
      <c r="AH92" s="406">
        <f t="shared" si="69"/>
        <v>0</v>
      </c>
      <c r="AI92">
        <f t="shared" si="70"/>
        <v>0</v>
      </c>
      <c r="AJ92" s="407">
        <f t="shared" si="71"/>
        <v>2.9966799999999998E-2</v>
      </c>
      <c r="AK92">
        <f t="shared" si="85"/>
        <v>0.03</v>
      </c>
      <c r="AL92" s="407">
        <f t="shared" si="72"/>
        <v>0.13500000000000001</v>
      </c>
      <c r="AM92" s="407">
        <f t="shared" si="86"/>
        <v>9.8855098389982105E-2</v>
      </c>
      <c r="AN92" s="407">
        <f t="shared" si="90"/>
        <v>0.16500000000000001</v>
      </c>
      <c r="AO92" s="407">
        <f t="shared" si="73"/>
        <v>0.52217461316693881</v>
      </c>
      <c r="AP92">
        <f t="shared" si="74"/>
        <v>4.2329999999999997</v>
      </c>
      <c r="AQ92" s="10">
        <f t="shared" si="91"/>
        <v>0.89018813069007963</v>
      </c>
      <c r="AR92" s="63">
        <f t="shared" si="75"/>
        <v>3.0250782487558423</v>
      </c>
      <c r="AS92" s="63">
        <f t="shared" si="92"/>
        <v>1.6686127716700914</v>
      </c>
      <c r="AT92" s="10"/>
      <c r="AU92">
        <f t="shared" si="93"/>
        <v>89.018813069007962</v>
      </c>
      <c r="BE92" s="28"/>
      <c r="BF92" s="29"/>
    </row>
    <row r="93" spans="1:58" x14ac:dyDescent="0.2">
      <c r="G93">
        <v>84</v>
      </c>
      <c r="H93">
        <f t="shared" si="55"/>
        <v>0.84</v>
      </c>
      <c r="I93" s="406">
        <f t="shared" si="76"/>
        <v>0.34250320000000001</v>
      </c>
      <c r="J93" s="407">
        <f t="shared" si="56"/>
        <v>0.45210422400000005</v>
      </c>
      <c r="K93" s="407">
        <f t="shared" si="77"/>
        <v>1.0660521119999999</v>
      </c>
      <c r="L93" s="407">
        <f t="shared" si="78"/>
        <v>0.613947888</v>
      </c>
      <c r="M93" s="63">
        <f t="shared" si="57"/>
        <v>0</v>
      </c>
      <c r="N93" s="406">
        <f t="shared" si="58"/>
        <v>0.85007834096622337</v>
      </c>
      <c r="O93" s="406">
        <f t="shared" si="79"/>
        <v>1.7874563191789566E-2</v>
      </c>
      <c r="P93">
        <f t="shared" si="59"/>
        <v>0.2</v>
      </c>
      <c r="Q93" s="406">
        <f t="shared" si="80"/>
        <v>0.21787456319178958</v>
      </c>
      <c r="R93" s="9">
        <f t="shared" si="87"/>
        <v>0.13051124771408346</v>
      </c>
      <c r="S93" s="9">
        <f t="shared" si="81"/>
        <v>3.4066371559773714E-5</v>
      </c>
      <c r="T93" s="9">
        <f t="shared" si="88"/>
        <v>3.4066371559773714E-5</v>
      </c>
      <c r="U93" s="406">
        <f t="shared" si="60"/>
        <v>0.49749791814218247</v>
      </c>
      <c r="V93" s="408">
        <f t="shared" si="82"/>
        <v>7.9201337137857822E-4</v>
      </c>
      <c r="W93" s="406">
        <f t="shared" si="89"/>
        <v>7.9201337137857822E-4</v>
      </c>
      <c r="X93" s="406">
        <f t="shared" si="61"/>
        <v>0.49749791814218247</v>
      </c>
      <c r="Y93" s="406">
        <f t="shared" si="83"/>
        <v>4.9500835711161137E-3</v>
      </c>
      <c r="Z93" s="406">
        <f t="shared" si="62"/>
        <v>1.2791367101791842E-2</v>
      </c>
      <c r="AA93" s="406">
        <f t="shared" si="63"/>
        <v>4.9687500000000002E-2</v>
      </c>
      <c r="AB93" s="406">
        <f t="shared" si="64"/>
        <v>0</v>
      </c>
      <c r="AC93" s="406">
        <f t="shared" si="65"/>
        <v>6.7489084462388813E-2</v>
      </c>
      <c r="AD93" s="406">
        <f t="shared" si="66"/>
        <v>0.68929602292779912</v>
      </c>
      <c r="AE93" s="406">
        <f t="shared" si="84"/>
        <v>9.5025801444816194E-3</v>
      </c>
      <c r="AF93" s="406">
        <f t="shared" si="67"/>
        <v>3.2759999999999997E-2</v>
      </c>
      <c r="AG93" s="406">
        <f t="shared" si="68"/>
        <v>4.232693455854767E-2</v>
      </c>
      <c r="AH93" s="406">
        <f t="shared" si="69"/>
        <v>0</v>
      </c>
      <c r="AI93">
        <f t="shared" si="70"/>
        <v>0</v>
      </c>
      <c r="AJ93" s="407">
        <f t="shared" si="71"/>
        <v>2.9966400000000001E-2</v>
      </c>
      <c r="AK93">
        <f t="shared" si="85"/>
        <v>0.03</v>
      </c>
      <c r="AL93" s="407">
        <f t="shared" si="72"/>
        <v>0.13500000000000001</v>
      </c>
      <c r="AM93" s="407">
        <f t="shared" si="86"/>
        <v>9.8855098389982105E-2</v>
      </c>
      <c r="AN93" s="407">
        <f t="shared" si="90"/>
        <v>0.16500000000000001</v>
      </c>
      <c r="AO93" s="407">
        <f t="shared" si="73"/>
        <v>0.52348306195566441</v>
      </c>
      <c r="AP93">
        <f t="shared" si="74"/>
        <v>4.2839999999999998</v>
      </c>
      <c r="AQ93" s="10">
        <f t="shared" si="91"/>
        <v>0.89111078391554155</v>
      </c>
      <c r="AR93" s="63">
        <f t="shared" si="75"/>
        <v>3.0370088008074965</v>
      </c>
      <c r="AS93" s="63">
        <f t="shared" si="92"/>
        <v>1.6930773823419067</v>
      </c>
      <c r="AT93" s="10"/>
      <c r="AU93">
        <f t="shared" si="93"/>
        <v>89.111078391554159</v>
      </c>
      <c r="BE93" s="28"/>
      <c r="BF93" s="29"/>
    </row>
    <row r="94" spans="1:58" x14ac:dyDescent="0.2">
      <c r="G94">
        <v>85</v>
      </c>
      <c r="H94">
        <f t="shared" si="55"/>
        <v>0.85</v>
      </c>
      <c r="I94" s="406">
        <f t="shared" si="76"/>
        <v>0.34253300000000003</v>
      </c>
      <c r="J94" s="407">
        <f t="shared" si="56"/>
        <v>0.45214356000000006</v>
      </c>
      <c r="K94" s="407">
        <f t="shared" si="77"/>
        <v>1.0760717799999999</v>
      </c>
      <c r="L94" s="407">
        <f t="shared" si="78"/>
        <v>0.62392821999999992</v>
      </c>
      <c r="M94" s="63">
        <f t="shared" si="57"/>
        <v>0</v>
      </c>
      <c r="N94" s="406">
        <f t="shared" si="58"/>
        <v>0.8599628770500054</v>
      </c>
      <c r="O94" s="406">
        <f t="shared" si="79"/>
        <v>1.8293275294471518E-2</v>
      </c>
      <c r="P94">
        <f t="shared" si="59"/>
        <v>0.2</v>
      </c>
      <c r="Q94" s="406">
        <f t="shared" si="80"/>
        <v>0.21829327529447154</v>
      </c>
      <c r="R94" s="9">
        <f t="shared" si="87"/>
        <v>0.13052260303917787</v>
      </c>
      <c r="S94" s="9">
        <f t="shared" si="81"/>
        <v>3.4072299808245607E-5</v>
      </c>
      <c r="T94" s="9">
        <f t="shared" si="88"/>
        <v>3.4072299808245607E-5</v>
      </c>
      <c r="U94" s="406">
        <f t="shared" si="60"/>
        <v>0.50330461555116779</v>
      </c>
      <c r="V94" s="408">
        <f t="shared" si="82"/>
        <v>8.106097153123482E-4</v>
      </c>
      <c r="W94" s="406">
        <f t="shared" si="89"/>
        <v>8.106097153123482E-4</v>
      </c>
      <c r="X94" s="406">
        <f t="shared" si="61"/>
        <v>0.50330461555116779</v>
      </c>
      <c r="Y94" s="406">
        <f t="shared" si="83"/>
        <v>5.066310720702176E-3</v>
      </c>
      <c r="Z94" s="406">
        <f t="shared" si="62"/>
        <v>1.2940027580987556E-2</v>
      </c>
      <c r="AA94" s="406">
        <f t="shared" si="63"/>
        <v>4.9687500000000002E-2</v>
      </c>
      <c r="AB94" s="406">
        <f t="shared" si="64"/>
        <v>0</v>
      </c>
      <c r="AC94" s="406">
        <f t="shared" si="65"/>
        <v>6.7755627092476511E-2</v>
      </c>
      <c r="AD94" s="406">
        <f t="shared" si="66"/>
        <v>0.69729521285393459</v>
      </c>
      <c r="AE94" s="406">
        <f t="shared" si="84"/>
        <v>9.7244122773802785E-3</v>
      </c>
      <c r="AF94" s="406">
        <f t="shared" si="67"/>
        <v>3.3149999999999992E-2</v>
      </c>
      <c r="AG94" s="406">
        <f t="shared" si="68"/>
        <v>4.2941224785141292E-2</v>
      </c>
      <c r="AH94" s="406">
        <f t="shared" si="69"/>
        <v>0</v>
      </c>
      <c r="AI94">
        <f t="shared" si="70"/>
        <v>0</v>
      </c>
      <c r="AJ94" s="407">
        <f t="shared" si="71"/>
        <v>2.9966000000000003E-2</v>
      </c>
      <c r="AK94">
        <f t="shared" si="85"/>
        <v>0.03</v>
      </c>
      <c r="AL94" s="407">
        <f t="shared" si="72"/>
        <v>0.13500000000000001</v>
      </c>
      <c r="AM94" s="407">
        <f t="shared" si="86"/>
        <v>9.8855098389982105E-2</v>
      </c>
      <c r="AN94" s="407">
        <f t="shared" si="90"/>
        <v>0.16500000000000001</v>
      </c>
      <c r="AO94" s="407">
        <f t="shared" si="73"/>
        <v>0.52480080918720995</v>
      </c>
      <c r="AP94">
        <f t="shared" si="74"/>
        <v>4.335</v>
      </c>
      <c r="AQ94" s="10">
        <f t="shared" si="91"/>
        <v>0.89201186842985414</v>
      </c>
      <c r="AR94" s="63">
        <f t="shared" si="75"/>
        <v>3.0490032191614431</v>
      </c>
      <c r="AS94" s="63">
        <f t="shared" si="92"/>
        <v>1.7176489914056516</v>
      </c>
      <c r="AT94" s="10"/>
      <c r="AU94">
        <f t="shared" si="93"/>
        <v>89.201186842985408</v>
      </c>
      <c r="BE94" s="28"/>
      <c r="BF94" s="29"/>
    </row>
    <row r="95" spans="1:58" x14ac:dyDescent="0.2">
      <c r="G95">
        <v>86</v>
      </c>
      <c r="H95">
        <f t="shared" si="55"/>
        <v>0.86</v>
      </c>
      <c r="I95" s="406">
        <f t="shared" si="76"/>
        <v>0.34256279999999995</v>
      </c>
      <c r="J95" s="407">
        <f t="shared" si="56"/>
        <v>0.45218289599999995</v>
      </c>
      <c r="K95" s="407">
        <f t="shared" si="77"/>
        <v>1.0860914479999999</v>
      </c>
      <c r="L95" s="407">
        <f t="shared" si="78"/>
        <v>0.63390855200000007</v>
      </c>
      <c r="M95" s="63">
        <f t="shared" si="57"/>
        <v>0</v>
      </c>
      <c r="N95" s="406">
        <f t="shared" si="58"/>
        <v>0.86985005275981075</v>
      </c>
      <c r="O95" s="406">
        <f t="shared" si="79"/>
        <v>1.8716970218604478E-2</v>
      </c>
      <c r="P95">
        <f t="shared" si="59"/>
        <v>0.2</v>
      </c>
      <c r="Q95" s="406">
        <f t="shared" si="80"/>
        <v>0.21871697021860448</v>
      </c>
      <c r="R95" s="9">
        <f t="shared" si="87"/>
        <v>0.13053395836427226</v>
      </c>
      <c r="S95" s="9">
        <f t="shared" si="81"/>
        <v>3.4078228572491129E-5</v>
      </c>
      <c r="T95" s="9">
        <f t="shared" si="88"/>
        <v>3.4078228572491129E-5</v>
      </c>
      <c r="U95" s="406">
        <f t="shared" si="60"/>
        <v>0.50911336024447074</v>
      </c>
      <c r="V95" s="408">
        <f t="shared" si="82"/>
        <v>8.2942852345413204E-4</v>
      </c>
      <c r="W95" s="406">
        <f t="shared" si="89"/>
        <v>8.2942852345413204E-4</v>
      </c>
      <c r="X95" s="406">
        <f t="shared" si="61"/>
        <v>0.50911336024447074</v>
      </c>
      <c r="Y95" s="406">
        <f t="shared" si="83"/>
        <v>5.1839282715883247E-3</v>
      </c>
      <c r="Z95" s="406">
        <f t="shared" si="62"/>
        <v>1.3088688060183269E-2</v>
      </c>
      <c r="AA95" s="406">
        <f t="shared" si="63"/>
        <v>4.9687500000000002E-2</v>
      </c>
      <c r="AB95" s="406">
        <f t="shared" si="64"/>
        <v>0</v>
      </c>
      <c r="AC95" s="406">
        <f t="shared" si="65"/>
        <v>6.802358962546258E-2</v>
      </c>
      <c r="AD95" s="406">
        <f t="shared" si="66"/>
        <v>0.70529617942168754</v>
      </c>
      <c r="AE95" s="406">
        <f t="shared" si="84"/>
        <v>9.948854014136586E-3</v>
      </c>
      <c r="AF95" s="406">
        <f t="shared" si="67"/>
        <v>3.354E-2</v>
      </c>
      <c r="AG95" s="406">
        <f t="shared" si="68"/>
        <v>4.355819066694705E-2</v>
      </c>
      <c r="AH95" s="406">
        <f t="shared" si="69"/>
        <v>0</v>
      </c>
      <c r="AI95">
        <f t="shared" si="70"/>
        <v>0</v>
      </c>
      <c r="AJ95" s="407">
        <f t="shared" si="71"/>
        <v>2.9965599999999998E-2</v>
      </c>
      <c r="AK95">
        <f t="shared" si="85"/>
        <v>0.03</v>
      </c>
      <c r="AL95" s="407">
        <f t="shared" si="72"/>
        <v>0.13500000000000001</v>
      </c>
      <c r="AM95" s="407">
        <f t="shared" si="86"/>
        <v>9.8855098389982105E-2</v>
      </c>
      <c r="AN95" s="407">
        <f t="shared" si="90"/>
        <v>0.16500000000000001</v>
      </c>
      <c r="AO95" s="407">
        <f t="shared" si="73"/>
        <v>0.52612785726304068</v>
      </c>
      <c r="AP95">
        <f t="shared" si="74"/>
        <v>4.3859999999999992</v>
      </c>
      <c r="AQ95" s="10">
        <f t="shared" si="91"/>
        <v>0.89289206784690844</v>
      </c>
      <c r="AR95" s="63">
        <f t="shared" si="75"/>
        <v>3.061061533145816</v>
      </c>
      <c r="AS95" s="63">
        <f t="shared" si="92"/>
        <v>1.742327626677882</v>
      </c>
      <c r="AT95" s="10"/>
      <c r="AU95">
        <f t="shared" si="93"/>
        <v>89.289206784690847</v>
      </c>
      <c r="BE95" s="28"/>
      <c r="BF95" s="29"/>
    </row>
    <row r="96" spans="1:58" x14ac:dyDescent="0.2">
      <c r="G96">
        <v>87</v>
      </c>
      <c r="H96">
        <f t="shared" si="55"/>
        <v>0.87</v>
      </c>
      <c r="I96" s="406">
        <f t="shared" si="76"/>
        <v>0.34259259999999997</v>
      </c>
      <c r="J96" s="407">
        <f t="shared" si="56"/>
        <v>0.45222223199999995</v>
      </c>
      <c r="K96" s="407">
        <f t="shared" si="77"/>
        <v>1.0961111159999999</v>
      </c>
      <c r="L96" s="407">
        <f t="shared" si="78"/>
        <v>0.64388888399999999</v>
      </c>
      <c r="M96" s="63">
        <f t="shared" si="57"/>
        <v>0</v>
      </c>
      <c r="N96" s="406">
        <f t="shared" si="58"/>
        <v>0.87973977909735057</v>
      </c>
      <c r="O96" s="406">
        <f t="shared" si="79"/>
        <v>1.9145648973255158E-2</v>
      </c>
      <c r="P96">
        <f t="shared" si="59"/>
        <v>0.2</v>
      </c>
      <c r="Q96" s="406">
        <f t="shared" si="80"/>
        <v>0.21914564897325517</v>
      </c>
      <c r="R96" s="9">
        <f t="shared" si="87"/>
        <v>0.1305453136893667</v>
      </c>
      <c r="S96" s="9">
        <f t="shared" si="81"/>
        <v>3.40841578525103E-5</v>
      </c>
      <c r="T96" s="9">
        <f t="shared" si="88"/>
        <v>3.40841578525103E-5</v>
      </c>
      <c r="U96" s="406">
        <f t="shared" si="60"/>
        <v>0.51492410029901581</v>
      </c>
      <c r="V96" s="408">
        <f t="shared" si="82"/>
        <v>8.4846985302000286E-4</v>
      </c>
      <c r="W96" s="406">
        <f t="shared" si="89"/>
        <v>8.4846985302000286E-4</v>
      </c>
      <c r="X96" s="406">
        <f t="shared" si="61"/>
        <v>0.51492410029901581</v>
      </c>
      <c r="Y96" s="406">
        <f t="shared" si="83"/>
        <v>5.3029365813750179E-3</v>
      </c>
      <c r="Z96" s="406">
        <f t="shared" si="62"/>
        <v>1.3237348539378984E-2</v>
      </c>
      <c r="AA96" s="406">
        <f t="shared" si="63"/>
        <v>4.9687500000000002E-2</v>
      </c>
      <c r="AB96" s="406">
        <f t="shared" si="64"/>
        <v>0</v>
      </c>
      <c r="AC96" s="406">
        <f t="shared" si="65"/>
        <v>6.8292972715341349E-2</v>
      </c>
      <c r="AD96" s="406">
        <f t="shared" si="66"/>
        <v>0.71329885031275941</v>
      </c>
      <c r="AE96" s="406">
        <f t="shared" si="84"/>
        <v>1.0175904997150088E-2</v>
      </c>
      <c r="AF96" s="406">
        <f t="shared" si="67"/>
        <v>3.3929999999999995E-2</v>
      </c>
      <c r="AG96" s="406">
        <f t="shared" si="68"/>
        <v>4.41778329060512E-2</v>
      </c>
      <c r="AH96" s="406">
        <f t="shared" si="69"/>
        <v>0</v>
      </c>
      <c r="AI96">
        <f t="shared" si="70"/>
        <v>0</v>
      </c>
      <c r="AJ96" s="407">
        <f t="shared" si="71"/>
        <v>2.9965200000000001E-2</v>
      </c>
      <c r="AK96">
        <f t="shared" si="85"/>
        <v>0.03</v>
      </c>
      <c r="AL96" s="407">
        <f t="shared" si="72"/>
        <v>0.13500000000000001</v>
      </c>
      <c r="AM96" s="407">
        <f t="shared" si="86"/>
        <v>9.8855098389982105E-2</v>
      </c>
      <c r="AN96" s="407">
        <f t="shared" si="90"/>
        <v>0.16500000000000001</v>
      </c>
      <c r="AO96" s="407">
        <f t="shared" si="73"/>
        <v>0.52746420860552024</v>
      </c>
      <c r="AP96">
        <f t="shared" si="74"/>
        <v>4.4369999999999994</v>
      </c>
      <c r="AQ96" s="10">
        <f t="shared" si="91"/>
        <v>0.89375203719039775</v>
      </c>
      <c r="AR96" s="63">
        <f t="shared" si="75"/>
        <v>3.0731837721903608</v>
      </c>
      <c r="AS96" s="63">
        <f t="shared" si="92"/>
        <v>1.767113316242048</v>
      </c>
      <c r="AT96" s="10"/>
      <c r="AU96">
        <f t="shared" si="93"/>
        <v>89.375203719039774</v>
      </c>
      <c r="BE96" s="28"/>
      <c r="BF96" s="29"/>
    </row>
    <row r="97" spans="7:58" x14ac:dyDescent="0.2">
      <c r="G97">
        <v>88</v>
      </c>
      <c r="H97">
        <f t="shared" si="55"/>
        <v>0.88</v>
      </c>
      <c r="I97" s="406">
        <f t="shared" si="76"/>
        <v>0.34262239999999994</v>
      </c>
      <c r="J97" s="407">
        <f t="shared" si="56"/>
        <v>0.45226156799999995</v>
      </c>
      <c r="K97" s="407">
        <f t="shared" si="77"/>
        <v>1.1061307839999999</v>
      </c>
      <c r="L97" s="407">
        <f t="shared" si="78"/>
        <v>0.65386921600000003</v>
      </c>
      <c r="M97" s="63">
        <f t="shared" si="57"/>
        <v>0</v>
      </c>
      <c r="N97" s="406">
        <f t="shared" si="58"/>
        <v>0.88963197099932934</v>
      </c>
      <c r="O97" s="406">
        <f t="shared" si="79"/>
        <v>1.9579312579463885E-2</v>
      </c>
      <c r="P97">
        <f t="shared" si="59"/>
        <v>0.2</v>
      </c>
      <c r="Q97" s="406">
        <f t="shared" si="80"/>
        <v>0.21957931257946389</v>
      </c>
      <c r="R97" s="9">
        <f t="shared" si="87"/>
        <v>0.13055666901446111</v>
      </c>
      <c r="S97" s="9">
        <f t="shared" si="81"/>
        <v>3.4090087648303106E-5</v>
      </c>
      <c r="T97" s="9">
        <f t="shared" si="88"/>
        <v>3.4090087648303106E-5</v>
      </c>
      <c r="U97" s="406">
        <f t="shared" si="60"/>
        <v>0.52073678608596097</v>
      </c>
      <c r="V97" s="408">
        <f t="shared" si="82"/>
        <v>8.6773376122603488E-4</v>
      </c>
      <c r="W97" s="406">
        <f t="shared" si="89"/>
        <v>8.6773376122603488E-4</v>
      </c>
      <c r="X97" s="406">
        <f t="shared" si="61"/>
        <v>0.52073678608596097</v>
      </c>
      <c r="Y97" s="406">
        <f t="shared" si="83"/>
        <v>5.4233360076627176E-3</v>
      </c>
      <c r="Z97" s="406">
        <f t="shared" si="62"/>
        <v>1.3386009018574696E-2</v>
      </c>
      <c r="AA97" s="406">
        <f t="shared" si="63"/>
        <v>4.9687500000000002E-2</v>
      </c>
      <c r="AB97" s="406">
        <f t="shared" si="64"/>
        <v>0</v>
      </c>
      <c r="AC97" s="406">
        <f t="shared" si="65"/>
        <v>6.8563777018367925E-2</v>
      </c>
      <c r="AD97" s="406">
        <f t="shared" si="66"/>
        <v>0.72130315640583165</v>
      </c>
      <c r="AE97" s="406">
        <f t="shared" si="84"/>
        <v>1.0405564868820312E-2</v>
      </c>
      <c r="AF97" s="406">
        <f t="shared" si="67"/>
        <v>3.4319999999999996E-2</v>
      </c>
      <c r="AG97" s="406">
        <f t="shared" si="68"/>
        <v>4.4800152211215007E-2</v>
      </c>
      <c r="AH97" s="406">
        <f t="shared" si="69"/>
        <v>0</v>
      </c>
      <c r="AI97">
        <f t="shared" si="70"/>
        <v>0</v>
      </c>
      <c r="AJ97" s="407">
        <f t="shared" si="71"/>
        <v>2.99648E-2</v>
      </c>
      <c r="AK97">
        <f t="shared" si="85"/>
        <v>0.03</v>
      </c>
      <c r="AL97" s="407">
        <f t="shared" si="72"/>
        <v>0.13500000000000001</v>
      </c>
      <c r="AM97" s="407">
        <f t="shared" si="86"/>
        <v>9.8855098389982105E-2</v>
      </c>
      <c r="AN97" s="407">
        <f t="shared" si="90"/>
        <v>0.16500000000000001</v>
      </c>
      <c r="AO97" s="407">
        <f t="shared" si="73"/>
        <v>0.52880986565792121</v>
      </c>
      <c r="AP97">
        <f t="shared" si="74"/>
        <v>4.4879999999999995</v>
      </c>
      <c r="AQ97" s="10">
        <f t="shared" si="91"/>
        <v>0.89459240437277932</v>
      </c>
      <c r="AR97" s="63">
        <f t="shared" si="75"/>
        <v>3.0853699658265565</v>
      </c>
      <c r="AS97" s="63">
        <f t="shared" si="92"/>
        <v>1.7920060884486002</v>
      </c>
      <c r="AT97" s="10"/>
      <c r="AU97">
        <f t="shared" si="93"/>
        <v>89.459240437277927</v>
      </c>
      <c r="BE97" s="28"/>
      <c r="BF97" s="29"/>
    </row>
    <row r="98" spans="7:58" x14ac:dyDescent="0.2">
      <c r="G98">
        <v>89</v>
      </c>
      <c r="H98">
        <f t="shared" si="55"/>
        <v>0.89</v>
      </c>
      <c r="I98" s="406">
        <f t="shared" si="76"/>
        <v>0.34265219999999996</v>
      </c>
      <c r="J98" s="407">
        <f t="shared" si="56"/>
        <v>0.452300904</v>
      </c>
      <c r="K98" s="407">
        <f t="shared" si="77"/>
        <v>1.1161504520000001</v>
      </c>
      <c r="L98" s="407">
        <f t="shared" si="78"/>
        <v>0.66384954799999996</v>
      </c>
      <c r="M98" s="63">
        <f t="shared" si="57"/>
        <v>0</v>
      </c>
      <c r="N98" s="406">
        <f t="shared" si="58"/>
        <v>0.89952654712350477</v>
      </c>
      <c r="O98" s="406">
        <f t="shared" si="79"/>
        <v>2.0017962070250677E-2</v>
      </c>
      <c r="P98">
        <f t="shared" si="59"/>
        <v>0.2</v>
      </c>
      <c r="Q98" s="406">
        <f t="shared" si="80"/>
        <v>0.22001796207025068</v>
      </c>
      <c r="R98" s="9">
        <f t="shared" si="87"/>
        <v>0.13056802433955556</v>
      </c>
      <c r="S98" s="9">
        <f t="shared" si="81"/>
        <v>3.4096017959869547E-5</v>
      </c>
      <c r="T98" s="9">
        <f t="shared" si="88"/>
        <v>3.4096017959869547E-5</v>
      </c>
      <c r="U98" s="406">
        <f t="shared" si="60"/>
        <v>0.52655137014596631</v>
      </c>
      <c r="V98" s="408">
        <f t="shared" si="82"/>
        <v>8.8722030528830221E-4</v>
      </c>
      <c r="W98" s="406">
        <f t="shared" si="89"/>
        <v>8.8722030528830221E-4</v>
      </c>
      <c r="X98" s="406">
        <f t="shared" si="61"/>
        <v>0.52655137014596631</v>
      </c>
      <c r="Y98" s="406">
        <f t="shared" si="83"/>
        <v>5.5451269080518881E-3</v>
      </c>
      <c r="Z98" s="406">
        <f t="shared" si="62"/>
        <v>1.3534669497770411E-2</v>
      </c>
      <c r="AA98" s="406">
        <f t="shared" si="63"/>
        <v>4.9687500000000002E-2</v>
      </c>
      <c r="AB98" s="406">
        <f t="shared" si="64"/>
        <v>0</v>
      </c>
      <c r="AC98" s="406">
        <f t="shared" si="65"/>
        <v>6.8836003193061046E-2</v>
      </c>
      <c r="AD98" s="406">
        <f t="shared" si="66"/>
        <v>0.72930903160274962</v>
      </c>
      <c r="AE98" s="406">
        <f t="shared" si="84"/>
        <v>1.0637833271546809E-2</v>
      </c>
      <c r="AF98" s="406">
        <f t="shared" si="67"/>
        <v>3.4709999999999998E-2</v>
      </c>
      <c r="AG98" s="406">
        <f t="shared" si="68"/>
        <v>4.5425149297877353E-2</v>
      </c>
      <c r="AH98" s="406">
        <f t="shared" si="69"/>
        <v>0</v>
      </c>
      <c r="AI98">
        <f t="shared" si="70"/>
        <v>0</v>
      </c>
      <c r="AJ98" s="407">
        <f t="shared" si="71"/>
        <v>2.9964400000000002E-2</v>
      </c>
      <c r="AK98">
        <f t="shared" si="85"/>
        <v>0.03</v>
      </c>
      <c r="AL98" s="407">
        <f t="shared" si="72"/>
        <v>0.13500000000000001</v>
      </c>
      <c r="AM98" s="407">
        <f t="shared" si="86"/>
        <v>9.8855098389982105E-2</v>
      </c>
      <c r="AN98" s="407">
        <f t="shared" si="90"/>
        <v>0.16500000000000001</v>
      </c>
      <c r="AO98" s="407">
        <f t="shared" si="73"/>
        <v>0.53016483088443722</v>
      </c>
      <c r="AP98">
        <f t="shared" si="74"/>
        <v>4.5389999999999997</v>
      </c>
      <c r="AQ98" s="10">
        <f t="shared" si="91"/>
        <v>0.8954137715833681</v>
      </c>
      <c r="AR98" s="63">
        <f t="shared" si="75"/>
        <v>3.0976201436877471</v>
      </c>
      <c r="AS98" s="63">
        <f t="shared" si="92"/>
        <v>1.8170059719150942</v>
      </c>
      <c r="AT98" s="10"/>
      <c r="AU98">
        <f t="shared" si="93"/>
        <v>89.541377158336815</v>
      </c>
      <c r="BE98" s="28"/>
      <c r="BF98" s="29"/>
    </row>
    <row r="99" spans="7:58" x14ac:dyDescent="0.2">
      <c r="G99">
        <v>90</v>
      </c>
      <c r="H99">
        <f t="shared" si="55"/>
        <v>0.9</v>
      </c>
      <c r="I99" s="406">
        <f t="shared" si="76"/>
        <v>0.34268199999999999</v>
      </c>
      <c r="J99" s="407">
        <f t="shared" si="56"/>
        <v>0.45234024</v>
      </c>
      <c r="K99" s="407">
        <f t="shared" si="77"/>
        <v>1.1261701200000001</v>
      </c>
      <c r="L99" s="407">
        <f t="shared" si="78"/>
        <v>0.67382987999999999</v>
      </c>
      <c r="M99" s="63">
        <f t="shared" si="57"/>
        <v>0</v>
      </c>
      <c r="N99" s="406">
        <f t="shared" si="58"/>
        <v>0.90942342964848055</v>
      </c>
      <c r="O99" s="406">
        <f t="shared" si="79"/>
        <v>2.0461598490621416E-2</v>
      </c>
      <c r="P99">
        <f t="shared" si="59"/>
        <v>0.2</v>
      </c>
      <c r="Q99" s="406">
        <f t="shared" si="80"/>
        <v>0.22046159849062141</v>
      </c>
      <c r="R99" s="9">
        <f t="shared" si="87"/>
        <v>0.13057937966464997</v>
      </c>
      <c r="S99" s="9">
        <f t="shared" si="81"/>
        <v>3.4101948787209603E-5</v>
      </c>
      <c r="T99" s="9">
        <f t="shared" si="88"/>
        <v>3.4101948787209603E-5</v>
      </c>
      <c r="U99" s="406">
        <f t="shared" si="60"/>
        <v>0.53236780707246878</v>
      </c>
      <c r="V99" s="408">
        <f t="shared" si="82"/>
        <v>9.0692954242287788E-4</v>
      </c>
      <c r="W99" s="406">
        <f t="shared" si="89"/>
        <v>9.0692954242287788E-4</v>
      </c>
      <c r="X99" s="406">
        <f t="shared" si="61"/>
        <v>0.53236780707246878</v>
      </c>
      <c r="Y99" s="406">
        <f t="shared" si="83"/>
        <v>5.6683096401429871E-3</v>
      </c>
      <c r="Z99" s="406">
        <f t="shared" si="62"/>
        <v>1.3683329976966124E-2</v>
      </c>
      <c r="AA99" s="406">
        <f t="shared" si="63"/>
        <v>4.9687500000000002E-2</v>
      </c>
      <c r="AB99" s="406">
        <f t="shared" si="64"/>
        <v>0</v>
      </c>
      <c r="AC99" s="406">
        <f t="shared" si="65"/>
        <v>6.9109651900205835E-2</v>
      </c>
      <c r="AD99" s="406">
        <f t="shared" si="66"/>
        <v>0.7373164126658619</v>
      </c>
      <c r="AE99" s="406">
        <f t="shared" si="84"/>
        <v>1.0872709847729112E-2</v>
      </c>
      <c r="AF99" s="406">
        <f t="shared" si="67"/>
        <v>3.5099999999999999E-2</v>
      </c>
      <c r="AG99" s="406">
        <f t="shared" si="68"/>
        <v>4.6052824888157463E-2</v>
      </c>
      <c r="AH99" s="406">
        <f t="shared" si="69"/>
        <v>0</v>
      </c>
      <c r="AI99">
        <f t="shared" si="70"/>
        <v>0</v>
      </c>
      <c r="AJ99" s="407">
        <f t="shared" si="71"/>
        <v>2.9963999999999998E-2</v>
      </c>
      <c r="AK99">
        <f t="shared" si="85"/>
        <v>0.03</v>
      </c>
      <c r="AL99" s="407">
        <f t="shared" si="72"/>
        <v>0.13500000000000001</v>
      </c>
      <c r="AM99" s="407">
        <f t="shared" si="86"/>
        <v>9.8855098389982105E-2</v>
      </c>
      <c r="AN99" s="407">
        <f t="shared" si="90"/>
        <v>0.16500000000000001</v>
      </c>
      <c r="AO99" s="407">
        <f t="shared" si="73"/>
        <v>0.53152910677019483</v>
      </c>
      <c r="AP99">
        <f t="shared" si="74"/>
        <v>4.59</v>
      </c>
      <c r="AQ99" s="10">
        <f t="shared" si="91"/>
        <v>0.89621671659201108</v>
      </c>
      <c r="AR99" s="63">
        <f t="shared" si="75"/>
        <v>3.1099343355092626</v>
      </c>
      <c r="AS99" s="63">
        <f t="shared" si="92"/>
        <v>1.8421129955262985</v>
      </c>
      <c r="AT99" s="10"/>
      <c r="AU99">
        <f t="shared" si="93"/>
        <v>89.621671659201112</v>
      </c>
      <c r="BE99" s="28"/>
      <c r="BF99" s="29"/>
    </row>
    <row r="100" spans="7:58" x14ac:dyDescent="0.2">
      <c r="G100">
        <v>91</v>
      </c>
      <c r="H100">
        <f t="shared" si="55"/>
        <v>0.91</v>
      </c>
      <c r="I100" s="406">
        <f t="shared" si="76"/>
        <v>0.34271180000000001</v>
      </c>
      <c r="J100" s="407">
        <f t="shared" si="56"/>
        <v>0.45237957600000006</v>
      </c>
      <c r="K100" s="407">
        <f t="shared" si="77"/>
        <v>1.136189788</v>
      </c>
      <c r="L100" s="407">
        <f t="shared" si="78"/>
        <v>0.68381021200000003</v>
      </c>
      <c r="M100" s="63">
        <f t="shared" si="57"/>
        <v>0</v>
      </c>
      <c r="N100" s="406">
        <f t="shared" si="58"/>
        <v>0.91932254408622105</v>
      </c>
      <c r="O100" s="406">
        <f t="shared" si="79"/>
        <v>2.091022289757408E-2</v>
      </c>
      <c r="P100">
        <f t="shared" si="59"/>
        <v>0.2</v>
      </c>
      <c r="Q100" s="406">
        <f t="shared" si="80"/>
        <v>0.22091022289757409</v>
      </c>
      <c r="R100" s="9">
        <f t="shared" si="87"/>
        <v>0.13059073498974441</v>
      </c>
      <c r="S100" s="9">
        <f t="shared" si="81"/>
        <v>3.4107880130323308E-5</v>
      </c>
      <c r="T100" s="9">
        <f t="shared" si="88"/>
        <v>3.4107880130323308E-5</v>
      </c>
      <c r="U100" s="406">
        <f t="shared" si="60"/>
        <v>0.5381860534023748</v>
      </c>
      <c r="V100" s="408">
        <f t="shared" si="82"/>
        <v>9.2686152984583633E-4</v>
      </c>
      <c r="W100" s="406">
        <f t="shared" si="89"/>
        <v>9.2686152984583633E-4</v>
      </c>
      <c r="X100" s="406">
        <f t="shared" si="61"/>
        <v>0.5381860534023748</v>
      </c>
      <c r="Y100" s="406">
        <f t="shared" si="83"/>
        <v>5.7928845615364769E-3</v>
      </c>
      <c r="Z100" s="406">
        <f t="shared" si="62"/>
        <v>1.3831990456161838E-2</v>
      </c>
      <c r="AA100" s="406">
        <f t="shared" si="63"/>
        <v>4.9687500000000002E-2</v>
      </c>
      <c r="AB100" s="406">
        <f t="shared" si="64"/>
        <v>0</v>
      </c>
      <c r="AC100" s="406">
        <f t="shared" si="65"/>
        <v>6.9384723802856652E-2</v>
      </c>
      <c r="AD100" s="406">
        <f t="shared" si="66"/>
        <v>0.74532523906569681</v>
      </c>
      <c r="AE100" s="406">
        <f t="shared" si="84"/>
        <v>1.1110194239766762E-2</v>
      </c>
      <c r="AF100" s="406">
        <f t="shared" si="67"/>
        <v>3.5490000000000001E-2</v>
      </c>
      <c r="AG100" s="406">
        <f t="shared" si="68"/>
        <v>4.6683179710857572E-2</v>
      </c>
      <c r="AH100" s="406">
        <f t="shared" si="69"/>
        <v>0</v>
      </c>
      <c r="AI100">
        <f t="shared" si="70"/>
        <v>0</v>
      </c>
      <c r="AJ100" s="407">
        <f t="shared" si="71"/>
        <v>2.99636E-2</v>
      </c>
      <c r="AK100">
        <f t="shared" si="85"/>
        <v>0.03</v>
      </c>
      <c r="AL100" s="407">
        <f t="shared" si="72"/>
        <v>0.13500000000000001</v>
      </c>
      <c r="AM100" s="407">
        <f t="shared" si="86"/>
        <v>9.8855098389982105E-2</v>
      </c>
      <c r="AN100" s="407">
        <f t="shared" si="90"/>
        <v>0.16500000000000001</v>
      </c>
      <c r="AO100" s="407">
        <f t="shared" si="73"/>
        <v>0.53290269582126448</v>
      </c>
      <c r="AP100">
        <f t="shared" si="74"/>
        <v>4.641</v>
      </c>
      <c r="AQ100" s="10">
        <f t="shared" si="91"/>
        <v>0.89700179397427271</v>
      </c>
      <c r="AR100" s="63">
        <f t="shared" si="75"/>
        <v>3.1223125711285493</v>
      </c>
      <c r="AS100" s="63">
        <f t="shared" si="92"/>
        <v>1.8673271884343028</v>
      </c>
      <c r="AT100" s="10"/>
      <c r="AU100">
        <f t="shared" si="93"/>
        <v>89.700179397427277</v>
      </c>
      <c r="BE100" s="28"/>
      <c r="BF100" s="29"/>
    </row>
    <row r="101" spans="7:58" x14ac:dyDescent="0.2">
      <c r="G101">
        <v>92</v>
      </c>
      <c r="H101">
        <f t="shared" si="55"/>
        <v>0.92</v>
      </c>
      <c r="I101" s="406">
        <f t="shared" si="76"/>
        <v>0.34274159999999998</v>
      </c>
      <c r="J101" s="407">
        <f t="shared" si="56"/>
        <v>0.45241891199999995</v>
      </c>
      <c r="K101" s="407">
        <f t="shared" si="77"/>
        <v>1.146209456</v>
      </c>
      <c r="L101" s="407">
        <f t="shared" si="78"/>
        <v>0.69379054400000006</v>
      </c>
      <c r="M101" s="63">
        <f t="shared" si="57"/>
        <v>0</v>
      </c>
      <c r="N101" s="406">
        <f t="shared" si="58"/>
        <v>0.92922381910635787</v>
      </c>
      <c r="O101" s="406">
        <f t="shared" si="79"/>
        <v>2.1363836360105047E-2</v>
      </c>
      <c r="P101">
        <f t="shared" si="59"/>
        <v>0.2</v>
      </c>
      <c r="Q101" s="406">
        <f t="shared" si="80"/>
        <v>0.22136383636010507</v>
      </c>
      <c r="R101" s="9">
        <f t="shared" si="87"/>
        <v>0.1306020903148388</v>
      </c>
      <c r="S101" s="9">
        <f t="shared" si="81"/>
        <v>3.4113811989210621E-5</v>
      </c>
      <c r="T101" s="9">
        <f t="shared" si="88"/>
        <v>3.4113811989210621E-5</v>
      </c>
      <c r="U101" s="406">
        <f t="shared" si="60"/>
        <v>0.54400606751362668</v>
      </c>
      <c r="V101" s="408">
        <f t="shared" si="82"/>
        <v>9.470163247732497E-4</v>
      </c>
      <c r="W101" s="406">
        <f t="shared" si="89"/>
        <v>9.470163247732497E-4</v>
      </c>
      <c r="X101" s="406">
        <f t="shared" si="61"/>
        <v>0.54400606751362668</v>
      </c>
      <c r="Y101" s="406">
        <f t="shared" si="83"/>
        <v>5.9188520298328112E-3</v>
      </c>
      <c r="Z101" s="406">
        <f t="shared" si="62"/>
        <v>1.3980650935357549E-2</v>
      </c>
      <c r="AA101" s="406">
        <f t="shared" si="63"/>
        <v>4.9687500000000002E-2</v>
      </c>
      <c r="AB101" s="406">
        <f t="shared" si="64"/>
        <v>0</v>
      </c>
      <c r="AC101" s="406">
        <f t="shared" si="65"/>
        <v>6.9661219566339916E-2</v>
      </c>
      <c r="AD101" s="406">
        <f t="shared" si="66"/>
        <v>0.75333545283821912</v>
      </c>
      <c r="AE101" s="406">
        <f t="shared" si="84"/>
        <v>1.1350286090059294E-2</v>
      </c>
      <c r="AF101" s="406">
        <f t="shared" si="67"/>
        <v>3.5880000000000002E-2</v>
      </c>
      <c r="AG101" s="406">
        <f t="shared" si="68"/>
        <v>4.7316214501465739E-2</v>
      </c>
      <c r="AH101" s="406">
        <f t="shared" si="69"/>
        <v>0</v>
      </c>
      <c r="AI101">
        <f t="shared" si="70"/>
        <v>0</v>
      </c>
      <c r="AJ101" s="407">
        <f t="shared" si="71"/>
        <v>2.9963200000000002E-2</v>
      </c>
      <c r="AK101">
        <f t="shared" si="85"/>
        <v>0.03</v>
      </c>
      <c r="AL101" s="407">
        <f t="shared" si="72"/>
        <v>0.13500000000000001</v>
      </c>
      <c r="AM101" s="407">
        <f t="shared" si="86"/>
        <v>9.8855098389982105E-2</v>
      </c>
      <c r="AN101" s="407">
        <f t="shared" si="90"/>
        <v>0.16500000000000001</v>
      </c>
      <c r="AO101" s="407">
        <f t="shared" si="73"/>
        <v>0.53428560056467322</v>
      </c>
      <c r="AP101">
        <f t="shared" si="74"/>
        <v>4.6920000000000002</v>
      </c>
      <c r="AQ101" s="10">
        <f t="shared" si="91"/>
        <v>0.89776953626358524</v>
      </c>
      <c r="AR101" s="63">
        <f t="shared" si="75"/>
        <v>3.1347548804852963</v>
      </c>
      <c r="AS101" s="63">
        <f t="shared" si="92"/>
        <v>1.8926485800586295</v>
      </c>
      <c r="AT101" s="10"/>
      <c r="AU101">
        <f t="shared" si="93"/>
        <v>89.77695362635852</v>
      </c>
      <c r="BE101" s="28"/>
      <c r="BF101" s="29"/>
    </row>
    <row r="102" spans="7:58" x14ac:dyDescent="0.2">
      <c r="G102">
        <v>93</v>
      </c>
      <c r="H102">
        <f t="shared" si="55"/>
        <v>0.93</v>
      </c>
      <c r="I102" s="406">
        <f t="shared" si="76"/>
        <v>0.3427714</v>
      </c>
      <c r="J102" s="407">
        <f t="shared" si="56"/>
        <v>0.45245824800000001</v>
      </c>
      <c r="K102" s="407">
        <f t="shared" si="77"/>
        <v>1.156229124</v>
      </c>
      <c r="L102" s="407">
        <f t="shared" si="78"/>
        <v>0.7037708760000001</v>
      </c>
      <c r="M102" s="63">
        <f t="shared" si="57"/>
        <v>0</v>
      </c>
      <c r="N102" s="406">
        <f t="shared" si="58"/>
        <v>0.93912718637143922</v>
      </c>
      <c r="O102" s="406">
        <f t="shared" si="79"/>
        <v>2.1822439959215505E-2</v>
      </c>
      <c r="P102">
        <f t="shared" si="59"/>
        <v>0.2</v>
      </c>
      <c r="Q102" s="406">
        <f t="shared" si="80"/>
        <v>0.22182243995921552</v>
      </c>
      <c r="R102" s="9">
        <f t="shared" si="87"/>
        <v>0.13061344563993324</v>
      </c>
      <c r="S102" s="9">
        <f t="shared" si="81"/>
        <v>3.4119744363871597E-5</v>
      </c>
      <c r="T102" s="9">
        <f t="shared" si="88"/>
        <v>3.4119744363871597E-5</v>
      </c>
      <c r="U102" s="406">
        <f t="shared" si="60"/>
        <v>0.54982780952914989</v>
      </c>
      <c r="V102" s="408">
        <f t="shared" si="82"/>
        <v>9.6739398442119407E-4</v>
      </c>
      <c r="W102" s="406">
        <f t="shared" si="89"/>
        <v>9.6739398442119407E-4</v>
      </c>
      <c r="X102" s="406">
        <f t="shared" si="61"/>
        <v>0.54982780952914989</v>
      </c>
      <c r="Y102" s="406">
        <f t="shared" si="83"/>
        <v>6.0462124026324626E-3</v>
      </c>
      <c r="Z102" s="406">
        <f t="shared" si="62"/>
        <v>1.4129311414553267E-2</v>
      </c>
      <c r="AA102" s="406">
        <f t="shared" si="63"/>
        <v>4.9687500000000002E-2</v>
      </c>
      <c r="AB102" s="406">
        <f t="shared" si="64"/>
        <v>0</v>
      </c>
      <c r="AC102" s="406">
        <f t="shared" si="65"/>
        <v>6.9939139858257005E-2</v>
      </c>
      <c r="AD102" s="406">
        <f t="shared" si="66"/>
        <v>0.76134699845097753</v>
      </c>
      <c r="AE102" s="406">
        <f t="shared" si="84"/>
        <v>1.1592985041006256E-2</v>
      </c>
      <c r="AF102" s="406">
        <f t="shared" si="67"/>
        <v>3.6270000000000004E-2</v>
      </c>
      <c r="AG102" s="406">
        <f t="shared" si="68"/>
        <v>4.7951930002158645E-2</v>
      </c>
      <c r="AH102" s="406">
        <f t="shared" si="69"/>
        <v>0</v>
      </c>
      <c r="AI102">
        <f t="shared" si="70"/>
        <v>0</v>
      </c>
      <c r="AJ102" s="407">
        <f t="shared" si="71"/>
        <v>2.9962800000000001E-2</v>
      </c>
      <c r="AK102">
        <f t="shared" si="85"/>
        <v>0.03</v>
      </c>
      <c r="AL102" s="407">
        <f t="shared" si="72"/>
        <v>0.13500000000000001</v>
      </c>
      <c r="AM102" s="407">
        <f t="shared" si="86"/>
        <v>9.8855098389982105E-2</v>
      </c>
      <c r="AN102" s="407">
        <f t="shared" si="90"/>
        <v>0.16500000000000001</v>
      </c>
      <c r="AO102" s="407">
        <f t="shared" si="73"/>
        <v>0.53567782354841631</v>
      </c>
      <c r="AP102">
        <f t="shared" si="74"/>
        <v>4.7430000000000003</v>
      </c>
      <c r="AQ102" s="10">
        <f t="shared" si="91"/>
        <v>0.89852045503540034</v>
      </c>
      <c r="AR102" s="63">
        <f t="shared" si="75"/>
        <v>3.1472612936215651</v>
      </c>
      <c r="AS102" s="63">
        <f t="shared" si="92"/>
        <v>1.9180772000863457</v>
      </c>
      <c r="AT102" s="10"/>
      <c r="AU102">
        <f t="shared" si="93"/>
        <v>89.85204550354004</v>
      </c>
      <c r="BE102" s="28"/>
      <c r="BF102" s="29"/>
    </row>
    <row r="103" spans="7:58" x14ac:dyDescent="0.2">
      <c r="G103">
        <v>94</v>
      </c>
      <c r="H103">
        <f t="shared" si="55"/>
        <v>0.94</v>
      </c>
      <c r="I103" s="406">
        <f t="shared" si="76"/>
        <v>0.34280119999999997</v>
      </c>
      <c r="J103" s="407">
        <f t="shared" si="56"/>
        <v>0.45249758399999995</v>
      </c>
      <c r="K103" s="407">
        <f t="shared" si="77"/>
        <v>1.166248792</v>
      </c>
      <c r="L103" s="407">
        <f t="shared" si="78"/>
        <v>0.71375120799999991</v>
      </c>
      <c r="M103" s="63">
        <f t="shared" si="57"/>
        <v>0</v>
      </c>
      <c r="N103" s="406">
        <f t="shared" si="58"/>
        <v>0.94903258038233496</v>
      </c>
      <c r="O103" s="406">
        <f t="shared" si="79"/>
        <v>2.2286034787917845E-2</v>
      </c>
      <c r="P103">
        <f t="shared" si="59"/>
        <v>0.2</v>
      </c>
      <c r="Q103" s="406">
        <f t="shared" si="80"/>
        <v>0.22228603478791786</v>
      </c>
      <c r="R103" s="9">
        <f t="shared" si="87"/>
        <v>0.13062480096502765</v>
      </c>
      <c r="S103" s="9">
        <f t="shared" si="81"/>
        <v>3.412567725430618E-5</v>
      </c>
      <c r="T103" s="9">
        <f t="shared" si="88"/>
        <v>3.412567725430618E-5</v>
      </c>
      <c r="U103" s="406">
        <f t="shared" si="60"/>
        <v>0.55565124122671983</v>
      </c>
      <c r="V103" s="408">
        <f t="shared" si="82"/>
        <v>9.8799456600574191E-4</v>
      </c>
      <c r="W103" s="406">
        <f t="shared" si="89"/>
        <v>9.8799456600574191E-4</v>
      </c>
      <c r="X103" s="406">
        <f t="shared" si="61"/>
        <v>0.55565124122671983</v>
      </c>
      <c r="Y103" s="406">
        <f t="shared" si="83"/>
        <v>6.1749660375358872E-3</v>
      </c>
      <c r="Z103" s="406">
        <f t="shared" si="62"/>
        <v>1.4277971893748976E-2</v>
      </c>
      <c r="AA103" s="406">
        <f t="shared" si="63"/>
        <v>4.9687500000000002E-2</v>
      </c>
      <c r="AB103" s="406">
        <f t="shared" si="64"/>
        <v>0</v>
      </c>
      <c r="AC103" s="406">
        <f t="shared" si="65"/>
        <v>7.0218485348487E-2</v>
      </c>
      <c r="AD103" s="406">
        <f t="shared" si="66"/>
        <v>0.7693598226775028</v>
      </c>
      <c r="AE103" s="406">
        <f t="shared" si="84"/>
        <v>1.1838290735007171E-2</v>
      </c>
      <c r="AF103" s="406">
        <f t="shared" si="67"/>
        <v>3.6659999999999998E-2</v>
      </c>
      <c r="AG103" s="406">
        <f t="shared" si="68"/>
        <v>4.8590326961804431E-2</v>
      </c>
      <c r="AH103" s="406">
        <f t="shared" si="69"/>
        <v>0</v>
      </c>
      <c r="AI103">
        <f t="shared" si="70"/>
        <v>0</v>
      </c>
      <c r="AJ103" s="407">
        <f t="shared" si="71"/>
        <v>2.99624E-2</v>
      </c>
      <c r="AK103">
        <f t="shared" si="85"/>
        <v>0.03</v>
      </c>
      <c r="AL103" s="407">
        <f t="shared" si="72"/>
        <v>0.13500000000000001</v>
      </c>
      <c r="AM103" s="407">
        <f t="shared" si="86"/>
        <v>9.8855098389982105E-2</v>
      </c>
      <c r="AN103" s="407">
        <f t="shared" si="90"/>
        <v>0.16500000000000001</v>
      </c>
      <c r="AO103" s="407">
        <f t="shared" si="73"/>
        <v>0.53707936734146933</v>
      </c>
      <c r="AP103">
        <f t="shared" si="74"/>
        <v>4.7939999999999996</v>
      </c>
      <c r="AQ103" s="10">
        <f t="shared" si="91"/>
        <v>0.89925504192797201</v>
      </c>
      <c r="AR103" s="63">
        <f t="shared" si="75"/>
        <v>3.1598318406819148</v>
      </c>
      <c r="AS103" s="63">
        <f t="shared" si="92"/>
        <v>1.9436130784721772</v>
      </c>
      <c r="AT103" s="10"/>
      <c r="AU103">
        <f t="shared" si="93"/>
        <v>89.925504192797206</v>
      </c>
      <c r="BE103" s="28"/>
      <c r="BF103" s="29"/>
    </row>
    <row r="104" spans="7:58" x14ac:dyDescent="0.2">
      <c r="G104">
        <v>95</v>
      </c>
      <c r="H104">
        <f t="shared" si="55"/>
        <v>0.95</v>
      </c>
      <c r="I104" s="406">
        <f t="shared" si="76"/>
        <v>0.342831</v>
      </c>
      <c r="J104" s="407">
        <f t="shared" si="56"/>
        <v>0.45253692000000001</v>
      </c>
      <c r="K104" s="407">
        <f t="shared" si="77"/>
        <v>1.17626846</v>
      </c>
      <c r="L104" s="407">
        <f t="shared" si="78"/>
        <v>0.72373153999999995</v>
      </c>
      <c r="M104" s="63">
        <f t="shared" si="57"/>
        <v>0</v>
      </c>
      <c r="N104" s="406">
        <f t="shared" si="58"/>
        <v>0.958939938333083</v>
      </c>
      <c r="O104" s="406">
        <f t="shared" si="79"/>
        <v>2.2754621951242275E-2</v>
      </c>
      <c r="P104">
        <f t="shared" si="59"/>
        <v>0.2</v>
      </c>
      <c r="Q104" s="406">
        <f t="shared" si="80"/>
        <v>0.22275462195124229</v>
      </c>
      <c r="R104" s="9">
        <f t="shared" si="87"/>
        <v>0.13063615629012207</v>
      </c>
      <c r="S104" s="9">
        <f t="shared" si="81"/>
        <v>3.4131610660514399E-5</v>
      </c>
      <c r="T104" s="9">
        <f t="shared" si="88"/>
        <v>3.4131610660514399E-5</v>
      </c>
      <c r="U104" s="406">
        <f t="shared" si="60"/>
        <v>0.56147632595433383</v>
      </c>
      <c r="V104" s="408">
        <f t="shared" si="82"/>
        <v>1.0088181267429676E-3</v>
      </c>
      <c r="W104" s="406">
        <f t="shared" si="89"/>
        <v>1.0088181267429676E-3</v>
      </c>
      <c r="X104" s="406">
        <f t="shared" si="61"/>
        <v>0.56147632595433383</v>
      </c>
      <c r="Y104" s="406">
        <f t="shared" si="83"/>
        <v>6.3051132921435474E-3</v>
      </c>
      <c r="Z104" s="406">
        <f t="shared" si="62"/>
        <v>1.4426632372944692E-2</v>
      </c>
      <c r="AA104" s="406">
        <f t="shared" si="63"/>
        <v>4.9687500000000002E-2</v>
      </c>
      <c r="AB104" s="406">
        <f t="shared" si="64"/>
        <v>0</v>
      </c>
      <c r="AC104" s="406">
        <f t="shared" si="65"/>
        <v>7.0499256709189648E-2</v>
      </c>
      <c r="AD104" s="406">
        <f t="shared" si="66"/>
        <v>0.777373874479378</v>
      </c>
      <c r="AE104" s="406">
        <f t="shared" si="84"/>
        <v>1.2086202814461596E-2</v>
      </c>
      <c r="AF104" s="406">
        <f t="shared" si="67"/>
        <v>3.705E-2</v>
      </c>
      <c r="AG104" s="406">
        <f t="shared" si="68"/>
        <v>4.9231406135965668E-2</v>
      </c>
      <c r="AH104" s="406">
        <f t="shared" si="69"/>
        <v>0</v>
      </c>
      <c r="AI104">
        <f t="shared" si="70"/>
        <v>0</v>
      </c>
      <c r="AJ104" s="407">
        <f t="shared" si="71"/>
        <v>2.9961999999999999E-2</v>
      </c>
      <c r="AK104">
        <f t="shared" si="85"/>
        <v>0.03</v>
      </c>
      <c r="AL104" s="407">
        <f t="shared" si="72"/>
        <v>0.13500000000000001</v>
      </c>
      <c r="AM104" s="407">
        <f t="shared" si="86"/>
        <v>9.8855098389982105E-2</v>
      </c>
      <c r="AN104" s="407">
        <f t="shared" si="90"/>
        <v>0.16500000000000001</v>
      </c>
      <c r="AO104" s="407">
        <f t="shared" si="73"/>
        <v>0.53849023453380107</v>
      </c>
      <c r="AP104">
        <f t="shared" si="74"/>
        <v>4.8449999999999998</v>
      </c>
      <c r="AQ104" s="10">
        <f t="shared" si="91"/>
        <v>0.89997376960405451</v>
      </c>
      <c r="AR104" s="63">
        <f t="shared" si="75"/>
        <v>3.172466551913534</v>
      </c>
      <c r="AS104" s="63">
        <f t="shared" si="92"/>
        <v>1.9692562454386267</v>
      </c>
      <c r="AT104" s="10"/>
      <c r="AU104">
        <f t="shared" si="93"/>
        <v>89.997376960405447</v>
      </c>
      <c r="BE104" s="28"/>
      <c r="BF104" s="29"/>
    </row>
    <row r="105" spans="7:58" x14ac:dyDescent="0.2">
      <c r="G105">
        <v>96</v>
      </c>
      <c r="H105">
        <f t="shared" si="55"/>
        <v>0.96</v>
      </c>
      <c r="I105" s="406">
        <f t="shared" si="76"/>
        <v>0.34286079999999991</v>
      </c>
      <c r="J105" s="407">
        <f t="shared" si="56"/>
        <v>0.4525762559999999</v>
      </c>
      <c r="K105" s="407">
        <f t="shared" si="77"/>
        <v>1.1862881279999999</v>
      </c>
      <c r="L105" s="407">
        <f t="shared" si="78"/>
        <v>0.73371187199999999</v>
      </c>
      <c r="M105" s="63">
        <f t="shared" si="57"/>
        <v>0</v>
      </c>
      <c r="N105" s="406">
        <f t="shared" si="58"/>
        <v>0.96884919997451002</v>
      </c>
      <c r="O105" s="406">
        <f t="shared" si="79"/>
        <v>2.3228202566243354E-2</v>
      </c>
      <c r="P105">
        <f t="shared" si="59"/>
        <v>0.2</v>
      </c>
      <c r="Q105" s="406">
        <f t="shared" si="80"/>
        <v>0.22322820256624337</v>
      </c>
      <c r="R105" s="9">
        <f t="shared" si="87"/>
        <v>0.13064751161521648</v>
      </c>
      <c r="S105" s="9">
        <f t="shared" si="81"/>
        <v>3.4137544582496254E-5</v>
      </c>
      <c r="T105" s="9">
        <f t="shared" si="88"/>
        <v>3.4137544582496254E-5</v>
      </c>
      <c r="U105" s="406">
        <f t="shared" si="60"/>
        <v>0.56730302855069892</v>
      </c>
      <c r="V105" s="408">
        <f t="shared" si="82"/>
        <v>1.0298647238489445E-3</v>
      </c>
      <c r="W105" s="406">
        <f t="shared" si="89"/>
        <v>1.0298647238489445E-3</v>
      </c>
      <c r="X105" s="406">
        <f t="shared" si="61"/>
        <v>0.56730302855069892</v>
      </c>
      <c r="Y105" s="406">
        <f t="shared" si="83"/>
        <v>6.4366545240559028E-3</v>
      </c>
      <c r="Z105" s="406">
        <f t="shared" si="62"/>
        <v>1.4575292852140403E-2</v>
      </c>
      <c r="AA105" s="406">
        <f t="shared" si="63"/>
        <v>4.9687500000000002E-2</v>
      </c>
      <c r="AB105" s="406">
        <f t="shared" si="64"/>
        <v>0</v>
      </c>
      <c r="AC105" s="406">
        <f t="shared" ref="AC105:AC109" si="94">(AB105+AA105+Z105+Y105*(1+RdsonTopTc*Ta-RdsonTopTc*25))/(1-Y105*RdsonTopTc*ThetaJaTop)</f>
        <v>7.0781454614808115E-2</v>
      </c>
      <c r="AD105" s="406">
        <f t="shared" si="66"/>
        <v>0.78538910489543523</v>
      </c>
      <c r="AE105" s="406">
        <f t="shared" si="84"/>
        <v>1.2336720921769059E-2</v>
      </c>
      <c r="AF105" s="406">
        <f t="shared" si="67"/>
        <v>3.7440000000000001E-2</v>
      </c>
      <c r="AG105" s="406">
        <f t="shared" ref="AG105:AG109" si="95">(AF105+AE105*(1+RdsonBotTc*Ta-RdsonBotTc*25))/(1-AE105*RdsonBotTc*ThetaJaBot)</f>
        <v>4.9875168286902145E-2</v>
      </c>
      <c r="AH105" s="406">
        <f t="shared" si="69"/>
        <v>0</v>
      </c>
      <c r="AI105">
        <f t="shared" si="70"/>
        <v>0</v>
      </c>
      <c r="AJ105" s="407">
        <f t="shared" si="71"/>
        <v>2.9961600000000001E-2</v>
      </c>
      <c r="AK105">
        <f t="shared" si="85"/>
        <v>0.03</v>
      </c>
      <c r="AL105" s="407">
        <f t="shared" si="72"/>
        <v>0.13500000000000001</v>
      </c>
      <c r="AM105" s="407">
        <f t="shared" si="86"/>
        <v>9.8855098389982105E-2</v>
      </c>
      <c r="AN105" s="407">
        <f t="shared" si="90"/>
        <v>0.16500000000000001</v>
      </c>
      <c r="AO105" s="407">
        <f t="shared" ref="AO105:AO109" si="96">SUM(Q105,T105,W105,AC105,AJ105,AI105,AG105,AN105, AH105)</f>
        <v>0.53991042773638509</v>
      </c>
      <c r="AP105">
        <f t="shared" si="74"/>
        <v>4.8959999999999999</v>
      </c>
      <c r="AQ105" s="10">
        <f t="shared" si="91"/>
        <v>0.90067709265746421</v>
      </c>
      <c r="AR105" s="63">
        <f t="shared" si="75"/>
        <v>3.1851654576663653</v>
      </c>
      <c r="AS105" s="63">
        <f t="shared" si="92"/>
        <v>1.9950067314760858</v>
      </c>
      <c r="AT105" s="10"/>
      <c r="AU105">
        <f t="shared" si="93"/>
        <v>90.067709265746416</v>
      </c>
      <c r="BE105" s="28"/>
      <c r="BF105" s="29"/>
    </row>
    <row r="106" spans="7:58" x14ac:dyDescent="0.2">
      <c r="G106">
        <v>97</v>
      </c>
      <c r="H106">
        <f t="shared" si="55"/>
        <v>0.97</v>
      </c>
      <c r="I106" s="406">
        <f t="shared" si="76"/>
        <v>0.34289059999999993</v>
      </c>
      <c r="J106" s="407">
        <f t="shared" si="56"/>
        <v>0.4526155919999999</v>
      </c>
      <c r="K106" s="407">
        <f t="shared" si="77"/>
        <v>1.1963077959999999</v>
      </c>
      <c r="L106" s="407">
        <f t="shared" si="78"/>
        <v>0.74369220400000002</v>
      </c>
      <c r="M106" s="63">
        <f t="shared" si="57"/>
        <v>0</v>
      </c>
      <c r="N106" s="406">
        <f t="shared" si="58"/>
        <v>0.97876030748601872</v>
      </c>
      <c r="O106" s="406">
        <f t="shared" si="79"/>
        <v>2.3706777762006668E-2</v>
      </c>
      <c r="P106">
        <f t="shared" si="59"/>
        <v>0.2</v>
      </c>
      <c r="Q106" s="406">
        <f t="shared" si="80"/>
        <v>0.22370677776200668</v>
      </c>
      <c r="R106" s="9">
        <f t="shared" si="87"/>
        <v>0.1306588669403109</v>
      </c>
      <c r="S106" s="9">
        <f t="shared" si="81"/>
        <v>3.4143479020251736E-5</v>
      </c>
      <c r="T106" s="9">
        <f t="shared" si="88"/>
        <v>3.4143479020251736E-5</v>
      </c>
      <c r="U106" s="406">
        <f t="shared" si="60"/>
        <v>0.57313131527048033</v>
      </c>
      <c r="V106" s="408">
        <f t="shared" si="82"/>
        <v>1.0511344145397465E-3</v>
      </c>
      <c r="W106" s="406">
        <f t="shared" si="89"/>
        <v>1.0511344145397465E-3</v>
      </c>
      <c r="X106" s="406">
        <f t="shared" si="61"/>
        <v>0.57313131527048033</v>
      </c>
      <c r="Y106" s="406">
        <f t="shared" si="83"/>
        <v>6.5695900908734148E-3</v>
      </c>
      <c r="Z106" s="406">
        <f t="shared" si="62"/>
        <v>1.472395333133612E-2</v>
      </c>
      <c r="AA106" s="406">
        <f t="shared" si="63"/>
        <v>4.9687500000000002E-2</v>
      </c>
      <c r="AB106" s="406">
        <f t="shared" si="64"/>
        <v>0</v>
      </c>
      <c r="AC106" s="406">
        <f t="shared" si="94"/>
        <v>7.1065079742072046E-2</v>
      </c>
      <c r="AD106" s="406">
        <f t="shared" si="66"/>
        <v>0.79340546693759006</v>
      </c>
      <c r="AE106" s="406">
        <f t="shared" si="84"/>
        <v>1.2589844699329108E-2</v>
      </c>
      <c r="AF106" s="406">
        <f t="shared" si="67"/>
        <v>3.7829999999999996E-2</v>
      </c>
      <c r="AG106" s="406">
        <f t="shared" si="95"/>
        <v>5.0521614183573996E-2</v>
      </c>
      <c r="AH106" s="406">
        <f t="shared" si="69"/>
        <v>0</v>
      </c>
      <c r="AI106">
        <f t="shared" si="70"/>
        <v>0</v>
      </c>
      <c r="AJ106" s="407">
        <f t="shared" si="71"/>
        <v>2.9961200000000004E-2</v>
      </c>
      <c r="AK106">
        <f t="shared" si="85"/>
        <v>0.03</v>
      </c>
      <c r="AL106" s="407">
        <f t="shared" si="72"/>
        <v>0.13500000000000001</v>
      </c>
      <c r="AM106" s="407">
        <f t="shared" si="86"/>
        <v>9.8855098389982105E-2</v>
      </c>
      <c r="AN106" s="407">
        <f t="shared" si="90"/>
        <v>0.16500000000000001</v>
      </c>
      <c r="AO106" s="407">
        <f t="shared" si="96"/>
        <v>0.54133994958121268</v>
      </c>
      <c r="AP106">
        <f t="shared" si="74"/>
        <v>4.9469999999999992</v>
      </c>
      <c r="AQ106" s="10">
        <f t="shared" si="91"/>
        <v>0.90136544846816213</v>
      </c>
      <c r="AR106" s="63">
        <f t="shared" si="75"/>
        <v>3.1979285883932422</v>
      </c>
      <c r="AS106" s="63">
        <f t="shared" si="92"/>
        <v>2.0208645673429597</v>
      </c>
      <c r="AT106" s="10"/>
      <c r="AU106">
        <f t="shared" si="93"/>
        <v>90.136544846816207</v>
      </c>
      <c r="BE106" s="28"/>
      <c r="BF106" s="29"/>
    </row>
    <row r="107" spans="7:58" x14ac:dyDescent="0.2">
      <c r="G107">
        <v>98</v>
      </c>
      <c r="H107">
        <f t="shared" si="55"/>
        <v>0.98</v>
      </c>
      <c r="I107" s="406">
        <f t="shared" si="76"/>
        <v>0.34292039999999996</v>
      </c>
      <c r="J107" s="407">
        <f t="shared" si="56"/>
        <v>0.45265492799999996</v>
      </c>
      <c r="K107" s="407">
        <f t="shared" si="77"/>
        <v>1.2063274639999999</v>
      </c>
      <c r="L107" s="407">
        <f t="shared" si="78"/>
        <v>0.75367253600000006</v>
      </c>
      <c r="M107" s="63">
        <f t="shared" si="57"/>
        <v>0</v>
      </c>
      <c r="N107" s="406">
        <f t="shared" si="58"/>
        <v>0.98867320535497993</v>
      </c>
      <c r="O107" s="406">
        <f t="shared" si="79"/>
        <v>2.4190348679655607E-2</v>
      </c>
      <c r="P107">
        <f t="shared" si="59"/>
        <v>0.2</v>
      </c>
      <c r="Q107" s="406">
        <f t="shared" si="80"/>
        <v>0.22419034867965562</v>
      </c>
      <c r="R107" s="9">
        <f t="shared" si="87"/>
        <v>0.13067022226540534</v>
      </c>
      <c r="S107" s="9">
        <f t="shared" si="81"/>
        <v>3.4149413973780868E-5</v>
      </c>
      <c r="T107" s="9">
        <f t="shared" si="88"/>
        <v>3.4149413973780868E-5</v>
      </c>
      <c r="U107" s="406">
        <f t="shared" si="60"/>
        <v>0.57896115371398382</v>
      </c>
      <c r="V107" s="408">
        <f t="shared" si="82"/>
        <v>1.0726272560314472E-3</v>
      </c>
      <c r="W107" s="406">
        <f t="shared" si="89"/>
        <v>1.0726272560314472E-3</v>
      </c>
      <c r="X107" s="406">
        <f t="shared" si="61"/>
        <v>0.57896115371398382</v>
      </c>
      <c r="Y107" s="406">
        <f t="shared" si="83"/>
        <v>6.703920350196544E-3</v>
      </c>
      <c r="Z107" s="406">
        <f t="shared" si="62"/>
        <v>1.4872613810531832E-2</v>
      </c>
      <c r="AA107" s="406">
        <f t="shared" si="63"/>
        <v>4.9687500000000002E-2</v>
      </c>
      <c r="AB107" s="406">
        <f t="shared" si="64"/>
        <v>0</v>
      </c>
      <c r="AC107" s="406">
        <f t="shared" si="94"/>
        <v>7.1350132770000269E-2</v>
      </c>
      <c r="AD107" s="406">
        <f t="shared" si="66"/>
        <v>0.80142291549285216</v>
      </c>
      <c r="AE107" s="406">
        <f t="shared" si="84"/>
        <v>1.2845573789541265E-2</v>
      </c>
      <c r="AF107" s="406">
        <f t="shared" si="67"/>
        <v>3.8219999999999997E-2</v>
      </c>
      <c r="AG107" s="406">
        <f t="shared" si="95"/>
        <v>5.1170744601644655E-2</v>
      </c>
      <c r="AH107" s="406">
        <f t="shared" si="69"/>
        <v>0</v>
      </c>
      <c r="AI107">
        <f t="shared" si="70"/>
        <v>0</v>
      </c>
      <c r="AJ107" s="407">
        <f t="shared" si="71"/>
        <v>2.9960799999999999E-2</v>
      </c>
      <c r="AK107">
        <f t="shared" si="85"/>
        <v>0.03</v>
      </c>
      <c r="AL107" s="407">
        <f t="shared" si="72"/>
        <v>0.13500000000000001</v>
      </c>
      <c r="AM107" s="407">
        <f t="shared" si="86"/>
        <v>9.8855098389982105E-2</v>
      </c>
      <c r="AN107" s="407">
        <f t="shared" si="90"/>
        <v>0.16500000000000001</v>
      </c>
      <c r="AO107" s="407">
        <f t="shared" si="96"/>
        <v>0.54277880272130574</v>
      </c>
      <c r="AP107">
        <f t="shared" si="74"/>
        <v>4.9979999999999993</v>
      </c>
      <c r="AQ107" s="10">
        <f t="shared" si="91"/>
        <v>0.90203925800923068</v>
      </c>
      <c r="AR107" s="63">
        <f t="shared" si="75"/>
        <v>3.2107559746500121</v>
      </c>
      <c r="AS107" s="63">
        <f t="shared" si="92"/>
        <v>2.0468297840657863</v>
      </c>
      <c r="AT107" s="10"/>
      <c r="AU107">
        <f t="shared" si="93"/>
        <v>90.203925800923074</v>
      </c>
      <c r="BE107" s="28"/>
      <c r="BF107" s="29"/>
    </row>
    <row r="108" spans="7:58" x14ac:dyDescent="0.2">
      <c r="G108">
        <v>99</v>
      </c>
      <c r="H108">
        <f t="shared" si="55"/>
        <v>0.99</v>
      </c>
      <c r="I108" s="406">
        <f t="shared" si="76"/>
        <v>0.34295019999999998</v>
      </c>
      <c r="J108" s="407">
        <f t="shared" si="56"/>
        <v>0.45269426399999996</v>
      </c>
      <c r="K108" s="407">
        <f t="shared" si="77"/>
        <v>1.2163471319999999</v>
      </c>
      <c r="L108" s="407">
        <f t="shared" si="78"/>
        <v>0.76365286799999998</v>
      </c>
      <c r="M108" s="63">
        <f t="shared" si="57"/>
        <v>0</v>
      </c>
      <c r="N108" s="406">
        <f t="shared" si="58"/>
        <v>0.99858784026320979</v>
      </c>
      <c r="O108" s="406">
        <f t="shared" si="79"/>
        <v>2.4678916472358169E-2</v>
      </c>
      <c r="P108">
        <f t="shared" si="59"/>
        <v>0.2</v>
      </c>
      <c r="Q108" s="406">
        <f t="shared" si="80"/>
        <v>0.22467891647235819</v>
      </c>
      <c r="R108" s="9">
        <f t="shared" si="87"/>
        <v>0.13068157759049975</v>
      </c>
      <c r="S108" s="9">
        <f t="shared" si="81"/>
        <v>3.4155349443083614E-5</v>
      </c>
      <c r="T108" s="9">
        <f t="shared" si="88"/>
        <v>3.4155349443083614E-5</v>
      </c>
      <c r="U108" s="406">
        <f t="shared" si="60"/>
        <v>0.58479251276096855</v>
      </c>
      <c r="V108" s="408">
        <f t="shared" si="82"/>
        <v>1.0943433055401203E-3</v>
      </c>
      <c r="W108" s="406">
        <f t="shared" si="89"/>
        <v>1.0943433055401203E-3</v>
      </c>
      <c r="X108" s="406">
        <f t="shared" si="61"/>
        <v>0.58479251276096855</v>
      </c>
      <c r="Y108" s="406">
        <f t="shared" si="83"/>
        <v>6.8396456596257517E-3</v>
      </c>
      <c r="Z108" s="406">
        <f t="shared" si="62"/>
        <v>1.5021274289727547E-2</v>
      </c>
      <c r="AA108" s="406">
        <f t="shared" si="63"/>
        <v>4.9687500000000002E-2</v>
      </c>
      <c r="AB108" s="406">
        <f t="shared" si="64"/>
        <v>0</v>
      </c>
      <c r="AC108" s="406">
        <f t="shared" si="94"/>
        <v>7.1636614379903776E-2</v>
      </c>
      <c r="AD108" s="406">
        <f t="shared" si="66"/>
        <v>0.80944140723109415</v>
      </c>
      <c r="AE108" s="406">
        <f t="shared" si="84"/>
        <v>1.3103907834805081E-2</v>
      </c>
      <c r="AF108" s="406">
        <f t="shared" si="67"/>
        <v>3.8609999999999998E-2</v>
      </c>
      <c r="AG108" s="406">
        <f t="shared" si="95"/>
        <v>5.1822560323483882E-2</v>
      </c>
      <c r="AH108" s="406">
        <f t="shared" si="69"/>
        <v>0</v>
      </c>
      <c r="AI108">
        <f t="shared" si="70"/>
        <v>0</v>
      </c>
      <c r="AJ108" s="407">
        <f t="shared" si="71"/>
        <v>2.9960400000000002E-2</v>
      </c>
      <c r="AK108">
        <f t="shared" si="85"/>
        <v>0.03</v>
      </c>
      <c r="AL108" s="407">
        <f t="shared" si="72"/>
        <v>0.13500000000000001</v>
      </c>
      <c r="AM108" s="407">
        <f t="shared" si="86"/>
        <v>9.8855098389982105E-2</v>
      </c>
      <c r="AN108" s="407">
        <f t="shared" si="90"/>
        <v>0.16500000000000001</v>
      </c>
      <c r="AO108" s="407">
        <f t="shared" si="96"/>
        <v>0.54422698983072904</v>
      </c>
      <c r="AP108">
        <f t="shared" si="74"/>
        <v>5.0489999999999995</v>
      </c>
      <c r="AQ108" s="10">
        <f t="shared" si="91"/>
        <v>0.90269892660887707</v>
      </c>
      <c r="AR108" s="63">
        <f t="shared" si="75"/>
        <v>3.2236476470956701</v>
      </c>
      <c r="AS108" s="63">
        <f t="shared" si="92"/>
        <v>2.0729024129393552</v>
      </c>
      <c r="AT108" s="10"/>
      <c r="AU108">
        <f t="shared" si="93"/>
        <v>90.269892660887706</v>
      </c>
      <c r="BE108" s="28"/>
      <c r="BF108" s="29"/>
    </row>
    <row r="109" spans="7:58" x14ac:dyDescent="0.2">
      <c r="G109">
        <v>100</v>
      </c>
      <c r="H109">
        <f t="shared" si="55"/>
        <v>1</v>
      </c>
      <c r="I109" s="406">
        <f t="shared" si="76"/>
        <v>0.34297999999999995</v>
      </c>
      <c r="J109" s="407">
        <f t="shared" si="56"/>
        <v>0.45273359999999996</v>
      </c>
      <c r="K109" s="407">
        <f t="shared" si="77"/>
        <v>1.2263668000000001</v>
      </c>
      <c r="L109" s="407">
        <f t="shared" si="78"/>
        <v>0.77363320000000002</v>
      </c>
      <c r="M109" s="63">
        <f t="shared" si="57"/>
        <v>0</v>
      </c>
      <c r="N109" s="406">
        <f t="shared" si="58"/>
        <v>1.0085041609800527</v>
      </c>
      <c r="O109" s="406">
        <f t="shared" si="79"/>
        <v>2.5172482305333848E-2</v>
      </c>
      <c r="P109">
        <f t="shared" si="59"/>
        <v>0.2</v>
      </c>
      <c r="Q109" s="406">
        <f t="shared" si="80"/>
        <v>0.22517248230533385</v>
      </c>
      <c r="R109" s="9">
        <f t="shared" si="87"/>
        <v>0.13069293291559417</v>
      </c>
      <c r="S109" s="9">
        <f t="shared" si="81"/>
        <v>3.4161285428159996E-5</v>
      </c>
      <c r="T109" s="9">
        <f t="shared" si="88"/>
        <v>3.4161285428159996E-5</v>
      </c>
      <c r="U109" s="406">
        <f t="shared" si="60"/>
        <v>0.5906253625083121</v>
      </c>
      <c r="V109" s="408">
        <f t="shared" si="82"/>
        <v>1.1162826202818403E-3</v>
      </c>
      <c r="W109" s="406">
        <f t="shared" si="89"/>
        <v>1.1162826202818403E-3</v>
      </c>
      <c r="X109" s="406">
        <f t="shared" si="61"/>
        <v>0.5906253625083121</v>
      </c>
      <c r="Y109" s="406">
        <f t="shared" si="83"/>
        <v>6.9767663767615019E-3</v>
      </c>
      <c r="Z109" s="406">
        <f t="shared" si="62"/>
        <v>1.516993476892326E-2</v>
      </c>
      <c r="AA109" s="406">
        <f t="shared" si="63"/>
        <v>4.9687500000000002E-2</v>
      </c>
      <c r="AB109" s="406">
        <f t="shared" si="64"/>
        <v>0</v>
      </c>
      <c r="AC109" s="406">
        <f t="shared" si="94"/>
        <v>7.1924525255388713E-2</v>
      </c>
      <c r="AD109" s="406">
        <f t="shared" si="66"/>
        <v>0.81746090051818676</v>
      </c>
      <c r="AE109" s="406">
        <f t="shared" si="84"/>
        <v>1.3364846477520096E-2</v>
      </c>
      <c r="AF109" s="406">
        <f t="shared" si="67"/>
        <v>3.9E-2</v>
      </c>
      <c r="AG109" s="406">
        <f t="shared" si="95"/>
        <v>5.2477062138170966E-2</v>
      </c>
      <c r="AH109" s="406">
        <f t="shared" si="69"/>
        <v>0</v>
      </c>
      <c r="AI109">
        <f t="shared" si="70"/>
        <v>0</v>
      </c>
      <c r="AJ109" s="407">
        <f t="shared" si="71"/>
        <v>2.9960000000000001E-2</v>
      </c>
      <c r="AK109">
        <f t="shared" si="85"/>
        <v>0.03</v>
      </c>
      <c r="AL109" s="407">
        <f t="shared" si="72"/>
        <v>0.13500000000000001</v>
      </c>
      <c r="AM109" s="407">
        <f t="shared" si="86"/>
        <v>9.8855098389982105E-2</v>
      </c>
      <c r="AN109" s="407">
        <f t="shared" si="90"/>
        <v>0.16500000000000001</v>
      </c>
      <c r="AO109" s="407">
        <f t="shared" si="96"/>
        <v>0.54568451360460357</v>
      </c>
      <c r="AP109">
        <f t="shared" si="74"/>
        <v>5.0999999999999996</v>
      </c>
      <c r="AQ109" s="10">
        <f t="shared" si="91"/>
        <v>0.90334484467035858</v>
      </c>
      <c r="AR109" s="63">
        <f t="shared" si="75"/>
        <v>3.2366036364924922</v>
      </c>
      <c r="AS109" s="63">
        <f t="shared" si="92"/>
        <v>2.0990824855268384</v>
      </c>
      <c r="AT109" s="10"/>
      <c r="AU109">
        <f t="shared" si="93"/>
        <v>90.334484467035864</v>
      </c>
      <c r="BE109" s="28"/>
      <c r="BF109" s="29"/>
    </row>
    <row r="110" spans="7:58" x14ac:dyDescent="0.2">
      <c r="G110">
        <v>101</v>
      </c>
      <c r="H110">
        <f t="shared" si="55"/>
        <v>1.01</v>
      </c>
      <c r="I110" s="406">
        <f t="shared" ref="I110:I173" si="97">(Vout+Rdcr*H110+RdsonBot*H110)/(Vin-RdsonTop*H110+RdsonBot*H110)</f>
        <v>0.34300979999999998</v>
      </c>
      <c r="J110" s="407">
        <f t="shared" si="56"/>
        <v>0.45277293599999996</v>
      </c>
      <c r="K110" s="407">
        <f t="shared" si="77"/>
        <v>1.2363864680000001</v>
      </c>
      <c r="L110" s="407">
        <f t="shared" ref="L110:L173" si="98">H110-J110/2</f>
        <v>0.78361353200000006</v>
      </c>
      <c r="M110" s="63">
        <f t="shared" si="57"/>
        <v>0</v>
      </c>
      <c r="N110" s="406">
        <f t="shared" ref="N110:N173" si="99">SQRT(H110^2+(J110^2)/12)</f>
        <v>1.0184221182616298</v>
      </c>
      <c r="O110" s="406">
        <f t="shared" ref="O110:O173" si="100">(N110^2*Rdcr*(1+Ltc*Ta-Ltc*25))/(1-N110^2*Rdcr*Ltc*ThetaCa)</f>
        <v>2.5671047355860607E-2</v>
      </c>
      <c r="P110">
        <f t="shared" si="59"/>
        <v>0.2</v>
      </c>
      <c r="Q110" s="406">
        <f t="shared" si="80"/>
        <v>0.22567104735586063</v>
      </c>
      <c r="R110" s="9">
        <f t="shared" ref="R110:R173" si="101">J110/(2*SQRT(3))</f>
        <v>0.13070428824068858</v>
      </c>
      <c r="S110" s="9">
        <f t="shared" ref="S110:S173" si="102">RCoutEsr*R110^2</f>
        <v>3.4167221929010007E-5</v>
      </c>
      <c r="T110" s="9">
        <f t="shared" ref="T110:T173" si="103">S110</f>
        <v>3.4167221929010007E-5</v>
      </c>
      <c r="U110" s="406">
        <f t="shared" ref="U110:U173" si="104">SQRT(I110)*SQRT(H110^2+(J110^2)/12)</f>
        <v>0.59645967421126855</v>
      </c>
      <c r="V110" s="408">
        <f t="shared" ref="V110:V173" si="105">RCinEsr*U110^2</f>
        <v>1.1384452574726804E-3</v>
      </c>
      <c r="W110" s="406">
        <f t="shared" ref="W110:W173" si="106">V110</f>
        <v>1.1384452574726804E-3</v>
      </c>
      <c r="X110" s="406">
        <f t="shared" ref="X110:X173" si="107">SQRT(I110)*SQRT(H110^2+(J110^2)/12)</f>
        <v>0.59645967421126855</v>
      </c>
      <c r="Y110" s="406">
        <f t="shared" ref="Y110:Y173" si="108">RdsonTop*X110^2</f>
        <v>7.1152828592042526E-3</v>
      </c>
      <c r="Z110" s="406">
        <f t="shared" si="62"/>
        <v>1.5318595248118972E-2</v>
      </c>
      <c r="AA110" s="406">
        <f t="shared" si="63"/>
        <v>4.9687500000000002E-2</v>
      </c>
      <c r="AB110" s="406">
        <f t="shared" si="64"/>
        <v>0</v>
      </c>
      <c r="AC110" s="406">
        <f t="shared" ref="AC110:AC173" si="109">(AB110+AA110+Z110+Y110*(1+RdsonTopTc*Ta-RdsonTopTc*25))/(1-Y110*RdsonTopTc*ThetaJaTop)</f>
        <v>7.2213866082359093E-2</v>
      </c>
      <c r="AD110" s="406">
        <f t="shared" ref="AD110:AD173" si="110">SQRT(1-I110)*SQRT(H110^2+(J110^2)/12)</f>
        <v>0.82548135533414224</v>
      </c>
      <c r="AE110" s="406">
        <f t="shared" ref="AE110:AE173" si="111">RdsonBot*AD110^2</f>
        <v>1.3628389360085849E-2</v>
      </c>
      <c r="AF110" s="406">
        <f t="shared" si="67"/>
        <v>3.9390000000000001E-2</v>
      </c>
      <c r="AG110" s="406">
        <f t="shared" ref="AG110:AG173" si="112">(AF110+AE110*(1+RdsonBotTc*Ta-RdsonBotTc*25))/(1-AE110*RdsonBotTc*ThetaJaBot)</f>
        <v>5.3134250841497754E-2</v>
      </c>
      <c r="AH110" s="406">
        <f t="shared" ref="AH110:AH173" si="113">IF(RDSON_sense=1, 0, AD110^2*Rshunt)</f>
        <v>0</v>
      </c>
      <c r="AI110">
        <f t="shared" si="70"/>
        <v>0</v>
      </c>
      <c r="AJ110" s="407">
        <f t="shared" si="71"/>
        <v>2.9959599999999999E-2</v>
      </c>
      <c r="AK110">
        <f t="shared" si="85"/>
        <v>0.03</v>
      </c>
      <c r="AL110" s="407">
        <f t="shared" si="72"/>
        <v>0.13500000000000001</v>
      </c>
      <c r="AM110" s="407">
        <f t="shared" si="86"/>
        <v>9.8855098389982105E-2</v>
      </c>
      <c r="AN110" s="407">
        <f t="shared" ref="AN110:AN173" si="114">SUM(AK110:AL110)</f>
        <v>0.16500000000000001</v>
      </c>
      <c r="AO110" s="407">
        <f t="shared" ref="AO110:AO173" si="115">SUM(Q110,T110,W110,AC110,AJ110,AI110,AG110,AN110, AH110)</f>
        <v>0.54715137675911918</v>
      </c>
      <c r="AP110">
        <f t="shared" si="74"/>
        <v>5.1509999999999998</v>
      </c>
      <c r="AQ110" s="10">
        <f t="shared" ref="AQ110:AQ173" si="116">AP110/(AP110+AO110)</f>
        <v>0.90397738835251562</v>
      </c>
      <c r="AR110" s="63">
        <f t="shared" ref="AR110:AR173" si="117">ThetaJaTop*AC110</f>
        <v>3.2496239737061594</v>
      </c>
      <c r="AS110" s="63">
        <f t="shared" ref="AS110:AS173" si="118">AG110*ThetaJaBot</f>
        <v>2.1253700336599102</v>
      </c>
      <c r="AT110" s="10"/>
      <c r="AU110">
        <f t="shared" ref="AU110:AU173" si="119">AQ110*100</f>
        <v>90.397738835251559</v>
      </c>
    </row>
    <row r="111" spans="7:58" x14ac:dyDescent="0.2">
      <c r="G111">
        <v>102</v>
      </c>
      <c r="H111">
        <f t="shared" si="55"/>
        <v>1.02</v>
      </c>
      <c r="I111" s="406">
        <f t="shared" si="97"/>
        <v>0.3430396</v>
      </c>
      <c r="J111" s="407">
        <f t="shared" si="56"/>
        <v>0.45281227200000002</v>
      </c>
      <c r="K111" s="407">
        <f t="shared" si="77"/>
        <v>1.2464061360000001</v>
      </c>
      <c r="L111" s="407">
        <f t="shared" si="98"/>
        <v>0.79359386399999998</v>
      </c>
      <c r="M111" s="63">
        <f t="shared" si="57"/>
        <v>0</v>
      </c>
      <c r="N111" s="406">
        <f t="shared" si="99"/>
        <v>1.0283416647558421</v>
      </c>
      <c r="O111" s="406">
        <f t="shared" si="100"/>
        <v>2.617461281328191E-2</v>
      </c>
      <c r="P111">
        <f t="shared" si="59"/>
        <v>0.2</v>
      </c>
      <c r="Q111" s="406">
        <f t="shared" si="80"/>
        <v>0.22617461281328191</v>
      </c>
      <c r="R111" s="9">
        <f t="shared" si="101"/>
        <v>0.13071564356578302</v>
      </c>
      <c r="S111" s="9">
        <f t="shared" si="102"/>
        <v>3.4173158945633666E-5</v>
      </c>
      <c r="T111" s="9">
        <f t="shared" si="103"/>
        <v>3.4173158945633666E-5</v>
      </c>
      <c r="U111" s="406">
        <f t="shared" si="104"/>
        <v>0.60229542022808313</v>
      </c>
      <c r="V111" s="408">
        <f t="shared" si="105"/>
        <v>1.1608312743287144E-3</v>
      </c>
      <c r="W111" s="406">
        <f t="shared" si="106"/>
        <v>1.1608312743287144E-3</v>
      </c>
      <c r="X111" s="406">
        <f t="shared" si="107"/>
        <v>0.60229542022808313</v>
      </c>
      <c r="Y111" s="406">
        <f t="shared" si="108"/>
        <v>7.2551954645544651E-3</v>
      </c>
      <c r="Z111" s="406">
        <f t="shared" si="62"/>
        <v>1.5467255727314687E-2</v>
      </c>
      <c r="AA111" s="406">
        <f t="shared" si="63"/>
        <v>4.9687500000000002E-2</v>
      </c>
      <c r="AB111" s="406">
        <f t="shared" si="64"/>
        <v>0</v>
      </c>
      <c r="AC111" s="406">
        <f t="shared" si="109"/>
        <v>7.2504637549020021E-2</v>
      </c>
      <c r="AD111" s="406">
        <f t="shared" si="110"/>
        <v>0.83350273319593471</v>
      </c>
      <c r="AE111" s="406">
        <f t="shared" si="111"/>
        <v>1.3894536124901871E-2</v>
      </c>
      <c r="AF111" s="406">
        <f t="shared" si="67"/>
        <v>3.9780000000000003E-2</v>
      </c>
      <c r="AG111" s="406">
        <f t="shared" si="112"/>
        <v>5.379412723597192E-2</v>
      </c>
      <c r="AH111" s="406">
        <f t="shared" si="113"/>
        <v>0</v>
      </c>
      <c r="AI111">
        <f t="shared" si="70"/>
        <v>0</v>
      </c>
      <c r="AJ111" s="407">
        <f t="shared" si="71"/>
        <v>2.9959199999999998E-2</v>
      </c>
      <c r="AK111">
        <f t="shared" si="85"/>
        <v>0.03</v>
      </c>
      <c r="AL111" s="407">
        <f t="shared" si="72"/>
        <v>0.13500000000000001</v>
      </c>
      <c r="AM111" s="407">
        <f t="shared" si="86"/>
        <v>9.8855098389982105E-2</v>
      </c>
      <c r="AN111" s="407">
        <f t="shared" si="114"/>
        <v>0.16500000000000001</v>
      </c>
      <c r="AO111" s="407">
        <f t="shared" si="115"/>
        <v>0.54862758203154827</v>
      </c>
      <c r="AP111">
        <f t="shared" si="74"/>
        <v>5.202</v>
      </c>
      <c r="AQ111" s="10">
        <f t="shared" si="116"/>
        <v>0.90459692021340532</v>
      </c>
      <c r="AR111" s="63">
        <f t="shared" si="117"/>
        <v>3.2627086897059008</v>
      </c>
      <c r="AS111" s="63">
        <f t="shared" si="118"/>
        <v>2.1517650894388769</v>
      </c>
      <c r="AT111" s="10"/>
      <c r="AU111">
        <f t="shared" si="119"/>
        <v>90.45969202134053</v>
      </c>
    </row>
    <row r="112" spans="7:58" x14ac:dyDescent="0.2">
      <c r="G112">
        <v>103</v>
      </c>
      <c r="H112">
        <f t="shared" si="55"/>
        <v>1.03</v>
      </c>
      <c r="I112" s="406">
        <f t="shared" si="97"/>
        <v>0.34306939999999997</v>
      </c>
      <c r="J112" s="407">
        <f t="shared" si="56"/>
        <v>0.45285160799999996</v>
      </c>
      <c r="K112" s="407">
        <f t="shared" si="77"/>
        <v>1.256425804</v>
      </c>
      <c r="L112" s="407">
        <f t="shared" si="98"/>
        <v>0.80357419600000002</v>
      </c>
      <c r="M112" s="63">
        <f t="shared" si="57"/>
        <v>0</v>
      </c>
      <c r="N112" s="406">
        <f t="shared" si="99"/>
        <v>1.038262754912751</v>
      </c>
      <c r="O112" s="406">
        <f t="shared" si="100"/>
        <v>2.6683179879013832E-2</v>
      </c>
      <c r="P112">
        <f t="shared" si="59"/>
        <v>0.2</v>
      </c>
      <c r="Q112" s="406">
        <f t="shared" si="80"/>
        <v>0.22668317987901385</v>
      </c>
      <c r="R112" s="9">
        <f t="shared" si="101"/>
        <v>0.13072699889087744</v>
      </c>
      <c r="S112" s="9">
        <f t="shared" si="102"/>
        <v>3.417909647803094E-5</v>
      </c>
      <c r="T112" s="9">
        <f t="shared" si="103"/>
        <v>3.417909647803094E-5</v>
      </c>
      <c r="U112" s="406">
        <f t="shared" si="104"/>
        <v>0.60813257396774101</v>
      </c>
      <c r="V112" s="408">
        <f t="shared" si="105"/>
        <v>1.1834407280660159E-3</v>
      </c>
      <c r="W112" s="406">
        <f t="shared" si="106"/>
        <v>1.1834407280660159E-3</v>
      </c>
      <c r="X112" s="406">
        <f t="shared" si="107"/>
        <v>0.60813257396774101</v>
      </c>
      <c r="Y112" s="406">
        <f t="shared" si="108"/>
        <v>7.3965045504125991E-3</v>
      </c>
      <c r="Z112" s="406">
        <f t="shared" si="62"/>
        <v>1.5615916206510403E-2</v>
      </c>
      <c r="AA112" s="406">
        <f t="shared" si="63"/>
        <v>4.9687500000000002E-2</v>
      </c>
      <c r="AB112" s="406">
        <f t="shared" si="64"/>
        <v>0</v>
      </c>
      <c r="AC112" s="406">
        <f t="shared" si="109"/>
        <v>7.2796840345880326E-2</v>
      </c>
      <c r="AD112" s="406">
        <f t="shared" si="110"/>
        <v>0.84152499708468864</v>
      </c>
      <c r="AE112" s="406">
        <f t="shared" si="111"/>
        <v>1.4163286414367704E-2</v>
      </c>
      <c r="AF112" s="406">
        <f t="shared" si="67"/>
        <v>4.0170000000000004E-2</v>
      </c>
      <c r="AG112" s="406">
        <f t="shared" si="112"/>
        <v>5.4456692130820161E-2</v>
      </c>
      <c r="AH112" s="406">
        <f t="shared" si="113"/>
        <v>0</v>
      </c>
      <c r="AI112">
        <f t="shared" si="70"/>
        <v>0</v>
      </c>
      <c r="AJ112" s="407">
        <f t="shared" si="71"/>
        <v>2.9958800000000001E-2</v>
      </c>
      <c r="AK112">
        <f t="shared" si="85"/>
        <v>0.03</v>
      </c>
      <c r="AL112" s="407">
        <f t="shared" si="72"/>
        <v>0.13500000000000001</v>
      </c>
      <c r="AM112" s="407">
        <f t="shared" si="86"/>
        <v>9.8855098389982105E-2</v>
      </c>
      <c r="AN112" s="407">
        <f t="shared" si="114"/>
        <v>0.16500000000000001</v>
      </c>
      <c r="AO112" s="407">
        <f t="shared" si="115"/>
        <v>0.55011313218025837</v>
      </c>
      <c r="AP112">
        <f t="shared" si="74"/>
        <v>5.2530000000000001</v>
      </c>
      <c r="AQ112" s="10">
        <f t="shared" si="116"/>
        <v>0.90520378981934857</v>
      </c>
      <c r="AR112" s="63">
        <f t="shared" si="117"/>
        <v>3.2758578155646148</v>
      </c>
      <c r="AS112" s="63">
        <f t="shared" si="118"/>
        <v>2.1782676852328064</v>
      </c>
      <c r="AT112" s="10"/>
      <c r="AU112">
        <f t="shared" si="119"/>
        <v>90.520378981934854</v>
      </c>
    </row>
    <row r="113" spans="7:47" x14ac:dyDescent="0.2">
      <c r="G113">
        <v>104</v>
      </c>
      <c r="H113">
        <f t="shared" si="55"/>
        <v>1.04</v>
      </c>
      <c r="I113" s="406">
        <f t="shared" si="97"/>
        <v>0.34309919999999999</v>
      </c>
      <c r="J113" s="407">
        <f t="shared" si="56"/>
        <v>0.45289094400000002</v>
      </c>
      <c r="K113" s="407">
        <f t="shared" si="77"/>
        <v>1.266445472</v>
      </c>
      <c r="L113" s="407">
        <f t="shared" si="98"/>
        <v>0.81355452800000005</v>
      </c>
      <c r="M113" s="63">
        <f t="shared" si="57"/>
        <v>0</v>
      </c>
      <c r="N113" s="406">
        <f t="shared" si="99"/>
        <v>1.0481853448999852</v>
      </c>
      <c r="O113" s="406">
        <f t="shared" si="100"/>
        <v>2.7196749766552265E-2</v>
      </c>
      <c r="P113">
        <f t="shared" si="59"/>
        <v>0.2</v>
      </c>
      <c r="Q113" s="406">
        <f t="shared" si="80"/>
        <v>0.22719674976655227</v>
      </c>
      <c r="R113" s="9">
        <f t="shared" si="101"/>
        <v>0.13073835421597188</v>
      </c>
      <c r="S113" s="9">
        <f t="shared" si="102"/>
        <v>3.4185034526201863E-5</v>
      </c>
      <c r="T113" s="9">
        <f t="shared" si="103"/>
        <v>3.4185034526201863E-5</v>
      </c>
      <c r="U113" s="406">
        <f t="shared" si="104"/>
        <v>0.61397110984064718</v>
      </c>
      <c r="V113" s="408">
        <f t="shared" si="105"/>
        <v>1.2062736759006593E-3</v>
      </c>
      <c r="W113" s="406">
        <f t="shared" si="106"/>
        <v>1.2062736759006593E-3</v>
      </c>
      <c r="X113" s="406">
        <f t="shared" si="107"/>
        <v>0.61397110984064718</v>
      </c>
      <c r="Y113" s="406">
        <f t="shared" si="108"/>
        <v>7.5392104743791212E-3</v>
      </c>
      <c r="Z113" s="406">
        <f t="shared" si="62"/>
        <v>1.5764576685706112E-2</v>
      </c>
      <c r="AA113" s="406">
        <f t="shared" si="63"/>
        <v>4.9687500000000002E-2</v>
      </c>
      <c r="AB113" s="406">
        <f t="shared" si="64"/>
        <v>0</v>
      </c>
      <c r="AC113" s="406">
        <f t="shared" si="109"/>
        <v>7.3090475165755703E-2</v>
      </c>
      <c r="AD113" s="406">
        <f t="shared" si="110"/>
        <v>0.8495481113769513</v>
      </c>
      <c r="AE113" s="406">
        <f t="shared" si="111"/>
        <v>1.4434639870882898E-2</v>
      </c>
      <c r="AF113" s="406">
        <f t="shared" si="67"/>
        <v>4.0559999999999999E-2</v>
      </c>
      <c r="AG113" s="406">
        <f t="shared" si="112"/>
        <v>5.5121946341991503E-2</v>
      </c>
      <c r="AH113" s="406">
        <f t="shared" si="113"/>
        <v>0</v>
      </c>
      <c r="AI113">
        <f t="shared" si="70"/>
        <v>0</v>
      </c>
      <c r="AJ113" s="407">
        <f t="shared" si="71"/>
        <v>2.9958400000000003E-2</v>
      </c>
      <c r="AK113">
        <f t="shared" si="85"/>
        <v>0.03</v>
      </c>
      <c r="AL113" s="407">
        <f t="shared" si="72"/>
        <v>0.13500000000000001</v>
      </c>
      <c r="AM113" s="407">
        <f t="shared" si="86"/>
        <v>9.8855098389982105E-2</v>
      </c>
      <c r="AN113" s="407">
        <f t="shared" si="114"/>
        <v>0.16500000000000001</v>
      </c>
      <c r="AO113" s="407">
        <f t="shared" si="115"/>
        <v>0.55160802998472636</v>
      </c>
      <c r="AP113">
        <f t="shared" si="74"/>
        <v>5.3039999999999994</v>
      </c>
      <c r="AQ113" s="10">
        <f t="shared" si="116"/>
        <v>0.90579833432154011</v>
      </c>
      <c r="AR113" s="63">
        <f t="shared" si="117"/>
        <v>3.2890713824590065</v>
      </c>
      <c r="AS113" s="63">
        <f t="shared" si="118"/>
        <v>2.20487785367966</v>
      </c>
      <c r="AT113" s="10"/>
      <c r="AU113">
        <f t="shared" si="119"/>
        <v>90.579833432154004</v>
      </c>
    </row>
    <row r="114" spans="7:47" x14ac:dyDescent="0.2">
      <c r="G114">
        <v>105</v>
      </c>
      <c r="H114">
        <f t="shared" si="55"/>
        <v>1.05</v>
      </c>
      <c r="I114" s="406">
        <f t="shared" si="97"/>
        <v>0.34312899999999996</v>
      </c>
      <c r="J114" s="407">
        <f t="shared" si="56"/>
        <v>0.45293027999999996</v>
      </c>
      <c r="K114" s="407">
        <f t="shared" si="77"/>
        <v>1.27646514</v>
      </c>
      <c r="L114" s="407">
        <f t="shared" si="98"/>
        <v>0.82353486000000009</v>
      </c>
      <c r="M114" s="63">
        <f t="shared" si="57"/>
        <v>0</v>
      </c>
      <c r="N114" s="406">
        <f t="shared" si="99"/>
        <v>1.0581093925228493</v>
      </c>
      <c r="O114" s="406">
        <f t="shared" si="100"/>
        <v>2.7715323701480152E-2</v>
      </c>
      <c r="P114">
        <f t="shared" si="59"/>
        <v>0.2</v>
      </c>
      <c r="Q114" s="406">
        <f t="shared" si="80"/>
        <v>0.22771532370148018</v>
      </c>
      <c r="R114" s="9">
        <f t="shared" si="101"/>
        <v>0.13074970954106629</v>
      </c>
      <c r="S114" s="9">
        <f t="shared" si="102"/>
        <v>3.4190973090146408E-5</v>
      </c>
      <c r="T114" s="9">
        <f t="shared" si="103"/>
        <v>3.4190973090146408E-5</v>
      </c>
      <c r="U114" s="406">
        <f t="shared" si="104"/>
        <v>0.61981100321204718</v>
      </c>
      <c r="V114" s="408">
        <f t="shared" si="105"/>
        <v>1.229330175048718E-3</v>
      </c>
      <c r="W114" s="406">
        <f t="shared" si="106"/>
        <v>1.229330175048718E-3</v>
      </c>
      <c r="X114" s="406">
        <f t="shared" si="107"/>
        <v>0.61981100321204718</v>
      </c>
      <c r="Y114" s="406">
        <f t="shared" si="108"/>
        <v>7.6833135940544877E-3</v>
      </c>
      <c r="Z114" s="406">
        <f t="shared" si="62"/>
        <v>1.5913237164901829E-2</v>
      </c>
      <c r="AA114" s="406">
        <f t="shared" si="63"/>
        <v>4.9687500000000002E-2</v>
      </c>
      <c r="AB114" s="406">
        <f t="shared" si="64"/>
        <v>0</v>
      </c>
      <c r="AC114" s="406">
        <f t="shared" si="109"/>
        <v>7.338554270377165E-2</v>
      </c>
      <c r="AD114" s="406">
        <f t="shared" si="110"/>
        <v>0.85757204177978463</v>
      </c>
      <c r="AE114" s="406">
        <f t="shared" si="111"/>
        <v>1.4708596136846974E-2</v>
      </c>
      <c r="AF114" s="406">
        <f t="shared" si="67"/>
        <v>4.095E-2</v>
      </c>
      <c r="AG114" s="406">
        <f t="shared" si="112"/>
        <v>5.5789890692160546E-2</v>
      </c>
      <c r="AH114" s="406">
        <f t="shared" si="113"/>
        <v>0</v>
      </c>
      <c r="AI114">
        <f t="shared" si="70"/>
        <v>0</v>
      </c>
      <c r="AJ114" s="407">
        <f t="shared" si="71"/>
        <v>2.9957999999999999E-2</v>
      </c>
      <c r="AK114">
        <f t="shared" si="85"/>
        <v>0.03</v>
      </c>
      <c r="AL114" s="407">
        <f t="shared" si="72"/>
        <v>0.13500000000000001</v>
      </c>
      <c r="AM114" s="407">
        <f t="shared" si="86"/>
        <v>9.8855098389982105E-2</v>
      </c>
      <c r="AN114" s="407">
        <f t="shared" si="114"/>
        <v>0.16500000000000001</v>
      </c>
      <c r="AO114" s="407">
        <f t="shared" si="115"/>
        <v>0.5531122782455512</v>
      </c>
      <c r="AP114">
        <f t="shared" si="74"/>
        <v>5.3549999999999995</v>
      </c>
      <c r="AQ114" s="10">
        <f t="shared" si="116"/>
        <v>0.90638087900221798</v>
      </c>
      <c r="AR114" s="63">
        <f t="shared" si="117"/>
        <v>3.3023494216697244</v>
      </c>
      <c r="AS114" s="63">
        <f t="shared" si="118"/>
        <v>2.2315956276864219</v>
      </c>
      <c r="AT114" s="10"/>
      <c r="AU114">
        <f t="shared" si="119"/>
        <v>90.638087900221791</v>
      </c>
    </row>
    <row r="115" spans="7:47" x14ac:dyDescent="0.2">
      <c r="G115">
        <v>106</v>
      </c>
      <c r="H115">
        <f t="shared" si="55"/>
        <v>1.06</v>
      </c>
      <c r="I115" s="406">
        <f t="shared" si="97"/>
        <v>0.34315880000000004</v>
      </c>
      <c r="J115" s="407">
        <f t="shared" si="56"/>
        <v>0.45296961600000007</v>
      </c>
      <c r="K115" s="407">
        <f t="shared" si="77"/>
        <v>1.286484808</v>
      </c>
      <c r="L115" s="407">
        <f t="shared" si="98"/>
        <v>0.83351519200000002</v>
      </c>
      <c r="M115" s="63">
        <f t="shared" si="57"/>
        <v>0</v>
      </c>
      <c r="N115" s="406">
        <f t="shared" si="99"/>
        <v>1.0680348571488349</v>
      </c>
      <c r="O115" s="406">
        <f t="shared" si="100"/>
        <v>2.8238902921474806E-2</v>
      </c>
      <c r="P115">
        <f t="shared" si="59"/>
        <v>0.2</v>
      </c>
      <c r="Q115" s="406">
        <f t="shared" si="80"/>
        <v>0.22823890292147481</v>
      </c>
      <c r="R115" s="9">
        <f t="shared" si="101"/>
        <v>0.13076106486616074</v>
      </c>
      <c r="S115" s="9">
        <f t="shared" si="102"/>
        <v>3.4196912169864594E-5</v>
      </c>
      <c r="T115" s="9">
        <f t="shared" si="103"/>
        <v>3.4196912169864594E-5</v>
      </c>
      <c r="U115" s="406">
        <f t="shared" si="104"/>
        <v>0.62565223035801454</v>
      </c>
      <c r="V115" s="408">
        <f t="shared" si="105"/>
        <v>1.2526102827262659E-3</v>
      </c>
      <c r="W115" s="406">
        <f t="shared" si="106"/>
        <v>1.2526102827262659E-3</v>
      </c>
      <c r="X115" s="406">
        <f t="shared" si="107"/>
        <v>0.62565223035801454</v>
      </c>
      <c r="Y115" s="406">
        <f t="shared" si="108"/>
        <v>7.8288142670391615E-3</v>
      </c>
      <c r="Z115" s="406">
        <f t="shared" si="62"/>
        <v>1.6061897644097541E-2</v>
      </c>
      <c r="AA115" s="406">
        <f t="shared" si="63"/>
        <v>4.9687500000000002E-2</v>
      </c>
      <c r="AB115" s="406">
        <f t="shared" si="64"/>
        <v>0</v>
      </c>
      <c r="AC115" s="406">
        <f t="shared" si="109"/>
        <v>7.3682043657366386E-2</v>
      </c>
      <c r="AD115" s="406">
        <f t="shared" si="110"/>
        <v>0.86559675526943503</v>
      </c>
      <c r="AE115" s="406">
        <f t="shared" si="111"/>
        <v>1.4985154854659484E-2</v>
      </c>
      <c r="AF115" s="406">
        <f t="shared" si="67"/>
        <v>4.1340000000000002E-2</v>
      </c>
      <c r="AG115" s="406">
        <f t="shared" si="112"/>
        <v>5.6460526010730899E-2</v>
      </c>
      <c r="AH115" s="406">
        <f t="shared" si="113"/>
        <v>0</v>
      </c>
      <c r="AI115">
        <f t="shared" si="70"/>
        <v>0</v>
      </c>
      <c r="AJ115" s="407">
        <f t="shared" si="71"/>
        <v>2.9957600000000001E-2</v>
      </c>
      <c r="AK115">
        <f t="shared" si="85"/>
        <v>0.03</v>
      </c>
      <c r="AL115" s="407">
        <f t="shared" si="72"/>
        <v>0.13500000000000001</v>
      </c>
      <c r="AM115" s="407">
        <f t="shared" si="86"/>
        <v>9.8855098389982105E-2</v>
      </c>
      <c r="AN115" s="407">
        <f t="shared" si="114"/>
        <v>0.16500000000000001</v>
      </c>
      <c r="AO115" s="407">
        <f t="shared" si="115"/>
        <v>0.55462587978446831</v>
      </c>
      <c r="AP115">
        <f t="shared" si="74"/>
        <v>5.4059999999999997</v>
      </c>
      <c r="AQ115" s="10">
        <f t="shared" si="116"/>
        <v>0.90695173779225291</v>
      </c>
      <c r="AR115" s="63">
        <f t="shared" si="117"/>
        <v>3.3156919645814873</v>
      </c>
      <c r="AS115" s="63">
        <f t="shared" si="118"/>
        <v>2.2584210404292362</v>
      </c>
      <c r="AT115" s="10"/>
      <c r="AU115">
        <f t="shared" si="119"/>
        <v>90.695173779225286</v>
      </c>
    </row>
    <row r="116" spans="7:47" x14ac:dyDescent="0.2">
      <c r="G116">
        <v>107</v>
      </c>
      <c r="H116">
        <f t="shared" si="55"/>
        <v>1.07</v>
      </c>
      <c r="I116" s="406">
        <f t="shared" si="97"/>
        <v>0.34318860000000001</v>
      </c>
      <c r="J116" s="407">
        <f t="shared" si="56"/>
        <v>0.45300895200000002</v>
      </c>
      <c r="K116" s="407">
        <f t="shared" si="77"/>
        <v>1.296504476</v>
      </c>
      <c r="L116" s="407">
        <f t="shared" si="98"/>
        <v>0.84349552400000005</v>
      </c>
      <c r="M116" s="63">
        <f t="shared" si="57"/>
        <v>0</v>
      </c>
      <c r="N116" s="406">
        <f t="shared" si="99"/>
        <v>1.0779616996362524</v>
      </c>
      <c r="O116" s="406">
        <f t="shared" si="100"/>
        <v>2.8767488676315369E-2</v>
      </c>
      <c r="P116">
        <f t="shared" si="59"/>
        <v>0.2</v>
      </c>
      <c r="Q116" s="406">
        <f t="shared" si="80"/>
        <v>0.22876748867631538</v>
      </c>
      <c r="R116" s="9">
        <f t="shared" si="101"/>
        <v>0.13077242019125515</v>
      </c>
      <c r="S116" s="9">
        <f t="shared" si="102"/>
        <v>3.4202851765356396E-5</v>
      </c>
      <c r="T116" s="9">
        <f t="shared" si="103"/>
        <v>3.4202851765356396E-5</v>
      </c>
      <c r="U116" s="406">
        <f t="shared" si="104"/>
        <v>0.63149476842384056</v>
      </c>
      <c r="V116" s="408">
        <f t="shared" si="105"/>
        <v>1.2761140561493762E-3</v>
      </c>
      <c r="W116" s="406">
        <f t="shared" si="106"/>
        <v>1.2761140561493762E-3</v>
      </c>
      <c r="X116" s="406">
        <f t="shared" si="107"/>
        <v>0.63149476842384056</v>
      </c>
      <c r="Y116" s="406">
        <f t="shared" si="108"/>
        <v>7.9757128509336007E-3</v>
      </c>
      <c r="Z116" s="406">
        <f t="shared" si="62"/>
        <v>1.6210558123293254E-2</v>
      </c>
      <c r="AA116" s="406">
        <f t="shared" si="63"/>
        <v>4.9687500000000002E-2</v>
      </c>
      <c r="AB116" s="406">
        <f t="shared" si="64"/>
        <v>0</v>
      </c>
      <c r="AC116" s="406">
        <f t="shared" si="109"/>
        <v>7.3979978726293888E-2</v>
      </c>
      <c r="AD116" s="406">
        <f t="shared" si="110"/>
        <v>0.87362222003334944</v>
      </c>
      <c r="AE116" s="406">
        <f t="shared" si="111"/>
        <v>1.5264315666719961E-2</v>
      </c>
      <c r="AF116" s="406">
        <f t="shared" si="67"/>
        <v>4.1730000000000003E-2</v>
      </c>
      <c r="AG116" s="406">
        <f t="shared" si="112"/>
        <v>5.7133853133838508E-2</v>
      </c>
      <c r="AH116" s="406">
        <f t="shared" si="113"/>
        <v>0</v>
      </c>
      <c r="AI116">
        <f t="shared" si="70"/>
        <v>0</v>
      </c>
      <c r="AJ116" s="407">
        <f t="shared" si="71"/>
        <v>2.99572E-2</v>
      </c>
      <c r="AK116">
        <f t="shared" si="85"/>
        <v>0.03</v>
      </c>
      <c r="AL116" s="407">
        <f t="shared" si="72"/>
        <v>0.13500000000000001</v>
      </c>
      <c r="AM116" s="407">
        <f t="shared" si="86"/>
        <v>9.8855098389982105E-2</v>
      </c>
      <c r="AN116" s="407">
        <f t="shared" si="114"/>
        <v>0.16500000000000001</v>
      </c>
      <c r="AO116" s="407">
        <f t="shared" si="115"/>
        <v>0.5561488374443625</v>
      </c>
      <c r="AP116">
        <f t="shared" si="74"/>
        <v>5.4569999999999999</v>
      </c>
      <c r="AQ116" s="10">
        <f t="shared" si="116"/>
        <v>0.90751121376188482</v>
      </c>
      <c r="AR116" s="63">
        <f t="shared" si="117"/>
        <v>3.3290990426832248</v>
      </c>
      <c r="AS116" s="63">
        <f t="shared" si="118"/>
        <v>2.2853541253535403</v>
      </c>
      <c r="AT116" s="10"/>
      <c r="AU116">
        <f t="shared" si="119"/>
        <v>90.751121376188479</v>
      </c>
    </row>
    <row r="117" spans="7:47" x14ac:dyDescent="0.2">
      <c r="G117">
        <v>108</v>
      </c>
      <c r="H117">
        <f t="shared" si="55"/>
        <v>1.08</v>
      </c>
      <c r="I117" s="406">
        <f t="shared" si="97"/>
        <v>0.34321839999999998</v>
      </c>
      <c r="J117" s="407">
        <f t="shared" si="56"/>
        <v>0.45304828799999997</v>
      </c>
      <c r="K117" s="407">
        <f t="shared" si="77"/>
        <v>1.3065241439999999</v>
      </c>
      <c r="L117" s="407">
        <f t="shared" si="98"/>
        <v>0.85347585600000009</v>
      </c>
      <c r="M117" s="63">
        <f t="shared" si="57"/>
        <v>0</v>
      </c>
      <c r="N117" s="406">
        <f t="shared" si="99"/>
        <v>1.087889882266726</v>
      </c>
      <c r="O117" s="406">
        <f t="shared" si="100"/>
        <v>2.9301082227890258E-2</v>
      </c>
      <c r="P117">
        <f t="shared" si="59"/>
        <v>0.2</v>
      </c>
      <c r="Q117" s="406">
        <f t="shared" si="80"/>
        <v>0.22930108222789028</v>
      </c>
      <c r="R117" s="9">
        <f t="shared" si="101"/>
        <v>0.13078377551634954</v>
      </c>
      <c r="S117" s="9">
        <f t="shared" si="102"/>
        <v>3.420879187662182E-5</v>
      </c>
      <c r="T117" s="9">
        <f t="shared" si="103"/>
        <v>3.420879187662182E-5</v>
      </c>
      <c r="U117" s="406">
        <f t="shared" si="104"/>
        <v>0.63733859538467741</v>
      </c>
      <c r="V117" s="408">
        <f t="shared" si="105"/>
        <v>1.2998415525341234E-3</v>
      </c>
      <c r="W117" s="406">
        <f t="shared" si="106"/>
        <v>1.2998415525341234E-3</v>
      </c>
      <c r="X117" s="406">
        <f t="shared" si="107"/>
        <v>0.63733859538467741</v>
      </c>
      <c r="Y117" s="406">
        <f t="shared" si="108"/>
        <v>8.124009703338271E-3</v>
      </c>
      <c r="Z117" s="406">
        <f t="shared" si="62"/>
        <v>1.6359218602488967E-2</v>
      </c>
      <c r="AA117" s="406">
        <f t="shared" si="63"/>
        <v>4.9687500000000002E-2</v>
      </c>
      <c r="AB117" s="406">
        <f t="shared" si="64"/>
        <v>0</v>
      </c>
      <c r="AC117" s="406">
        <f t="shared" si="109"/>
        <v>7.4279348612626833E-2</v>
      </c>
      <c r="AD117" s="406">
        <f t="shared" si="110"/>
        <v>0.88164840541533185</v>
      </c>
      <c r="AE117" s="406">
        <f t="shared" si="111"/>
        <v>1.5546078215427948E-2</v>
      </c>
      <c r="AF117" s="406">
        <f t="shared" si="67"/>
        <v>4.2120000000000005E-2</v>
      </c>
      <c r="AG117" s="406">
        <f t="shared" si="112"/>
        <v>5.7809872904355158E-2</v>
      </c>
      <c r="AH117" s="406">
        <f t="shared" si="113"/>
        <v>0</v>
      </c>
      <c r="AI117">
        <f t="shared" si="70"/>
        <v>0</v>
      </c>
      <c r="AJ117" s="407">
        <f t="shared" si="71"/>
        <v>2.9956800000000002E-2</v>
      </c>
      <c r="AK117">
        <f t="shared" si="85"/>
        <v>0.03</v>
      </c>
      <c r="AL117" s="407">
        <f t="shared" si="72"/>
        <v>0.13500000000000001</v>
      </c>
      <c r="AM117" s="407">
        <f t="shared" si="86"/>
        <v>9.8855098389982105E-2</v>
      </c>
      <c r="AN117" s="407">
        <f t="shared" si="114"/>
        <v>0.16500000000000001</v>
      </c>
      <c r="AO117" s="407">
        <f t="shared" si="115"/>
        <v>0.55768115408928309</v>
      </c>
      <c r="AP117">
        <f t="shared" si="74"/>
        <v>5.508</v>
      </c>
      <c r="AQ117" s="10">
        <f t="shared" si="116"/>
        <v>0.90805959958622073</v>
      </c>
      <c r="AR117" s="63">
        <f t="shared" si="117"/>
        <v>3.3425706875682075</v>
      </c>
      <c r="AS117" s="63">
        <f t="shared" si="118"/>
        <v>2.3123949161742061</v>
      </c>
      <c r="AT117" s="10"/>
      <c r="AU117">
        <f t="shared" si="119"/>
        <v>90.805959958622068</v>
      </c>
    </row>
    <row r="118" spans="7:47" x14ac:dyDescent="0.2">
      <c r="G118">
        <v>109</v>
      </c>
      <c r="H118">
        <f t="shared" si="55"/>
        <v>1.0900000000000001</v>
      </c>
      <c r="I118" s="406">
        <f t="shared" si="97"/>
        <v>0.34324819999999995</v>
      </c>
      <c r="J118" s="407">
        <f t="shared" si="56"/>
        <v>0.45308762399999997</v>
      </c>
      <c r="K118" s="407">
        <f t="shared" si="77"/>
        <v>1.3165438120000001</v>
      </c>
      <c r="L118" s="407">
        <f t="shared" si="98"/>
        <v>0.86345618800000012</v>
      </c>
      <c r="M118" s="63">
        <f t="shared" si="57"/>
        <v>0</v>
      </c>
      <c r="N118" s="406">
        <f t="shared" si="99"/>
        <v>1.0978193686813102</v>
      </c>
      <c r="O118" s="406">
        <f t="shared" si="100"/>
        <v>2.98396848502047E-2</v>
      </c>
      <c r="P118">
        <f t="shared" si="59"/>
        <v>0.2</v>
      </c>
      <c r="Q118" s="406">
        <f t="shared" si="80"/>
        <v>0.2298396848502047</v>
      </c>
      <c r="R118" s="9">
        <f t="shared" si="101"/>
        <v>0.13079513084144398</v>
      </c>
      <c r="S118" s="9">
        <f t="shared" si="102"/>
        <v>3.4214732503660905E-5</v>
      </c>
      <c r="T118" s="9">
        <f t="shared" si="103"/>
        <v>3.4214732503660905E-5</v>
      </c>
      <c r="U118" s="406">
        <f t="shared" si="104"/>
        <v>0.64318369000829112</v>
      </c>
      <c r="V118" s="408">
        <f t="shared" si="105"/>
        <v>1.323792829096581E-3</v>
      </c>
      <c r="W118" s="406">
        <f t="shared" si="106"/>
        <v>1.323792829096581E-3</v>
      </c>
      <c r="X118" s="406">
        <f t="shared" si="107"/>
        <v>0.64318369000829112</v>
      </c>
      <c r="Y118" s="406">
        <f t="shared" si="108"/>
        <v>8.2737051818536304E-3</v>
      </c>
      <c r="Z118" s="406">
        <f t="shared" si="62"/>
        <v>1.6507879081684683E-2</v>
      </c>
      <c r="AA118" s="406">
        <f t="shared" si="63"/>
        <v>4.9687500000000002E-2</v>
      </c>
      <c r="AB118" s="406">
        <f t="shared" si="64"/>
        <v>0</v>
      </c>
      <c r="AC118" s="406">
        <f t="shared" si="109"/>
        <v>7.4580154020759626E-2</v>
      </c>
      <c r="AD118" s="406">
        <f t="shared" si="110"/>
        <v>0.88967528186364109</v>
      </c>
      <c r="AE118" s="406">
        <f t="shared" si="111"/>
        <v>1.5830442143182983E-2</v>
      </c>
      <c r="AF118" s="406">
        <f t="shared" si="67"/>
        <v>4.2510000000000006E-2</v>
      </c>
      <c r="AG118" s="406">
        <f t="shared" si="112"/>
        <v>5.8488586171891899E-2</v>
      </c>
      <c r="AH118" s="406">
        <f t="shared" si="113"/>
        <v>0</v>
      </c>
      <c r="AI118">
        <f t="shared" si="70"/>
        <v>0</v>
      </c>
      <c r="AJ118" s="407">
        <f t="shared" si="71"/>
        <v>2.9956399999999998E-2</v>
      </c>
      <c r="AK118">
        <f t="shared" si="85"/>
        <v>0.03</v>
      </c>
      <c r="AL118" s="407">
        <f t="shared" si="72"/>
        <v>0.13500000000000001</v>
      </c>
      <c r="AM118" s="407">
        <f t="shared" si="86"/>
        <v>9.8855098389982105E-2</v>
      </c>
      <c r="AN118" s="407">
        <f t="shared" si="114"/>
        <v>0.16500000000000001</v>
      </c>
      <c r="AO118" s="407">
        <f t="shared" si="115"/>
        <v>0.55922283260445649</v>
      </c>
      <c r="AP118">
        <f t="shared" si="74"/>
        <v>5.5590000000000002</v>
      </c>
      <c r="AQ118" s="10">
        <f t="shared" si="116"/>
        <v>0.90859717798699369</v>
      </c>
      <c r="AR118" s="63">
        <f t="shared" si="117"/>
        <v>3.3561069309341831</v>
      </c>
      <c r="AS118" s="63">
        <f t="shared" si="118"/>
        <v>2.3395434468756759</v>
      </c>
      <c r="AT118" s="10"/>
      <c r="AU118">
        <f t="shared" si="119"/>
        <v>90.859717798699364</v>
      </c>
    </row>
    <row r="119" spans="7:47" x14ac:dyDescent="0.2">
      <c r="G119">
        <v>110</v>
      </c>
      <c r="H119">
        <f t="shared" si="55"/>
        <v>1.1000000000000001</v>
      </c>
      <c r="I119" s="406">
        <f t="shared" si="97"/>
        <v>0.34327799999999997</v>
      </c>
      <c r="J119" s="407">
        <f t="shared" si="56"/>
        <v>0.45312695999999997</v>
      </c>
      <c r="K119" s="407">
        <f t="shared" si="77"/>
        <v>1.3265634800000001</v>
      </c>
      <c r="L119" s="407">
        <f t="shared" si="98"/>
        <v>0.87343652000000005</v>
      </c>
      <c r="M119" s="63">
        <f t="shared" si="57"/>
        <v>0</v>
      </c>
      <c r="N119" s="406">
        <f t="shared" si="99"/>
        <v>1.1077501238200054</v>
      </c>
      <c r="O119" s="406">
        <f t="shared" si="100"/>
        <v>3.0383297829388405E-2</v>
      </c>
      <c r="P119">
        <f t="shared" si="59"/>
        <v>0.2</v>
      </c>
      <c r="Q119" s="406">
        <f t="shared" si="80"/>
        <v>0.23038329782938841</v>
      </c>
      <c r="R119" s="9">
        <f t="shared" si="101"/>
        <v>0.13080648616653839</v>
      </c>
      <c r="S119" s="9">
        <f t="shared" si="102"/>
        <v>3.4220673646473599E-5</v>
      </c>
      <c r="T119" s="9">
        <f t="shared" si="103"/>
        <v>3.4220673646473599E-5</v>
      </c>
      <c r="U119" s="406">
        <f t="shared" si="104"/>
        <v>0.64903003181979735</v>
      </c>
      <c r="V119" s="408">
        <f t="shared" si="105"/>
        <v>1.3479679430528229E-3</v>
      </c>
      <c r="W119" s="406">
        <f t="shared" si="106"/>
        <v>1.3479679430528229E-3</v>
      </c>
      <c r="X119" s="406">
        <f t="shared" si="107"/>
        <v>0.64903003181979735</v>
      </c>
      <c r="Y119" s="406">
        <f t="shared" si="108"/>
        <v>8.4247996440801436E-3</v>
      </c>
      <c r="Z119" s="406">
        <f t="shared" si="62"/>
        <v>1.6656539560880396E-2</v>
      </c>
      <c r="AA119" s="406">
        <f t="shared" si="63"/>
        <v>4.9687500000000002E-2</v>
      </c>
      <c r="AB119" s="406">
        <f t="shared" si="64"/>
        <v>0</v>
      </c>
      <c r="AC119" s="406">
        <f t="shared" si="109"/>
        <v>7.488239565741138E-2</v>
      </c>
      <c r="AD119" s="406">
        <f t="shared" si="110"/>
        <v>0.89770282088184961</v>
      </c>
      <c r="AE119" s="406">
        <f t="shared" si="111"/>
        <v>1.6117407092384604E-2</v>
      </c>
      <c r="AF119" s="406">
        <f t="shared" si="67"/>
        <v>4.2900000000000001E-2</v>
      </c>
      <c r="AG119" s="406">
        <f t="shared" si="112"/>
        <v>5.9169993792802598E-2</v>
      </c>
      <c r="AH119" s="406">
        <f t="shared" si="113"/>
        <v>0</v>
      </c>
      <c r="AI119">
        <f t="shared" si="70"/>
        <v>0</v>
      </c>
      <c r="AJ119" s="407">
        <f t="shared" si="71"/>
        <v>2.9956E-2</v>
      </c>
      <c r="AK119">
        <f t="shared" si="85"/>
        <v>0.03</v>
      </c>
      <c r="AL119" s="407">
        <f t="shared" si="72"/>
        <v>0.13500000000000001</v>
      </c>
      <c r="AM119" s="407">
        <f t="shared" si="86"/>
        <v>9.8855098389982105E-2</v>
      </c>
      <c r="AN119" s="407">
        <f t="shared" si="114"/>
        <v>0.16500000000000001</v>
      </c>
      <c r="AO119" s="407">
        <f t="shared" si="115"/>
        <v>0.56077387589630168</v>
      </c>
      <c r="AP119">
        <f t="shared" si="74"/>
        <v>5.61</v>
      </c>
      <c r="AQ119" s="10">
        <f t="shared" si="116"/>
        <v>0.90912422215198263</v>
      </c>
      <c r="AR119" s="63">
        <f t="shared" si="117"/>
        <v>3.3697078045835123</v>
      </c>
      <c r="AS119" s="63">
        <f t="shared" si="118"/>
        <v>2.366799751712104</v>
      </c>
      <c r="AT119" s="10"/>
      <c r="AU119">
        <f t="shared" si="119"/>
        <v>90.912422215198262</v>
      </c>
    </row>
    <row r="120" spans="7:47" x14ac:dyDescent="0.2">
      <c r="G120">
        <v>111</v>
      </c>
      <c r="H120">
        <f t="shared" si="55"/>
        <v>1.1100000000000001</v>
      </c>
      <c r="I120" s="406">
        <f t="shared" si="97"/>
        <v>0.34330779999999994</v>
      </c>
      <c r="J120" s="407">
        <f t="shared" si="56"/>
        <v>0.45316629599999997</v>
      </c>
      <c r="K120" s="407">
        <f t="shared" si="77"/>
        <v>1.3365831480000001</v>
      </c>
      <c r="L120" s="407">
        <f t="shared" si="98"/>
        <v>0.88341685200000009</v>
      </c>
      <c r="M120" s="63">
        <f t="shared" si="57"/>
        <v>0</v>
      </c>
      <c r="N120" s="406">
        <f t="shared" si="99"/>
        <v>1.117682113864461</v>
      </c>
      <c r="O120" s="406">
        <f t="shared" si="100"/>
        <v>3.0931922463703208E-2</v>
      </c>
      <c r="P120">
        <f t="shared" si="59"/>
        <v>0.2</v>
      </c>
      <c r="Q120" s="406">
        <f t="shared" si="80"/>
        <v>0.23093192246370323</v>
      </c>
      <c r="R120" s="9">
        <f t="shared" si="101"/>
        <v>0.13081784149163281</v>
      </c>
      <c r="S120" s="9">
        <f t="shared" si="102"/>
        <v>3.4226615305059929E-5</v>
      </c>
      <c r="T120" s="9">
        <f t="shared" si="103"/>
        <v>3.4226615305059929E-5</v>
      </c>
      <c r="U120" s="406">
        <f t="shared" si="104"/>
        <v>0.65487760106825543</v>
      </c>
      <c r="V120" s="408">
        <f t="shared" si="105"/>
        <v>1.3723669516189222E-3</v>
      </c>
      <c r="W120" s="406">
        <f t="shared" si="106"/>
        <v>1.3723669516189222E-3</v>
      </c>
      <c r="X120" s="406">
        <f t="shared" si="107"/>
        <v>0.65487760106825543</v>
      </c>
      <c r="Y120" s="406">
        <f t="shared" si="108"/>
        <v>8.5772934476182634E-3</v>
      </c>
      <c r="Z120" s="406">
        <f t="shared" si="62"/>
        <v>1.6805200040076108E-2</v>
      </c>
      <c r="AA120" s="406">
        <f t="shared" si="63"/>
        <v>4.9687500000000002E-2</v>
      </c>
      <c r="AB120" s="406">
        <f t="shared" si="64"/>
        <v>0</v>
      </c>
      <c r="AC120" s="406">
        <f t="shared" si="109"/>
        <v>7.5186074231629013E-2</v>
      </c>
      <c r="AD120" s="406">
        <f t="shared" si="110"/>
        <v>0.90573099498229426</v>
      </c>
      <c r="AE120" s="406">
        <f t="shared" si="111"/>
        <v>1.6406972705432336E-2</v>
      </c>
      <c r="AF120" s="406">
        <f t="shared" si="67"/>
        <v>4.3290000000000002E-2</v>
      </c>
      <c r="AG120" s="406">
        <f t="shared" si="112"/>
        <v>5.9854096630187502E-2</v>
      </c>
      <c r="AH120" s="406">
        <f t="shared" si="113"/>
        <v>0</v>
      </c>
      <c r="AI120">
        <f t="shared" si="70"/>
        <v>0</v>
      </c>
      <c r="AJ120" s="407">
        <f t="shared" si="71"/>
        <v>2.9955600000000002E-2</v>
      </c>
      <c r="AK120">
        <f t="shared" si="85"/>
        <v>0.03</v>
      </c>
      <c r="AL120" s="407">
        <f t="shared" si="72"/>
        <v>0.13500000000000001</v>
      </c>
      <c r="AM120" s="407">
        <f t="shared" si="86"/>
        <v>9.8855098389982105E-2</v>
      </c>
      <c r="AN120" s="407">
        <f t="shared" si="114"/>
        <v>0.16500000000000001</v>
      </c>
      <c r="AO120" s="407">
        <f t="shared" si="115"/>
        <v>0.56233428689244369</v>
      </c>
      <c r="AP120">
        <f t="shared" si="74"/>
        <v>5.6610000000000005</v>
      </c>
      <c r="AQ120" s="10">
        <f t="shared" si="116"/>
        <v>0.90964099613340244</v>
      </c>
      <c r="AR120" s="63">
        <f t="shared" si="117"/>
        <v>3.3833733404233057</v>
      </c>
      <c r="AS120" s="63">
        <f t="shared" si="118"/>
        <v>2.3941638652075001</v>
      </c>
      <c r="AT120" s="10"/>
      <c r="AU120">
        <f t="shared" si="119"/>
        <v>90.964099613340238</v>
      </c>
    </row>
    <row r="121" spans="7:47" x14ac:dyDescent="0.2">
      <c r="G121">
        <v>112</v>
      </c>
      <c r="H121">
        <f t="shared" si="55"/>
        <v>1.1200000000000001</v>
      </c>
      <c r="I121" s="406">
        <f t="shared" si="97"/>
        <v>0.34333759999999997</v>
      </c>
      <c r="J121" s="407">
        <f t="shared" si="56"/>
        <v>0.45320563200000002</v>
      </c>
      <c r="K121" s="407">
        <f t="shared" si="77"/>
        <v>1.3466028160000001</v>
      </c>
      <c r="L121" s="407">
        <f t="shared" si="98"/>
        <v>0.89339718400000012</v>
      </c>
      <c r="M121" s="63">
        <f t="shared" si="57"/>
        <v>0</v>
      </c>
      <c r="N121" s="406">
        <f t="shared" si="99"/>
        <v>1.127615306183678</v>
      </c>
      <c r="O121" s="406">
        <f t="shared" si="100"/>
        <v>3.1485560063550931E-2</v>
      </c>
      <c r="P121">
        <f t="shared" si="59"/>
        <v>0.2</v>
      </c>
      <c r="Q121" s="406">
        <f t="shared" si="80"/>
        <v>0.23148556006355095</v>
      </c>
      <c r="R121" s="9">
        <f t="shared" si="101"/>
        <v>0.13082919681672725</v>
      </c>
      <c r="S121" s="9">
        <f t="shared" si="102"/>
        <v>3.4232557479419913E-5</v>
      </c>
      <c r="T121" s="9">
        <f t="shared" si="103"/>
        <v>3.4232557479419913E-5</v>
      </c>
      <c r="U121" s="406">
        <f t="shared" si="104"/>
        <v>0.66072637869501094</v>
      </c>
      <c r="V121" s="408">
        <f t="shared" si="105"/>
        <v>1.3969899120109537E-3</v>
      </c>
      <c r="W121" s="406">
        <f t="shared" si="106"/>
        <v>1.3969899120109537E-3</v>
      </c>
      <c r="X121" s="406">
        <f t="shared" si="107"/>
        <v>0.66072637869501094</v>
      </c>
      <c r="Y121" s="406">
        <f t="shared" si="108"/>
        <v>8.7311869500684598E-3</v>
      </c>
      <c r="Z121" s="406">
        <f t="shared" si="62"/>
        <v>1.6953860519271825E-2</v>
      </c>
      <c r="AA121" s="406">
        <f t="shared" si="63"/>
        <v>4.9687500000000002E-2</v>
      </c>
      <c r="AB121" s="406">
        <f t="shared" si="64"/>
        <v>0</v>
      </c>
      <c r="AC121" s="406">
        <f t="shared" si="109"/>
        <v>7.5491190454790205E-2</v>
      </c>
      <c r="AD121" s="406">
        <f t="shared" si="110"/>
        <v>0.91375977764196159</v>
      </c>
      <c r="AE121" s="406">
        <f t="shared" si="111"/>
        <v>1.6699138624725742E-2</v>
      </c>
      <c r="AF121" s="406">
        <f t="shared" si="67"/>
        <v>4.3680000000000004E-2</v>
      </c>
      <c r="AG121" s="406">
        <f t="shared" si="112"/>
        <v>6.054089555389687E-2</v>
      </c>
      <c r="AH121" s="406">
        <f t="shared" si="113"/>
        <v>0</v>
      </c>
      <c r="AI121">
        <f t="shared" si="70"/>
        <v>0</v>
      </c>
      <c r="AJ121" s="407">
        <f t="shared" si="71"/>
        <v>2.9955200000000001E-2</v>
      </c>
      <c r="AK121">
        <f t="shared" si="85"/>
        <v>0.03</v>
      </c>
      <c r="AL121" s="407">
        <f t="shared" si="72"/>
        <v>0.13500000000000001</v>
      </c>
      <c r="AM121" s="407">
        <f t="shared" si="86"/>
        <v>9.8855098389982105E-2</v>
      </c>
      <c r="AN121" s="407">
        <f t="shared" si="114"/>
        <v>0.16500000000000001</v>
      </c>
      <c r="AO121" s="407">
        <f t="shared" si="115"/>
        <v>0.56390406854172836</v>
      </c>
      <c r="AP121">
        <f t="shared" si="74"/>
        <v>5.7119999999999997</v>
      </c>
      <c r="AQ121" s="10">
        <f t="shared" si="116"/>
        <v>0.91014775522648206</v>
      </c>
      <c r="AR121" s="63">
        <f t="shared" si="117"/>
        <v>3.3971035704655592</v>
      </c>
      <c r="AS121" s="63">
        <f t="shared" si="118"/>
        <v>2.4216358221558747</v>
      </c>
      <c r="AT121" s="10"/>
      <c r="AU121">
        <f t="shared" si="119"/>
        <v>91.014775522648208</v>
      </c>
    </row>
    <row r="122" spans="7:47" x14ac:dyDescent="0.2">
      <c r="G122">
        <v>113</v>
      </c>
      <c r="H122">
        <f t="shared" si="55"/>
        <v>1.1299999999999999</v>
      </c>
      <c r="I122" s="406">
        <f t="shared" si="97"/>
        <v>0.34336739999999993</v>
      </c>
      <c r="J122" s="407">
        <f t="shared" si="56"/>
        <v>0.45324496799999991</v>
      </c>
      <c r="K122" s="407">
        <f t="shared" si="77"/>
        <v>1.3566224839999999</v>
      </c>
      <c r="L122" s="407">
        <f t="shared" si="98"/>
        <v>0.90337751599999994</v>
      </c>
      <c r="M122" s="63">
        <f t="shared" si="57"/>
        <v>0</v>
      </c>
      <c r="N122" s="406">
        <f t="shared" si="99"/>
        <v>1.1375496692825227</v>
      </c>
      <c r="O122" s="406">
        <f t="shared" si="100"/>
        <v>3.2044211951481154E-2</v>
      </c>
      <c r="P122">
        <f t="shared" si="59"/>
        <v>0.2</v>
      </c>
      <c r="Q122" s="406">
        <f t="shared" si="80"/>
        <v>0.23204421195148117</v>
      </c>
      <c r="R122" s="9">
        <f t="shared" si="101"/>
        <v>0.13084055214182164</v>
      </c>
      <c r="S122" s="9">
        <f t="shared" si="102"/>
        <v>3.4238500169553493E-5</v>
      </c>
      <c r="T122" s="9">
        <f t="shared" si="103"/>
        <v>3.4238500169553493E-5</v>
      </c>
      <c r="U122" s="406">
        <f t="shared" si="104"/>
        <v>0.66657634630367701</v>
      </c>
      <c r="V122" s="408">
        <f t="shared" si="105"/>
        <v>1.4218368814449905E-3</v>
      </c>
      <c r="W122" s="406">
        <f t="shared" si="106"/>
        <v>1.4218368814449905E-3</v>
      </c>
      <c r="X122" s="406">
        <f t="shared" si="107"/>
        <v>0.66657634630367701</v>
      </c>
      <c r="Y122" s="406">
        <f t="shared" si="108"/>
        <v>8.8864805090311909E-3</v>
      </c>
      <c r="Z122" s="406">
        <f t="shared" si="62"/>
        <v>1.7102520998467537E-2</v>
      </c>
      <c r="AA122" s="406">
        <f t="shared" si="63"/>
        <v>4.9687500000000002E-2</v>
      </c>
      <c r="AB122" s="406">
        <f t="shared" si="64"/>
        <v>0</v>
      </c>
      <c r="AC122" s="406">
        <f t="shared" si="109"/>
        <v>7.5797745040606462E-2</v>
      </c>
      <c r="AD122" s="406">
        <f t="shared" si="110"/>
        <v>0.92178914326065764</v>
      </c>
      <c r="AE122" s="406">
        <f t="shared" si="111"/>
        <v>1.6993904492664344E-2</v>
      </c>
      <c r="AF122" s="406">
        <f t="shared" si="67"/>
        <v>4.4069999999999998E-2</v>
      </c>
      <c r="AG122" s="406">
        <f t="shared" si="112"/>
        <v>6.1230391440534569E-2</v>
      </c>
      <c r="AH122" s="406">
        <f t="shared" si="113"/>
        <v>0</v>
      </c>
      <c r="AI122">
        <f t="shared" si="70"/>
        <v>0</v>
      </c>
      <c r="AJ122" s="407">
        <f t="shared" si="71"/>
        <v>2.99548E-2</v>
      </c>
      <c r="AK122">
        <f t="shared" si="85"/>
        <v>0.03</v>
      </c>
      <c r="AL122" s="407">
        <f t="shared" si="72"/>
        <v>0.13500000000000001</v>
      </c>
      <c r="AM122" s="407">
        <f t="shared" si="86"/>
        <v>9.8855098389982105E-2</v>
      </c>
      <c r="AN122" s="407">
        <f t="shared" si="114"/>
        <v>0.16500000000000001</v>
      </c>
      <c r="AO122" s="407">
        <f t="shared" si="115"/>
        <v>0.56548322381423677</v>
      </c>
      <c r="AP122">
        <f t="shared" si="74"/>
        <v>5.762999999999999</v>
      </c>
      <c r="AQ122" s="10">
        <f t="shared" si="116"/>
        <v>0.91064474632937165</v>
      </c>
      <c r="AR122" s="63">
        <f t="shared" si="117"/>
        <v>3.4108985268272907</v>
      </c>
      <c r="AS122" s="63">
        <f t="shared" si="118"/>
        <v>2.4492156576213828</v>
      </c>
      <c r="AT122" s="10"/>
      <c r="AU122">
        <f t="shared" si="119"/>
        <v>91.064474632937163</v>
      </c>
    </row>
    <row r="123" spans="7:47" x14ac:dyDescent="0.2">
      <c r="G123">
        <v>114</v>
      </c>
      <c r="H123">
        <f t="shared" si="55"/>
        <v>1.1399999999999999</v>
      </c>
      <c r="I123" s="406">
        <f t="shared" si="97"/>
        <v>0.34339720000000001</v>
      </c>
      <c r="J123" s="407">
        <f t="shared" si="56"/>
        <v>0.45328430400000003</v>
      </c>
      <c r="K123" s="407">
        <f t="shared" si="77"/>
        <v>1.3666421519999998</v>
      </c>
      <c r="L123" s="407">
        <f t="shared" si="98"/>
        <v>0.91335784799999986</v>
      </c>
      <c r="M123" s="63">
        <f t="shared" si="57"/>
        <v>0</v>
      </c>
      <c r="N123" s="406">
        <f t="shared" si="99"/>
        <v>1.1474851727528903</v>
      </c>
      <c r="O123" s="406">
        <f t="shared" si="100"/>
        <v>3.2607879462199167E-2</v>
      </c>
      <c r="P123">
        <f t="shared" si="59"/>
        <v>0.2</v>
      </c>
      <c r="Q123" s="406">
        <f t="shared" si="80"/>
        <v>0.23260787946219919</v>
      </c>
      <c r="R123" s="9">
        <f t="shared" si="101"/>
        <v>0.13085190746691611</v>
      </c>
      <c r="S123" s="9">
        <f t="shared" si="102"/>
        <v>3.4244443375460755E-5</v>
      </c>
      <c r="T123" s="9">
        <f t="shared" si="103"/>
        <v>3.4244443375460755E-5</v>
      </c>
      <c r="U123" s="406">
        <f t="shared" si="104"/>
        <v>0.67242748613166159</v>
      </c>
      <c r="V123" s="408">
        <f t="shared" si="105"/>
        <v>1.4469079171371072E-3</v>
      </c>
      <c r="W123" s="406">
        <f t="shared" si="106"/>
        <v>1.4469079171371072E-3</v>
      </c>
      <c r="X123" s="406">
        <f t="shared" si="107"/>
        <v>0.67242748613166159</v>
      </c>
      <c r="Y123" s="406">
        <f t="shared" si="108"/>
        <v>9.0431744821069197E-3</v>
      </c>
      <c r="Z123" s="406">
        <f t="shared" si="62"/>
        <v>1.7251181477663247E-2</v>
      </c>
      <c r="AA123" s="406">
        <f t="shared" si="63"/>
        <v>4.9687500000000002E-2</v>
      </c>
      <c r="AB123" s="406">
        <f t="shared" si="64"/>
        <v>0</v>
      </c>
      <c r="AC123" s="406">
        <f t="shared" si="109"/>
        <v>7.6105738705126186E-2</v>
      </c>
      <c r="AD123" s="406">
        <f t="shared" si="110"/>
        <v>0.92981906712133222</v>
      </c>
      <c r="AE123" s="406">
        <f t="shared" si="111"/>
        <v>1.7291269951647689E-2</v>
      </c>
      <c r="AF123" s="406">
        <f t="shared" si="67"/>
        <v>4.446E-2</v>
      </c>
      <c r="AG123" s="406">
        <f t="shared" si="112"/>
        <v>6.1922585173461803E-2</v>
      </c>
      <c r="AH123" s="406">
        <f t="shared" si="113"/>
        <v>0</v>
      </c>
      <c r="AI123">
        <f t="shared" si="70"/>
        <v>0</v>
      </c>
      <c r="AJ123" s="407">
        <f t="shared" si="71"/>
        <v>2.9954399999999999E-2</v>
      </c>
      <c r="AK123">
        <f t="shared" si="85"/>
        <v>0.03</v>
      </c>
      <c r="AL123" s="407">
        <f t="shared" si="72"/>
        <v>0.13500000000000001</v>
      </c>
      <c r="AM123" s="407">
        <f t="shared" si="86"/>
        <v>9.8855098389982105E-2</v>
      </c>
      <c r="AN123" s="407">
        <f t="shared" si="114"/>
        <v>0.16500000000000001</v>
      </c>
      <c r="AO123" s="407">
        <f t="shared" si="115"/>
        <v>0.56707175570129975</v>
      </c>
      <c r="AP123">
        <f t="shared" si="74"/>
        <v>5.8139999999999992</v>
      </c>
      <c r="AQ123" s="10">
        <f t="shared" si="116"/>
        <v>0.91113220828544383</v>
      </c>
      <c r="AR123" s="63">
        <f t="shared" si="117"/>
        <v>3.4247582417306783</v>
      </c>
      <c r="AS123" s="63">
        <f t="shared" si="118"/>
        <v>2.4769034069384723</v>
      </c>
      <c r="AT123" s="10"/>
      <c r="AU123">
        <f t="shared" si="119"/>
        <v>91.113220828544385</v>
      </c>
    </row>
    <row r="124" spans="7:47" x14ac:dyDescent="0.2">
      <c r="G124">
        <v>115</v>
      </c>
      <c r="H124">
        <f t="shared" si="55"/>
        <v>1.1499999999999999</v>
      </c>
      <c r="I124" s="406">
        <f t="shared" si="97"/>
        <v>0.34342699999999998</v>
      </c>
      <c r="J124" s="407">
        <f t="shared" si="56"/>
        <v>0.45332363999999997</v>
      </c>
      <c r="K124" s="407">
        <f t="shared" si="77"/>
        <v>1.3766618199999998</v>
      </c>
      <c r="L124" s="407">
        <f t="shared" si="98"/>
        <v>0.9233381799999999</v>
      </c>
      <c r="M124" s="63">
        <f t="shared" si="57"/>
        <v>0</v>
      </c>
      <c r="N124" s="406">
        <f t="shared" si="99"/>
        <v>1.1574217872273576</v>
      </c>
      <c r="O124" s="406">
        <f t="shared" si="100"/>
        <v>3.3176563942573963E-2</v>
      </c>
      <c r="P124">
        <f t="shared" si="59"/>
        <v>0.2</v>
      </c>
      <c r="Q124" s="406">
        <f t="shared" si="80"/>
        <v>0.23317656394257397</v>
      </c>
      <c r="R124" s="9">
        <f t="shared" si="101"/>
        <v>0.13086326279201049</v>
      </c>
      <c r="S124" s="9">
        <f t="shared" si="102"/>
        <v>3.4250387097141592E-5</v>
      </c>
      <c r="T124" s="9">
        <f t="shared" si="103"/>
        <v>3.4250387097141592E-5</v>
      </c>
      <c r="U124" s="406">
        <f t="shared" si="104"/>
        <v>0.67827978102314457</v>
      </c>
      <c r="V124" s="408">
        <f t="shared" si="105"/>
        <v>1.472203076303376E-3</v>
      </c>
      <c r="W124" s="406">
        <f t="shared" si="106"/>
        <v>1.472203076303376E-3</v>
      </c>
      <c r="X124" s="406">
        <f t="shared" si="107"/>
        <v>0.67827978102314457</v>
      </c>
      <c r="Y124" s="406">
        <f t="shared" si="108"/>
        <v>9.2012692268960989E-3</v>
      </c>
      <c r="Z124" s="406">
        <f t="shared" si="62"/>
        <v>1.7399841956858959E-2</v>
      </c>
      <c r="AA124" s="406">
        <f t="shared" si="63"/>
        <v>4.9687500000000002E-2</v>
      </c>
      <c r="AB124" s="406">
        <f t="shared" si="64"/>
        <v>0</v>
      </c>
      <c r="AC124" s="406">
        <f t="shared" si="109"/>
        <v>7.6415172166737697E-2</v>
      </c>
      <c r="AD124" s="406">
        <f t="shared" si="110"/>
        <v>0.93784952535242339</v>
      </c>
      <c r="AE124" s="406">
        <f t="shared" si="111"/>
        <v>1.7591234644075318E-2</v>
      </c>
      <c r="AF124" s="406">
        <f t="shared" si="67"/>
        <v>4.4849999999999994E-2</v>
      </c>
      <c r="AG124" s="406">
        <f t="shared" si="112"/>
        <v>6.2617477642800859E-2</v>
      </c>
      <c r="AH124" s="406">
        <f t="shared" si="113"/>
        <v>0</v>
      </c>
      <c r="AI124">
        <f t="shared" si="70"/>
        <v>0</v>
      </c>
      <c r="AJ124" s="407">
        <f t="shared" si="71"/>
        <v>2.9954000000000001E-2</v>
      </c>
      <c r="AK124">
        <f t="shared" si="85"/>
        <v>0.03</v>
      </c>
      <c r="AL124" s="407">
        <f t="shared" si="72"/>
        <v>0.13500000000000001</v>
      </c>
      <c r="AM124" s="407">
        <f t="shared" si="86"/>
        <v>9.8855098389982105E-2</v>
      </c>
      <c r="AN124" s="407">
        <f t="shared" si="114"/>
        <v>0.16500000000000001</v>
      </c>
      <c r="AO124" s="407">
        <f t="shared" si="115"/>
        <v>0.56866966721551304</v>
      </c>
      <c r="AP124">
        <f t="shared" si="74"/>
        <v>5.8649999999999993</v>
      </c>
      <c r="AQ124" s="10">
        <f t="shared" si="116"/>
        <v>0.91161037220898644</v>
      </c>
      <c r="AR124" s="63">
        <f t="shared" si="117"/>
        <v>3.4386827475031962</v>
      </c>
      <c r="AS124" s="63">
        <f t="shared" si="118"/>
        <v>2.5046991057120342</v>
      </c>
      <c r="AT124" s="10"/>
      <c r="AU124">
        <f t="shared" si="119"/>
        <v>91.161037220898649</v>
      </c>
    </row>
    <row r="125" spans="7:47" x14ac:dyDescent="0.2">
      <c r="G125">
        <v>116</v>
      </c>
      <c r="H125">
        <f t="shared" si="55"/>
        <v>1.1599999999999999</v>
      </c>
      <c r="I125" s="406">
        <f t="shared" si="97"/>
        <v>0.34345680000000001</v>
      </c>
      <c r="J125" s="407">
        <f t="shared" si="56"/>
        <v>0.45336297600000003</v>
      </c>
      <c r="K125" s="407">
        <f t="shared" si="77"/>
        <v>1.386681488</v>
      </c>
      <c r="L125" s="407">
        <f t="shared" si="98"/>
        <v>0.93331851199999993</v>
      </c>
      <c r="M125" s="63">
        <f t="shared" si="57"/>
        <v>0</v>
      </c>
      <c r="N125" s="406">
        <f t="shared" si="99"/>
        <v>1.1673594843351802</v>
      </c>
      <c r="O125" s="406">
        <f t="shared" si="100"/>
        <v>3.3750266751646329E-2</v>
      </c>
      <c r="P125">
        <f t="shared" si="59"/>
        <v>0.2</v>
      </c>
      <c r="Q125" s="406">
        <f t="shared" si="80"/>
        <v>0.23375026675164634</v>
      </c>
      <c r="R125" s="9">
        <f t="shared" si="101"/>
        <v>0.13087461811710493</v>
      </c>
      <c r="S125" s="9">
        <f t="shared" si="102"/>
        <v>3.4256331334596104E-5</v>
      </c>
      <c r="T125" s="9">
        <f t="shared" si="103"/>
        <v>3.4256331334596104E-5</v>
      </c>
      <c r="U125" s="406">
        <f t="shared" si="104"/>
        <v>0.68413321440342301</v>
      </c>
      <c r="V125" s="408">
        <f t="shared" si="105"/>
        <v>1.4977224161598719E-3</v>
      </c>
      <c r="W125" s="406">
        <f t="shared" si="106"/>
        <v>1.4977224161598719E-3</v>
      </c>
      <c r="X125" s="406">
        <f t="shared" si="107"/>
        <v>0.68413321440342301</v>
      </c>
      <c r="Y125" s="406">
        <f t="shared" si="108"/>
        <v>9.3607651009991986E-3</v>
      </c>
      <c r="Z125" s="406">
        <f t="shared" si="62"/>
        <v>1.7548502436054676E-2</v>
      </c>
      <c r="AA125" s="406">
        <f t="shared" si="63"/>
        <v>4.9687500000000002E-2</v>
      </c>
      <c r="AB125" s="406">
        <f t="shared" si="64"/>
        <v>0</v>
      </c>
      <c r="AC125" s="406">
        <f t="shared" si="109"/>
        <v>7.6726046146172386E-2</v>
      </c>
      <c r="AD125" s="406">
        <f t="shared" si="110"/>
        <v>0.94588049489210724</v>
      </c>
      <c r="AE125" s="406">
        <f t="shared" si="111"/>
        <v>1.7893798212346754E-2</v>
      </c>
      <c r="AF125" s="406">
        <f t="shared" si="67"/>
        <v>4.5239999999999995E-2</v>
      </c>
      <c r="AG125" s="406">
        <f t="shared" si="112"/>
        <v>6.3315069745438837E-2</v>
      </c>
      <c r="AH125" s="406">
        <f t="shared" si="113"/>
        <v>0</v>
      </c>
      <c r="AI125">
        <f t="shared" si="70"/>
        <v>0</v>
      </c>
      <c r="AJ125" s="407">
        <f t="shared" si="71"/>
        <v>2.9953600000000004E-2</v>
      </c>
      <c r="AK125">
        <f t="shared" si="85"/>
        <v>0.03</v>
      </c>
      <c r="AL125" s="407">
        <f t="shared" si="72"/>
        <v>0.13500000000000001</v>
      </c>
      <c r="AM125" s="407">
        <f t="shared" si="86"/>
        <v>9.8855098389982105E-2</v>
      </c>
      <c r="AN125" s="407">
        <f t="shared" si="114"/>
        <v>0.16500000000000001</v>
      </c>
      <c r="AO125" s="407">
        <f t="shared" si="115"/>
        <v>0.57027696139075201</v>
      </c>
      <c r="AP125">
        <f t="shared" si="74"/>
        <v>5.9159999999999995</v>
      </c>
      <c r="AQ125" s="10">
        <f t="shared" si="116"/>
        <v>0.91207946179521815</v>
      </c>
      <c r="AR125" s="63">
        <f t="shared" si="117"/>
        <v>3.4526720765777572</v>
      </c>
      <c r="AS125" s="63">
        <f t="shared" si="118"/>
        <v>2.5326027898175534</v>
      </c>
      <c r="AT125" s="10"/>
      <c r="AU125">
        <f t="shared" si="119"/>
        <v>91.207946179521812</v>
      </c>
    </row>
    <row r="126" spans="7:47" x14ac:dyDescent="0.2">
      <c r="G126">
        <v>117</v>
      </c>
      <c r="H126">
        <f t="shared" si="55"/>
        <v>1.17</v>
      </c>
      <c r="I126" s="406">
        <f t="shared" si="97"/>
        <v>0.34348659999999998</v>
      </c>
      <c r="J126" s="407">
        <f t="shared" si="56"/>
        <v>0.45340231199999997</v>
      </c>
      <c r="K126" s="407">
        <f t="shared" si="77"/>
        <v>1.396701156</v>
      </c>
      <c r="L126" s="407">
        <f t="shared" si="98"/>
        <v>0.94329884399999997</v>
      </c>
      <c r="M126" s="63">
        <f t="shared" si="57"/>
        <v>0</v>
      </c>
      <c r="N126" s="406">
        <f t="shared" si="99"/>
        <v>1.1772982366604954</v>
      </c>
      <c r="O126" s="406">
        <f t="shared" si="100"/>
        <v>3.4328989260636988E-2</v>
      </c>
      <c r="P126">
        <f t="shared" si="59"/>
        <v>0.2</v>
      </c>
      <c r="Q126" s="406">
        <f t="shared" si="80"/>
        <v>0.234328989260637</v>
      </c>
      <c r="R126" s="9">
        <f t="shared" si="101"/>
        <v>0.13088597344219935</v>
      </c>
      <c r="S126" s="9">
        <f t="shared" si="102"/>
        <v>3.4262276087824232E-5</v>
      </c>
      <c r="T126" s="9">
        <f t="shared" si="103"/>
        <v>3.4262276087824232E-5</v>
      </c>
      <c r="U126" s="406">
        <f t="shared" si="104"/>
        <v>0.6899877702545415</v>
      </c>
      <c r="V126" s="408">
        <f t="shared" si="105"/>
        <v>1.5234659939226687E-3</v>
      </c>
      <c r="W126" s="406">
        <f t="shared" si="106"/>
        <v>1.5234659939226687E-3</v>
      </c>
      <c r="X126" s="406">
        <f t="shared" si="107"/>
        <v>0.6899877702545415</v>
      </c>
      <c r="Y126" s="406">
        <f t="shared" si="108"/>
        <v>9.5216624620166786E-3</v>
      </c>
      <c r="Z126" s="406">
        <f t="shared" si="62"/>
        <v>1.7697162915250388E-2</v>
      </c>
      <c r="AA126" s="406">
        <f t="shared" si="63"/>
        <v>4.9687500000000002E-2</v>
      </c>
      <c r="AB126" s="406">
        <f t="shared" si="64"/>
        <v>0</v>
      </c>
      <c r="AC126" s="406">
        <f t="shared" si="109"/>
        <v>7.7038361366507643E-2</v>
      </c>
      <c r="AD126" s="406">
        <f t="shared" si="110"/>
        <v>0.95391195345434154</v>
      </c>
      <c r="AE126" s="406">
        <f t="shared" si="111"/>
        <v>1.8198960298861557E-2</v>
      </c>
      <c r="AF126" s="406">
        <f t="shared" si="67"/>
        <v>4.5629999999999997E-2</v>
      </c>
      <c r="AG126" s="406">
        <f t="shared" si="112"/>
        <v>6.4015362385031541E-2</v>
      </c>
      <c r="AH126" s="406">
        <f t="shared" si="113"/>
        <v>0</v>
      </c>
      <c r="AI126">
        <f t="shared" si="70"/>
        <v>0</v>
      </c>
      <c r="AJ126" s="407">
        <f t="shared" si="71"/>
        <v>2.9953199999999999E-2</v>
      </c>
      <c r="AK126">
        <f t="shared" si="85"/>
        <v>0.03</v>
      </c>
      <c r="AL126" s="407">
        <f t="shared" si="72"/>
        <v>0.13500000000000001</v>
      </c>
      <c r="AM126" s="407">
        <f t="shared" si="86"/>
        <v>9.8855098389982105E-2</v>
      </c>
      <c r="AN126" s="407">
        <f t="shared" si="114"/>
        <v>0.16500000000000001</v>
      </c>
      <c r="AO126" s="407">
        <f t="shared" si="115"/>
        <v>0.57189364128218667</v>
      </c>
      <c r="AP126">
        <f t="shared" si="74"/>
        <v>5.9669999999999996</v>
      </c>
      <c r="AQ126" s="10">
        <f t="shared" si="116"/>
        <v>0.91253969361550191</v>
      </c>
      <c r="AR126" s="63">
        <f t="shared" si="117"/>
        <v>3.4667262614928438</v>
      </c>
      <c r="AS126" s="63">
        <f t="shared" si="118"/>
        <v>2.5606144954012615</v>
      </c>
      <c r="AT126" s="10"/>
      <c r="AU126">
        <f t="shared" si="119"/>
        <v>91.25396936155019</v>
      </c>
    </row>
    <row r="127" spans="7:47" x14ac:dyDescent="0.2">
      <c r="G127">
        <v>118</v>
      </c>
      <c r="H127">
        <f t="shared" si="55"/>
        <v>1.18</v>
      </c>
      <c r="I127" s="406">
        <f t="shared" si="97"/>
        <v>0.3435164</v>
      </c>
      <c r="J127" s="407">
        <f t="shared" si="56"/>
        <v>0.45344164800000003</v>
      </c>
      <c r="K127" s="407">
        <f t="shared" si="77"/>
        <v>1.406720824</v>
      </c>
      <c r="L127" s="407">
        <f t="shared" si="98"/>
        <v>0.95327917599999989</v>
      </c>
      <c r="M127" s="63">
        <f t="shared" si="57"/>
        <v>0</v>
      </c>
      <c r="N127" s="406">
        <f t="shared" si="99"/>
        <v>1.1872380177026058</v>
      </c>
      <c r="O127" s="406">
        <f t="shared" si="100"/>
        <v>3.4912732852954806E-2</v>
      </c>
      <c r="P127">
        <f t="shared" si="59"/>
        <v>0.2</v>
      </c>
      <c r="Q127" s="406">
        <f t="shared" si="80"/>
        <v>0.23491273285295483</v>
      </c>
      <c r="R127" s="9">
        <f t="shared" si="101"/>
        <v>0.13089732876729379</v>
      </c>
      <c r="S127" s="9">
        <f t="shared" si="102"/>
        <v>3.4268221356826001E-5</v>
      </c>
      <c r="T127" s="9">
        <f t="shared" si="103"/>
        <v>3.4268221356826001E-5</v>
      </c>
      <c r="U127" s="406">
        <f t="shared" si="104"/>
        <v>0.69584343309213592</v>
      </c>
      <c r="V127" s="408">
        <f t="shared" si="105"/>
        <v>1.5494338668078395E-3</v>
      </c>
      <c r="W127" s="406">
        <f t="shared" si="106"/>
        <v>1.5494338668078395E-3</v>
      </c>
      <c r="X127" s="406">
        <f t="shared" si="107"/>
        <v>0.69584343309213592</v>
      </c>
      <c r="Y127" s="406">
        <f t="shared" si="108"/>
        <v>9.6839616675489966E-3</v>
      </c>
      <c r="Z127" s="406">
        <f t="shared" si="62"/>
        <v>1.7845823394446101E-2</v>
      </c>
      <c r="AA127" s="406">
        <f t="shared" si="63"/>
        <v>4.9687500000000002E-2</v>
      </c>
      <c r="AB127" s="406">
        <f t="shared" si="64"/>
        <v>0</v>
      </c>
      <c r="AC127" s="406">
        <f t="shared" si="109"/>
        <v>7.7352118553170174E-2</v>
      </c>
      <c r="AD127" s="406">
        <f t="shared" si="110"/>
        <v>0.96194387949659688</v>
      </c>
      <c r="AE127" s="406">
        <f t="shared" si="111"/>
        <v>1.8506720546019265E-2</v>
      </c>
      <c r="AF127" s="406">
        <f t="shared" si="67"/>
        <v>4.6019999999999998E-2</v>
      </c>
      <c r="AG127" s="406">
        <f t="shared" si="112"/>
        <v>6.4718356472007285E-2</v>
      </c>
      <c r="AH127" s="406">
        <f t="shared" si="113"/>
        <v>0</v>
      </c>
      <c r="AI127">
        <f t="shared" si="70"/>
        <v>0</v>
      </c>
      <c r="AJ127" s="407">
        <f t="shared" si="71"/>
        <v>2.9952800000000002E-2</v>
      </c>
      <c r="AK127">
        <f t="shared" si="85"/>
        <v>0.03</v>
      </c>
      <c r="AL127" s="407">
        <f t="shared" si="72"/>
        <v>0.13500000000000001</v>
      </c>
      <c r="AM127" s="407">
        <f t="shared" si="86"/>
        <v>9.8855098389982105E-2</v>
      </c>
      <c r="AN127" s="407">
        <f t="shared" si="114"/>
        <v>0.16500000000000001</v>
      </c>
      <c r="AO127" s="407">
        <f t="shared" si="115"/>
        <v>0.57351970996629698</v>
      </c>
      <c r="AP127">
        <f t="shared" si="74"/>
        <v>6.0179999999999989</v>
      </c>
      <c r="AQ127" s="10">
        <f t="shared" si="116"/>
        <v>0.91299127739857289</v>
      </c>
      <c r="AR127" s="63">
        <f t="shared" si="117"/>
        <v>3.480845334892658</v>
      </c>
      <c r="AS127" s="63">
        <f t="shared" si="118"/>
        <v>2.5887342588802915</v>
      </c>
      <c r="AT127" s="10"/>
      <c r="AU127">
        <f t="shared" si="119"/>
        <v>91.299127739857283</v>
      </c>
    </row>
    <row r="128" spans="7:47" x14ac:dyDescent="0.2">
      <c r="G128">
        <v>119</v>
      </c>
      <c r="H128">
        <f t="shared" si="55"/>
        <v>1.19</v>
      </c>
      <c r="I128" s="406">
        <f t="shared" si="97"/>
        <v>0.34354619999999991</v>
      </c>
      <c r="J128" s="407">
        <f t="shared" si="56"/>
        <v>0.45348098399999986</v>
      </c>
      <c r="K128" s="407">
        <f t="shared" si="77"/>
        <v>1.416740492</v>
      </c>
      <c r="L128" s="407">
        <f t="shared" si="98"/>
        <v>0.96325950800000004</v>
      </c>
      <c r="M128" s="63">
        <f t="shared" si="57"/>
        <v>0</v>
      </c>
      <c r="N128" s="406">
        <f t="shared" si="99"/>
        <v>1.1971788018382219</v>
      </c>
      <c r="O128" s="406">
        <f t="shared" si="100"/>
        <v>3.550149892420508E-2</v>
      </c>
      <c r="P128">
        <f t="shared" si="59"/>
        <v>0.2</v>
      </c>
      <c r="Q128" s="406">
        <f t="shared" si="80"/>
        <v>0.23550149892420508</v>
      </c>
      <c r="R128" s="9">
        <f t="shared" si="101"/>
        <v>0.13090868409238815</v>
      </c>
      <c r="S128" s="9">
        <f t="shared" si="102"/>
        <v>3.4274167141601358E-5</v>
      </c>
      <c r="T128" s="9">
        <f t="shared" si="103"/>
        <v>3.4274167141601358E-5</v>
      </c>
      <c r="U128" s="406">
        <f t="shared" si="104"/>
        <v>0.70170018794341993</v>
      </c>
      <c r="V128" s="408">
        <f t="shared" si="105"/>
        <v>1.5756260920314587E-3</v>
      </c>
      <c r="W128" s="406">
        <f t="shared" si="106"/>
        <v>1.5756260920314587E-3</v>
      </c>
      <c r="X128" s="406">
        <f t="shared" si="107"/>
        <v>0.70170018794341993</v>
      </c>
      <c r="Y128" s="406">
        <f t="shared" si="108"/>
        <v>9.8476630751966176E-3</v>
      </c>
      <c r="Z128" s="406">
        <f t="shared" si="62"/>
        <v>1.7994483873641821E-2</v>
      </c>
      <c r="AA128" s="406">
        <f t="shared" si="63"/>
        <v>4.9687500000000002E-2</v>
      </c>
      <c r="AB128" s="406">
        <f t="shared" si="64"/>
        <v>0</v>
      </c>
      <c r="AC128" s="406">
        <f t="shared" si="109"/>
        <v>7.7667318433938898E-2</v>
      </c>
      <c r="AD128" s="406">
        <f t="shared" si="110"/>
        <v>0.96997625218918104</v>
      </c>
      <c r="AE128" s="406">
        <f t="shared" si="111"/>
        <v>1.8817078596219394E-2</v>
      </c>
      <c r="AF128" s="406">
        <f t="shared" si="67"/>
        <v>4.641E-2</v>
      </c>
      <c r="AG128" s="406">
        <f t="shared" si="112"/>
        <v>6.5424052923570772E-2</v>
      </c>
      <c r="AH128" s="406">
        <f t="shared" si="113"/>
        <v>0</v>
      </c>
      <c r="AI128">
        <f t="shared" si="70"/>
        <v>0</v>
      </c>
      <c r="AJ128" s="407">
        <f t="shared" si="71"/>
        <v>2.9952400000000001E-2</v>
      </c>
      <c r="AK128">
        <f t="shared" si="85"/>
        <v>0.03</v>
      </c>
      <c r="AL128" s="407">
        <f t="shared" si="72"/>
        <v>0.13500000000000001</v>
      </c>
      <c r="AM128" s="407">
        <f t="shared" si="86"/>
        <v>9.8855098389982105E-2</v>
      </c>
      <c r="AN128" s="407">
        <f t="shared" si="114"/>
        <v>0.16500000000000001</v>
      </c>
      <c r="AO128" s="407">
        <f t="shared" si="115"/>
        <v>0.57515517054088783</v>
      </c>
      <c r="AP128">
        <f t="shared" si="74"/>
        <v>6.0689999999999991</v>
      </c>
      <c r="AQ128" s="10">
        <f t="shared" si="116"/>
        <v>0.91343441629854871</v>
      </c>
      <c r="AR128" s="63">
        <f t="shared" si="117"/>
        <v>3.4950293295272505</v>
      </c>
      <c r="AS128" s="63">
        <f t="shared" si="118"/>
        <v>2.616962116942831</v>
      </c>
      <c r="AT128" s="10"/>
      <c r="AU128">
        <f t="shared" si="119"/>
        <v>91.343441629854865</v>
      </c>
    </row>
    <row r="129" spans="7:47" x14ac:dyDescent="0.2">
      <c r="G129">
        <v>120</v>
      </c>
      <c r="H129">
        <f t="shared" si="55"/>
        <v>1.2</v>
      </c>
      <c r="I129" s="406">
        <f t="shared" si="97"/>
        <v>0.34357599999999994</v>
      </c>
      <c r="J129" s="407">
        <f t="shared" si="56"/>
        <v>0.45352031999999992</v>
      </c>
      <c r="K129" s="407">
        <f t="shared" si="77"/>
        <v>1.4267601599999999</v>
      </c>
      <c r="L129" s="407">
        <f t="shared" si="98"/>
        <v>0.97323983999999997</v>
      </c>
      <c r="M129" s="63">
        <f t="shared" si="57"/>
        <v>0</v>
      </c>
      <c r="N129" s="406">
        <f t="shared" si="99"/>
        <v>1.2071205642855543</v>
      </c>
      <c r="O129" s="406">
        <f t="shared" si="100"/>
        <v>3.6095288882197943E-2</v>
      </c>
      <c r="P129">
        <f t="shared" si="59"/>
        <v>0.2</v>
      </c>
      <c r="Q129" s="406">
        <f t="shared" si="80"/>
        <v>0.23609528888219794</v>
      </c>
      <c r="R129" s="9">
        <f t="shared" si="101"/>
        <v>0.13092003941748259</v>
      </c>
      <c r="S129" s="9">
        <f t="shared" si="102"/>
        <v>3.4280113442150392E-5</v>
      </c>
      <c r="T129" s="9">
        <f t="shared" si="103"/>
        <v>3.4280113442150392E-5</v>
      </c>
      <c r="U129" s="406">
        <f t="shared" si="104"/>
        <v>0.70755802032624848</v>
      </c>
      <c r="V129" s="408">
        <f t="shared" si="105"/>
        <v>1.6020427268095998E-3</v>
      </c>
      <c r="W129" s="406">
        <f t="shared" si="106"/>
        <v>1.6020427268095998E-3</v>
      </c>
      <c r="X129" s="406">
        <f t="shared" si="107"/>
        <v>0.70755802032624848</v>
      </c>
      <c r="Y129" s="406">
        <f t="shared" si="108"/>
        <v>1.0012767042559998E-2</v>
      </c>
      <c r="Z129" s="406">
        <f t="shared" si="62"/>
        <v>1.814314435283753E-2</v>
      </c>
      <c r="AA129" s="406">
        <f t="shared" si="63"/>
        <v>4.9687500000000002E-2</v>
      </c>
      <c r="AB129" s="406">
        <f t="shared" si="64"/>
        <v>0</v>
      </c>
      <c r="AC129" s="406">
        <f t="shared" si="109"/>
        <v>7.7983961738948171E-2</v>
      </c>
      <c r="AD129" s="406">
        <f t="shared" si="110"/>
        <v>0.9780090513860672</v>
      </c>
      <c r="AE129" s="406">
        <f t="shared" si="111"/>
        <v>1.9130034091861502E-2</v>
      </c>
      <c r="AF129" s="406">
        <f t="shared" si="67"/>
        <v>4.6800000000000001E-2</v>
      </c>
      <c r="AG129" s="406">
        <f t="shared" si="112"/>
        <v>6.6132452663707125E-2</v>
      </c>
      <c r="AH129" s="406">
        <f t="shared" si="113"/>
        <v>0</v>
      </c>
      <c r="AI129">
        <f t="shared" si="70"/>
        <v>0</v>
      </c>
      <c r="AJ129" s="407">
        <f t="shared" si="71"/>
        <v>2.9952000000000003E-2</v>
      </c>
      <c r="AK129">
        <f t="shared" si="85"/>
        <v>0.03</v>
      </c>
      <c r="AL129" s="407">
        <f t="shared" si="72"/>
        <v>0.13500000000000001</v>
      </c>
      <c r="AM129" s="407">
        <f t="shared" si="86"/>
        <v>9.8855098389982105E-2</v>
      </c>
      <c r="AN129" s="407">
        <f t="shared" si="114"/>
        <v>0.16500000000000001</v>
      </c>
      <c r="AO129" s="407">
        <f t="shared" si="115"/>
        <v>0.57680002612510506</v>
      </c>
      <c r="AP129">
        <f t="shared" si="74"/>
        <v>6.1199999999999992</v>
      </c>
      <c r="AQ129" s="10">
        <f t="shared" si="116"/>
        <v>0.91386930715044024</v>
      </c>
      <c r="AR129" s="63">
        <f t="shared" si="117"/>
        <v>3.5092782782526677</v>
      </c>
      <c r="AS129" s="63">
        <f t="shared" si="118"/>
        <v>2.6452981065482852</v>
      </c>
      <c r="AT129" s="10"/>
      <c r="AU129">
        <f t="shared" si="119"/>
        <v>91.386930715044031</v>
      </c>
    </row>
    <row r="130" spans="7:47" x14ac:dyDescent="0.2">
      <c r="G130">
        <v>121</v>
      </c>
      <c r="H130">
        <f t="shared" si="55"/>
        <v>1.21</v>
      </c>
      <c r="I130" s="406">
        <f t="shared" si="97"/>
        <v>0.34360580000000002</v>
      </c>
      <c r="J130" s="407">
        <f t="shared" si="56"/>
        <v>0.45355965600000003</v>
      </c>
      <c r="K130" s="407">
        <f t="shared" si="77"/>
        <v>1.4367798279999999</v>
      </c>
      <c r="L130" s="407">
        <f t="shared" si="98"/>
        <v>0.983220172</v>
      </c>
      <c r="M130" s="63">
        <f t="shared" si="57"/>
        <v>0</v>
      </c>
      <c r="N130" s="406">
        <f t="shared" si="99"/>
        <v>1.2170632810701489</v>
      </c>
      <c r="O130" s="406">
        <f t="shared" si="100"/>
        <v>3.669410414695682E-2</v>
      </c>
      <c r="P130">
        <f t="shared" si="59"/>
        <v>0.2</v>
      </c>
      <c r="Q130" s="406">
        <f t="shared" si="80"/>
        <v>0.23669410414695682</v>
      </c>
      <c r="R130" s="9">
        <f t="shared" si="101"/>
        <v>0.13093139474257703</v>
      </c>
      <c r="S130" s="9">
        <f t="shared" si="102"/>
        <v>3.4286060258473053E-5</v>
      </c>
      <c r="T130" s="9">
        <f t="shared" si="103"/>
        <v>3.4286060258473053E-5</v>
      </c>
      <c r="U130" s="406">
        <f t="shared" si="104"/>
        <v>0.71341691622919934</v>
      </c>
      <c r="V130" s="408">
        <f t="shared" si="105"/>
        <v>1.6286838283583376E-3</v>
      </c>
      <c r="W130" s="406">
        <f t="shared" si="106"/>
        <v>1.6286838283583376E-3</v>
      </c>
      <c r="X130" s="406">
        <f t="shared" si="107"/>
        <v>0.71341691622919934</v>
      </c>
      <c r="Y130" s="406">
        <f t="shared" si="108"/>
        <v>1.0179273927239609E-2</v>
      </c>
      <c r="Z130" s="406">
        <f t="shared" si="62"/>
        <v>1.8291804832033243E-2</v>
      </c>
      <c r="AA130" s="406">
        <f t="shared" si="63"/>
        <v>4.9687500000000002E-2</v>
      </c>
      <c r="AB130" s="406">
        <f t="shared" si="64"/>
        <v>0</v>
      </c>
      <c r="AC130" s="406">
        <f t="shared" si="109"/>
        <v>7.8302049200690893E-2</v>
      </c>
      <c r="AD130" s="406">
        <f t="shared" si="110"/>
        <v>0.98604225759713571</v>
      </c>
      <c r="AE130" s="406">
        <f t="shared" si="111"/>
        <v>1.9445586675345124E-2</v>
      </c>
      <c r="AF130" s="406">
        <f t="shared" si="67"/>
        <v>4.7189999999999996E-2</v>
      </c>
      <c r="AG130" s="406">
        <f t="shared" si="112"/>
        <v>6.6843556623185849E-2</v>
      </c>
      <c r="AH130" s="406">
        <f t="shared" si="113"/>
        <v>0</v>
      </c>
      <c r="AI130">
        <f t="shared" si="70"/>
        <v>0</v>
      </c>
      <c r="AJ130" s="407">
        <f t="shared" si="71"/>
        <v>2.9951599999999998E-2</v>
      </c>
      <c r="AK130">
        <f t="shared" si="85"/>
        <v>0.03</v>
      </c>
      <c r="AL130" s="407">
        <f t="shared" si="72"/>
        <v>0.13500000000000001</v>
      </c>
      <c r="AM130" s="407">
        <f t="shared" si="86"/>
        <v>9.8855098389982105E-2</v>
      </c>
      <c r="AN130" s="407">
        <f t="shared" si="114"/>
        <v>0.16500000000000001</v>
      </c>
      <c r="AO130" s="407">
        <f t="shared" si="115"/>
        <v>0.57845427985945042</v>
      </c>
      <c r="AP130">
        <f t="shared" si="74"/>
        <v>6.1709999999999994</v>
      </c>
      <c r="AQ130" s="10">
        <f t="shared" si="116"/>
        <v>0.91429614071383924</v>
      </c>
      <c r="AR130" s="63">
        <f t="shared" si="117"/>
        <v>3.52359221403109</v>
      </c>
      <c r="AS130" s="63">
        <f t="shared" si="118"/>
        <v>2.6737422649274341</v>
      </c>
      <c r="AT130" s="10"/>
      <c r="AU130">
        <f t="shared" si="119"/>
        <v>91.429614071383924</v>
      </c>
    </row>
    <row r="131" spans="7:47" x14ac:dyDescent="0.2">
      <c r="G131">
        <v>122</v>
      </c>
      <c r="H131">
        <f t="shared" si="55"/>
        <v>1.22</v>
      </c>
      <c r="I131" s="406">
        <f t="shared" si="97"/>
        <v>0.34363559999999999</v>
      </c>
      <c r="J131" s="407">
        <f t="shared" si="56"/>
        <v>0.45359899199999998</v>
      </c>
      <c r="K131" s="407">
        <f t="shared" si="77"/>
        <v>1.4467994959999999</v>
      </c>
      <c r="L131" s="407">
        <f t="shared" si="98"/>
        <v>0.99320050400000004</v>
      </c>
      <c r="M131" s="63">
        <f t="shared" si="57"/>
        <v>0</v>
      </c>
      <c r="N131" s="406">
        <f t="shared" si="99"/>
        <v>1.2270069289923691</v>
      </c>
      <c r="O131" s="406">
        <f t="shared" si="100"/>
        <v>3.7297946150726881E-2</v>
      </c>
      <c r="P131">
        <f t="shared" si="59"/>
        <v>0.2</v>
      </c>
      <c r="Q131" s="406">
        <f t="shared" si="80"/>
        <v>0.23729794615072689</v>
      </c>
      <c r="R131" s="9">
        <f t="shared" si="101"/>
        <v>0.13094275006767145</v>
      </c>
      <c r="S131" s="9">
        <f t="shared" si="102"/>
        <v>3.4292007590569344E-5</v>
      </c>
      <c r="T131" s="9">
        <f t="shared" si="103"/>
        <v>3.4292007590569344E-5</v>
      </c>
      <c r="U131" s="406">
        <f t="shared" si="104"/>
        <v>0.71927686209261232</v>
      </c>
      <c r="V131" s="408">
        <f t="shared" si="105"/>
        <v>1.6555494538937436E-3</v>
      </c>
      <c r="W131" s="406">
        <f t="shared" si="106"/>
        <v>1.6555494538937436E-3</v>
      </c>
      <c r="X131" s="406">
        <f t="shared" si="107"/>
        <v>0.71927686209261232</v>
      </c>
      <c r="Y131" s="406">
        <f t="shared" si="108"/>
        <v>1.0347184086835897E-2</v>
      </c>
      <c r="Z131" s="406">
        <f t="shared" si="62"/>
        <v>1.8440465311228955E-2</v>
      </c>
      <c r="AA131" s="406">
        <f t="shared" si="63"/>
        <v>4.9687500000000002E-2</v>
      </c>
      <c r="AB131" s="406">
        <f t="shared" si="64"/>
        <v>0</v>
      </c>
      <c r="AC131" s="406">
        <f t="shared" si="109"/>
        <v>7.862158155402163E-2</v>
      </c>
      <c r="AD131" s="406">
        <f t="shared" si="110"/>
        <v>0.9940758519617553</v>
      </c>
      <c r="AE131" s="406">
        <f t="shared" si="111"/>
        <v>1.9763735989069792E-2</v>
      </c>
      <c r="AF131" s="406">
        <f t="shared" si="67"/>
        <v>4.7579999999999997E-2</v>
      </c>
      <c r="AG131" s="406">
        <f t="shared" si="112"/>
        <v>6.7557365739564793E-2</v>
      </c>
      <c r="AH131" s="406">
        <f t="shared" si="113"/>
        <v>0</v>
      </c>
      <c r="AI131">
        <f t="shared" si="70"/>
        <v>0</v>
      </c>
      <c r="AJ131" s="407">
        <f t="shared" si="71"/>
        <v>2.9951200000000001E-2</v>
      </c>
      <c r="AK131">
        <f t="shared" si="85"/>
        <v>0.03</v>
      </c>
      <c r="AL131" s="407">
        <f t="shared" si="72"/>
        <v>0.13500000000000001</v>
      </c>
      <c r="AM131" s="407">
        <f t="shared" si="86"/>
        <v>9.8855098389982105E-2</v>
      </c>
      <c r="AN131" s="407">
        <f t="shared" si="114"/>
        <v>0.16500000000000001</v>
      </c>
      <c r="AO131" s="407">
        <f t="shared" si="115"/>
        <v>0.58011793490579766</v>
      </c>
      <c r="AP131">
        <f t="shared" si="74"/>
        <v>6.2219999999999995</v>
      </c>
      <c r="AQ131" s="10">
        <f t="shared" si="116"/>
        <v>0.91471510190541383</v>
      </c>
      <c r="AR131" s="63">
        <f t="shared" si="117"/>
        <v>3.5379711699309735</v>
      </c>
      <c r="AS131" s="63">
        <f t="shared" si="118"/>
        <v>2.7022946295825916</v>
      </c>
      <c r="AT131" s="10"/>
      <c r="AU131">
        <f t="shared" si="119"/>
        <v>91.47151019054138</v>
      </c>
    </row>
    <row r="132" spans="7:47" x14ac:dyDescent="0.2">
      <c r="G132">
        <v>123</v>
      </c>
      <c r="H132">
        <f t="shared" si="55"/>
        <v>1.23</v>
      </c>
      <c r="I132" s="406">
        <f t="shared" si="97"/>
        <v>0.34366540000000001</v>
      </c>
      <c r="J132" s="407">
        <f t="shared" si="56"/>
        <v>0.45363832800000004</v>
      </c>
      <c r="K132" s="407">
        <f t="shared" si="77"/>
        <v>1.4568191640000001</v>
      </c>
      <c r="L132" s="407">
        <f t="shared" si="98"/>
        <v>1.0031808359999999</v>
      </c>
      <c r="M132" s="63">
        <f t="shared" si="57"/>
        <v>0</v>
      </c>
      <c r="N132" s="406">
        <f t="shared" si="99"/>
        <v>1.2369514855964316</v>
      </c>
      <c r="O132" s="406">
        <f t="shared" si="100"/>
        <v>3.7906816337983679E-2</v>
      </c>
      <c r="P132">
        <f t="shared" si="59"/>
        <v>0.2</v>
      </c>
      <c r="Q132" s="406">
        <f t="shared" si="80"/>
        <v>0.23790681633798369</v>
      </c>
      <c r="R132" s="9">
        <f t="shared" si="101"/>
        <v>0.13095410539276589</v>
      </c>
      <c r="S132" s="9">
        <f t="shared" si="102"/>
        <v>3.4297955438439276E-5</v>
      </c>
      <c r="T132" s="9">
        <f t="shared" si="103"/>
        <v>3.4297955438439276E-5</v>
      </c>
      <c r="U132" s="406">
        <f t="shared" si="104"/>
        <v>0.72513784479053822</v>
      </c>
      <c r="V132" s="408">
        <f t="shared" si="105"/>
        <v>1.6826396606318935E-3</v>
      </c>
      <c r="W132" s="406">
        <f t="shared" si="106"/>
        <v>1.6826396606318935E-3</v>
      </c>
      <c r="X132" s="406">
        <f t="shared" si="107"/>
        <v>0.72513784479053822</v>
      </c>
      <c r="Y132" s="406">
        <f t="shared" si="108"/>
        <v>1.0516497878949333E-2</v>
      </c>
      <c r="Z132" s="406">
        <f t="shared" si="62"/>
        <v>1.8589125790424672E-2</v>
      </c>
      <c r="AA132" s="406">
        <f t="shared" si="63"/>
        <v>4.9687500000000002E-2</v>
      </c>
      <c r="AB132" s="406">
        <f t="shared" si="64"/>
        <v>0</v>
      </c>
      <c r="AC132" s="406">
        <f t="shared" si="109"/>
        <v>7.8942559536159765E-2</v>
      </c>
      <c r="AD132" s="406">
        <f t="shared" si="110"/>
        <v>1.0021098162236275</v>
      </c>
      <c r="AE132" s="406">
        <f t="shared" si="111"/>
        <v>2.0084481675435049E-2</v>
      </c>
      <c r="AF132" s="406">
        <f t="shared" si="67"/>
        <v>4.7969999999999999E-2</v>
      </c>
      <c r="AG132" s="406">
        <f t="shared" si="112"/>
        <v>6.8273880957194333E-2</v>
      </c>
      <c r="AH132" s="406">
        <f t="shared" si="113"/>
        <v>0</v>
      </c>
      <c r="AI132">
        <f t="shared" si="70"/>
        <v>0</v>
      </c>
      <c r="AJ132" s="407">
        <f t="shared" si="71"/>
        <v>2.9950800000000003E-2</v>
      </c>
      <c r="AK132">
        <f t="shared" si="85"/>
        <v>0.03</v>
      </c>
      <c r="AL132" s="407">
        <f t="shared" si="72"/>
        <v>0.13500000000000001</v>
      </c>
      <c r="AM132" s="407">
        <f t="shared" si="86"/>
        <v>9.8855098389982105E-2</v>
      </c>
      <c r="AN132" s="407">
        <f t="shared" si="114"/>
        <v>0.16500000000000001</v>
      </c>
      <c r="AO132" s="407">
        <f t="shared" si="115"/>
        <v>0.58179099444740812</v>
      </c>
      <c r="AP132">
        <f t="shared" si="74"/>
        <v>6.2729999999999997</v>
      </c>
      <c r="AQ132" s="10">
        <f t="shared" si="116"/>
        <v>0.91512637002081076</v>
      </c>
      <c r="AR132" s="63">
        <f t="shared" si="117"/>
        <v>3.5524151791271894</v>
      </c>
      <c r="AS132" s="63">
        <f t="shared" si="118"/>
        <v>2.7309552382877733</v>
      </c>
      <c r="AT132" s="10"/>
      <c r="AU132">
        <f t="shared" si="119"/>
        <v>91.512637002081078</v>
      </c>
    </row>
    <row r="133" spans="7:47" x14ac:dyDescent="0.2">
      <c r="G133">
        <v>124</v>
      </c>
      <c r="H133">
        <f t="shared" si="55"/>
        <v>1.24</v>
      </c>
      <c r="I133" s="406">
        <f t="shared" si="97"/>
        <v>0.34369519999999998</v>
      </c>
      <c r="J133" s="407">
        <f t="shared" si="56"/>
        <v>0.45367766399999998</v>
      </c>
      <c r="K133" s="407">
        <f t="shared" si="77"/>
        <v>1.4668388320000001</v>
      </c>
      <c r="L133" s="407">
        <f t="shared" si="98"/>
        <v>1.0131611679999999</v>
      </c>
      <c r="M133" s="63">
        <f t="shared" si="57"/>
        <v>0</v>
      </c>
      <c r="N133" s="406">
        <f t="shared" si="99"/>
        <v>1.246896929140914</v>
      </c>
      <c r="O133" s="406">
        <f t="shared" si="100"/>
        <v>3.85207161654419E-2</v>
      </c>
      <c r="P133">
        <f t="shared" si="59"/>
        <v>0.2</v>
      </c>
      <c r="Q133" s="406">
        <f t="shared" si="80"/>
        <v>0.2385207161654419</v>
      </c>
      <c r="R133" s="9">
        <f t="shared" si="101"/>
        <v>0.1309654607178603</v>
      </c>
      <c r="S133" s="9">
        <f t="shared" si="102"/>
        <v>3.4303903802082823E-5</v>
      </c>
      <c r="T133" s="9">
        <f t="shared" si="103"/>
        <v>3.4303903802082823E-5</v>
      </c>
      <c r="U133" s="406">
        <f t="shared" si="104"/>
        <v>0.73099985161354097</v>
      </c>
      <c r="V133" s="408">
        <f t="shared" si="105"/>
        <v>1.7099545057888605E-3</v>
      </c>
      <c r="W133" s="406">
        <f t="shared" si="106"/>
        <v>1.7099545057888605E-3</v>
      </c>
      <c r="X133" s="406">
        <f t="shared" si="107"/>
        <v>0.73099985161354097</v>
      </c>
      <c r="Y133" s="406">
        <f t="shared" si="108"/>
        <v>1.0687215661180378E-2</v>
      </c>
      <c r="Z133" s="406">
        <f t="shared" si="62"/>
        <v>1.8737786269620384E-2</v>
      </c>
      <c r="AA133" s="406">
        <f t="shared" si="63"/>
        <v>4.9687500000000002E-2</v>
      </c>
      <c r="AB133" s="406">
        <f t="shared" si="64"/>
        <v>0</v>
      </c>
      <c r="AC133" s="406">
        <f t="shared" si="109"/>
        <v>7.9264983886692633E-2</v>
      </c>
      <c r="AD133" s="406">
        <f t="shared" si="110"/>
        <v>1.0101441327068243</v>
      </c>
      <c r="AE133" s="406">
        <f t="shared" si="111"/>
        <v>2.040782337684045E-2</v>
      </c>
      <c r="AF133" s="406">
        <f t="shared" si="67"/>
        <v>4.836E-2</v>
      </c>
      <c r="AG133" s="406">
        <f t="shared" si="112"/>
        <v>6.899310322722145E-2</v>
      </c>
      <c r="AH133" s="406">
        <f t="shared" si="113"/>
        <v>0</v>
      </c>
      <c r="AI133">
        <f t="shared" si="70"/>
        <v>0</v>
      </c>
      <c r="AJ133" s="407">
        <f t="shared" si="71"/>
        <v>2.9950399999999999E-2</v>
      </c>
      <c r="AK133">
        <f t="shared" si="85"/>
        <v>0.03</v>
      </c>
      <c r="AL133" s="407">
        <f t="shared" si="72"/>
        <v>0.13500000000000001</v>
      </c>
      <c r="AM133" s="407">
        <f t="shared" si="86"/>
        <v>9.8855098389982105E-2</v>
      </c>
      <c r="AN133" s="407">
        <f t="shared" si="114"/>
        <v>0.16500000000000001</v>
      </c>
      <c r="AO133" s="407">
        <f t="shared" si="115"/>
        <v>0.58347346168894698</v>
      </c>
      <c r="AP133">
        <f t="shared" si="74"/>
        <v>6.3239999999999998</v>
      </c>
      <c r="AQ133" s="10">
        <f t="shared" si="116"/>
        <v>0.91553011894651826</v>
      </c>
      <c r="AR133" s="63">
        <f t="shared" si="117"/>
        <v>3.5669242749011687</v>
      </c>
      <c r="AS133" s="63">
        <f t="shared" si="118"/>
        <v>2.7597241290888581</v>
      </c>
      <c r="AT133" s="10"/>
      <c r="AU133">
        <f t="shared" si="119"/>
        <v>91.553011894651831</v>
      </c>
    </row>
    <row r="134" spans="7:47" x14ac:dyDescent="0.2">
      <c r="G134">
        <v>125</v>
      </c>
      <c r="H134">
        <f t="shared" si="55"/>
        <v>1.25</v>
      </c>
      <c r="I134" s="406">
        <f t="shared" si="97"/>
        <v>0.343725</v>
      </c>
      <c r="J134" s="407">
        <f t="shared" si="56"/>
        <v>0.45371700000000004</v>
      </c>
      <c r="K134" s="407">
        <f t="shared" si="77"/>
        <v>1.4768585000000001</v>
      </c>
      <c r="L134" s="407">
        <f t="shared" si="98"/>
        <v>1.0231414999999999</v>
      </c>
      <c r="M134" s="63">
        <f t="shared" si="57"/>
        <v>0</v>
      </c>
      <c r="N134" s="406">
        <f t="shared" si="99"/>
        <v>1.2568432385706461</v>
      </c>
      <c r="O134" s="406">
        <f t="shared" si="100"/>
        <v>3.9139647102063913E-2</v>
      </c>
      <c r="P134">
        <f t="shared" si="59"/>
        <v>0.2</v>
      </c>
      <c r="Q134" s="406">
        <f t="shared" si="80"/>
        <v>0.23913964710206392</v>
      </c>
      <c r="R134" s="9">
        <f t="shared" si="101"/>
        <v>0.13097681604295475</v>
      </c>
      <c r="S134" s="9">
        <f t="shared" si="102"/>
        <v>3.4309852681500019E-5</v>
      </c>
      <c r="T134" s="9">
        <f t="shared" si="103"/>
        <v>3.4309852681500019E-5</v>
      </c>
      <c r="U134" s="406">
        <f t="shared" si="104"/>
        <v>0.73686287025231112</v>
      </c>
      <c r="V134" s="408">
        <f t="shared" si="105"/>
        <v>1.7374940465807178E-3</v>
      </c>
      <c r="W134" s="406">
        <f t="shared" si="106"/>
        <v>1.7374940465807178E-3</v>
      </c>
      <c r="X134" s="406">
        <f t="shared" si="107"/>
        <v>0.73686287025231112</v>
      </c>
      <c r="Y134" s="406">
        <f t="shared" si="108"/>
        <v>1.0859337791129487E-2</v>
      </c>
      <c r="Z134" s="406">
        <f t="shared" si="62"/>
        <v>1.8886446748816101E-2</v>
      </c>
      <c r="AA134" s="406">
        <f t="shared" si="63"/>
        <v>4.9687500000000002E-2</v>
      </c>
      <c r="AB134" s="406">
        <f t="shared" si="64"/>
        <v>0</v>
      </c>
      <c r="AC134" s="406">
        <f t="shared" si="109"/>
        <v>7.9588855347578771E-2</v>
      </c>
      <c r="AD134" s="406">
        <f t="shared" si="110"/>
        <v>1.0181787842929531</v>
      </c>
      <c r="AE134" s="406">
        <f t="shared" si="111"/>
        <v>2.073376073568552E-2</v>
      </c>
      <c r="AF134" s="406">
        <f t="shared" si="67"/>
        <v>4.8750000000000002E-2</v>
      </c>
      <c r="AG134" s="406">
        <f t="shared" si="112"/>
        <v>6.9715033507593796E-2</v>
      </c>
      <c r="AH134" s="406">
        <f t="shared" si="113"/>
        <v>0</v>
      </c>
      <c r="AI134">
        <f t="shared" si="70"/>
        <v>0</v>
      </c>
      <c r="AJ134" s="407">
        <f t="shared" si="71"/>
        <v>2.9950000000000001E-2</v>
      </c>
      <c r="AK134">
        <f t="shared" si="85"/>
        <v>0.03</v>
      </c>
      <c r="AL134" s="407">
        <f t="shared" si="72"/>
        <v>0.13500000000000001</v>
      </c>
      <c r="AM134" s="407">
        <f t="shared" si="86"/>
        <v>9.8855098389982105E-2</v>
      </c>
      <c r="AN134" s="407">
        <f t="shared" si="114"/>
        <v>0.16500000000000001</v>
      </c>
      <c r="AO134" s="407">
        <f t="shared" si="115"/>
        <v>0.58516533985649866</v>
      </c>
      <c r="AP134">
        <f t="shared" si="74"/>
        <v>6.375</v>
      </c>
      <c r="AQ134" s="10">
        <f t="shared" si="116"/>
        <v>0.91592651736222075</v>
      </c>
      <c r="AR134" s="63">
        <f t="shared" si="117"/>
        <v>3.5814984906410445</v>
      </c>
      <c r="AS134" s="63">
        <f t="shared" si="118"/>
        <v>2.7886013403037517</v>
      </c>
      <c r="AT134" s="10"/>
      <c r="AU134">
        <f t="shared" si="119"/>
        <v>91.592651736222081</v>
      </c>
    </row>
    <row r="135" spans="7:47" x14ac:dyDescent="0.2">
      <c r="G135">
        <v>126</v>
      </c>
      <c r="H135">
        <f t="shared" si="55"/>
        <v>1.26</v>
      </c>
      <c r="I135" s="406">
        <f t="shared" si="97"/>
        <v>0.34375479999999997</v>
      </c>
      <c r="J135" s="407">
        <f t="shared" si="56"/>
        <v>0.45375633599999998</v>
      </c>
      <c r="K135" s="407">
        <f t="shared" si="77"/>
        <v>1.4868781680000001</v>
      </c>
      <c r="L135" s="407">
        <f t="shared" si="98"/>
        <v>1.033121832</v>
      </c>
      <c r="M135" s="63">
        <f t="shared" si="57"/>
        <v>0</v>
      </c>
      <c r="N135" s="406">
        <f t="shared" si="99"/>
        <v>1.2667903934899196</v>
      </c>
      <c r="O135" s="406">
        <f t="shared" si="100"/>
        <v>3.9763610629068809E-2</v>
      </c>
      <c r="P135">
        <f t="shared" si="59"/>
        <v>0.2</v>
      </c>
      <c r="Q135" s="406">
        <f t="shared" si="80"/>
        <v>0.23976361062906881</v>
      </c>
      <c r="R135" s="9">
        <f t="shared" si="101"/>
        <v>0.13098817136804913</v>
      </c>
      <c r="S135" s="9">
        <f t="shared" si="102"/>
        <v>3.4315802076690817E-5</v>
      </c>
      <c r="T135" s="9">
        <f t="shared" si="103"/>
        <v>3.4315802076690817E-5</v>
      </c>
      <c r="U135" s="406">
        <f t="shared" si="104"/>
        <v>0.74272688878204485</v>
      </c>
      <c r="V135" s="408">
        <f t="shared" si="105"/>
        <v>1.7652583402235395E-3</v>
      </c>
      <c r="W135" s="406">
        <f t="shared" si="106"/>
        <v>1.7652583402235395E-3</v>
      </c>
      <c r="X135" s="406">
        <f t="shared" si="107"/>
        <v>0.74272688878204485</v>
      </c>
      <c r="Y135" s="406">
        <f t="shared" si="108"/>
        <v>1.1032864626397122E-2</v>
      </c>
      <c r="Z135" s="406">
        <f t="shared" si="62"/>
        <v>1.9035107228011813E-2</v>
      </c>
      <c r="AA135" s="406">
        <f t="shared" si="63"/>
        <v>4.9687500000000002E-2</v>
      </c>
      <c r="AB135" s="406">
        <f t="shared" si="64"/>
        <v>0</v>
      </c>
      <c r="AC135" s="406">
        <f t="shared" si="109"/>
        <v>7.9914174663150928E-2</v>
      </c>
      <c r="AD135" s="406">
        <f t="shared" si="110"/>
        <v>1.026213754399389</v>
      </c>
      <c r="AE135" s="406">
        <f t="shared" si="111"/>
        <v>2.106229339436979E-2</v>
      </c>
      <c r="AF135" s="406">
        <f t="shared" si="67"/>
        <v>4.9140000000000003E-2</v>
      </c>
      <c r="AG135" s="406">
        <f t="shared" si="112"/>
        <v>7.0439672763064037E-2</v>
      </c>
      <c r="AH135" s="406">
        <f t="shared" si="113"/>
        <v>0</v>
      </c>
      <c r="AI135">
        <f t="shared" si="70"/>
        <v>0</v>
      </c>
      <c r="AJ135" s="407">
        <f t="shared" si="71"/>
        <v>2.99496E-2</v>
      </c>
      <c r="AK135">
        <f t="shared" si="85"/>
        <v>0.03</v>
      </c>
      <c r="AL135" s="407">
        <f t="shared" si="72"/>
        <v>0.13500000000000001</v>
      </c>
      <c r="AM135" s="407">
        <f t="shared" si="86"/>
        <v>9.8855098389982105E-2</v>
      </c>
      <c r="AN135" s="407">
        <f t="shared" si="114"/>
        <v>0.16500000000000001</v>
      </c>
      <c r="AO135" s="407">
        <f t="shared" si="115"/>
        <v>0.58686663219758406</v>
      </c>
      <c r="AP135">
        <f t="shared" si="74"/>
        <v>6.4259999999999993</v>
      </c>
      <c r="AQ135" s="10">
        <f t="shared" si="116"/>
        <v>0.91631572893413482</v>
      </c>
      <c r="AR135" s="63">
        <f t="shared" si="117"/>
        <v>3.5961378598417917</v>
      </c>
      <c r="AS135" s="63">
        <f t="shared" si="118"/>
        <v>2.8175869105225617</v>
      </c>
      <c r="AT135" s="10"/>
      <c r="AU135">
        <f t="shared" si="119"/>
        <v>91.631572893413477</v>
      </c>
    </row>
    <row r="136" spans="7:47" x14ac:dyDescent="0.2">
      <c r="G136">
        <v>127</v>
      </c>
      <c r="H136">
        <f t="shared" si="55"/>
        <v>1.27</v>
      </c>
      <c r="I136" s="406">
        <f t="shared" si="97"/>
        <v>0.3437846</v>
      </c>
      <c r="J136" s="407">
        <f t="shared" si="56"/>
        <v>0.45379567200000004</v>
      </c>
      <c r="K136" s="407">
        <f t="shared" si="77"/>
        <v>1.496897836</v>
      </c>
      <c r="L136" s="407">
        <f t="shared" si="98"/>
        <v>1.043102164</v>
      </c>
      <c r="M136" s="63">
        <f t="shared" si="57"/>
        <v>0</v>
      </c>
      <c r="N136" s="406">
        <f t="shared" si="99"/>
        <v>1.2767383741369362</v>
      </c>
      <c r="O136" s="406">
        <f t="shared" si="100"/>
        <v>4.0392608239941168E-2</v>
      </c>
      <c r="P136">
        <f t="shared" si="59"/>
        <v>0.2</v>
      </c>
      <c r="Q136" s="406">
        <f t="shared" si="80"/>
        <v>0.24039260823994119</v>
      </c>
      <c r="R136" s="9">
        <f t="shared" si="101"/>
        <v>0.13099952669314358</v>
      </c>
      <c r="S136" s="9">
        <f t="shared" si="102"/>
        <v>3.4321751987655277E-5</v>
      </c>
      <c r="T136" s="9">
        <f t="shared" si="103"/>
        <v>3.4321751987655277E-5</v>
      </c>
      <c r="U136" s="406">
        <f t="shared" si="104"/>
        <v>0.7485918956475468</v>
      </c>
      <c r="V136" s="408">
        <f t="shared" si="105"/>
        <v>1.7932474439334007E-3</v>
      </c>
      <c r="W136" s="406">
        <f t="shared" si="106"/>
        <v>1.7932474439334007E-3</v>
      </c>
      <c r="X136" s="406">
        <f t="shared" si="107"/>
        <v>0.7485918956475468</v>
      </c>
      <c r="Y136" s="406">
        <f t="shared" si="108"/>
        <v>1.1207796524583754E-2</v>
      </c>
      <c r="Z136" s="406">
        <f t="shared" si="62"/>
        <v>1.9183767707207526E-2</v>
      </c>
      <c r="AA136" s="406">
        <f t="shared" si="63"/>
        <v>4.9687500000000002E-2</v>
      </c>
      <c r="AB136" s="406">
        <f t="shared" si="64"/>
        <v>0</v>
      </c>
      <c r="AC136" s="406">
        <f t="shared" si="109"/>
        <v>8.0240942580119476E-2</v>
      </c>
      <c r="AD136" s="406">
        <f t="shared" si="110"/>
        <v>1.0342490269585174</v>
      </c>
      <c r="AE136" s="406">
        <f t="shared" si="111"/>
        <v>2.1393420995292799E-2</v>
      </c>
      <c r="AF136" s="406">
        <f t="shared" si="67"/>
        <v>4.9529999999999998E-2</v>
      </c>
      <c r="AG136" s="406">
        <f t="shared" si="112"/>
        <v>7.1167021965194019E-2</v>
      </c>
      <c r="AH136" s="406">
        <f t="shared" si="113"/>
        <v>0</v>
      </c>
      <c r="AI136">
        <f t="shared" si="70"/>
        <v>0</v>
      </c>
      <c r="AJ136" s="407">
        <f t="shared" si="71"/>
        <v>2.9949200000000002E-2</v>
      </c>
      <c r="AK136">
        <f t="shared" si="85"/>
        <v>0.03</v>
      </c>
      <c r="AL136" s="407">
        <f t="shared" si="72"/>
        <v>0.13500000000000001</v>
      </c>
      <c r="AM136" s="407">
        <f t="shared" si="86"/>
        <v>9.8855098389982105E-2</v>
      </c>
      <c r="AN136" s="407">
        <f t="shared" si="114"/>
        <v>0.16500000000000001</v>
      </c>
      <c r="AO136" s="407">
        <f t="shared" si="115"/>
        <v>0.58857734198117573</v>
      </c>
      <c r="AP136">
        <f t="shared" si="74"/>
        <v>6.4769999999999994</v>
      </c>
      <c r="AQ136" s="10">
        <f t="shared" si="116"/>
        <v>0.91669791249979582</v>
      </c>
      <c r="AR136" s="63">
        <f t="shared" si="117"/>
        <v>3.6108424161053763</v>
      </c>
      <c r="AS136" s="63">
        <f t="shared" si="118"/>
        <v>2.8466808786077609</v>
      </c>
      <c r="AT136" s="10"/>
      <c r="AU136">
        <f t="shared" si="119"/>
        <v>91.669791249979582</v>
      </c>
    </row>
    <row r="137" spans="7:47" x14ac:dyDescent="0.2">
      <c r="G137">
        <v>128</v>
      </c>
      <c r="H137">
        <f t="shared" ref="H137:H200" si="120">Iout*(G137/200)</f>
        <v>1.28</v>
      </c>
      <c r="I137" s="406">
        <f t="shared" si="97"/>
        <v>0.34381439999999996</v>
      </c>
      <c r="J137" s="407">
        <f t="shared" ref="J137:J200" si="121">(Vin-Vout)*I137/(Fsw*Lout2)</f>
        <v>0.45383500799999993</v>
      </c>
      <c r="K137" s="407">
        <f t="shared" si="77"/>
        <v>1.506917504</v>
      </c>
      <c r="L137" s="407">
        <f t="shared" si="98"/>
        <v>1.053082496</v>
      </c>
      <c r="M137" s="63">
        <f t="shared" ref="M137:M200" si="122">IF(MIN(Vin, -L137/(CossTop+CossBot)*0.00000002)&lt;0, 0, MIN(Vin, -L137/(CossTop+CossBot)*0.00000002))</f>
        <v>0</v>
      </c>
      <c r="N137" s="406">
        <f t="shared" si="99"/>
        <v>1.2866871613594335</v>
      </c>
      <c r="O137" s="406">
        <f t="shared" si="100"/>
        <v>4.1026641440440104E-2</v>
      </c>
      <c r="P137">
        <f t="shared" ref="P137:P200" si="123">Core_Loss</f>
        <v>0.2</v>
      </c>
      <c r="Q137" s="406">
        <f t="shared" si="80"/>
        <v>0.24102664144044011</v>
      </c>
      <c r="R137" s="9">
        <f t="shared" si="101"/>
        <v>0.13101088201823796</v>
      </c>
      <c r="S137" s="9">
        <f t="shared" si="102"/>
        <v>3.4327702414393331E-5</v>
      </c>
      <c r="T137" s="9">
        <f t="shared" si="103"/>
        <v>3.4327702414393331E-5</v>
      </c>
      <c r="U137" s="406">
        <f t="shared" si="104"/>
        <v>0.75445787964901767</v>
      </c>
      <c r="V137" s="408">
        <f t="shared" si="105"/>
        <v>1.8214614149263731E-3</v>
      </c>
      <c r="W137" s="406">
        <f t="shared" si="106"/>
        <v>1.8214614149263731E-3</v>
      </c>
      <c r="X137" s="406">
        <f t="shared" si="107"/>
        <v>0.75445787964901767</v>
      </c>
      <c r="Y137" s="406">
        <f t="shared" si="108"/>
        <v>1.1384133843289831E-2</v>
      </c>
      <c r="Z137" s="406">
        <f t="shared" ref="Z137:Z200" si="124">IF(L137&lt;0, (Vin*K137*Tf/2)*Fsw, (Vin*L137*Tr/2+Vin*K137*Tf/2)*Fsw)</f>
        <v>1.9332428186403239E-2</v>
      </c>
      <c r="AA137" s="406">
        <f t="shared" ref="AA137:AA200" si="125">(0.5*CossTop*(Vin-M137)^2-0.5*CossBot*(Vin-M137)^2+(QossBot*(Vin-M137)/Vin)*Vin)*Fsw</f>
        <v>4.9687500000000002E-2</v>
      </c>
      <c r="AB137" s="406">
        <f t="shared" ref="AB137:AB200" si="126">IF(L137&gt;0,0,-L137*VsdTop*Deadtime*Fsw)</f>
        <v>0</v>
      </c>
      <c r="AC137" s="406">
        <f t="shared" si="109"/>
        <v>8.0569159847575386E-2</v>
      </c>
      <c r="AD137" s="406">
        <f t="shared" si="110"/>
        <v>1.0422845863979306</v>
      </c>
      <c r="AE137" s="406">
        <f t="shared" si="111"/>
        <v>2.1727143180854107E-2</v>
      </c>
      <c r="AF137" s="406">
        <f t="shared" ref="AF137:AF200" si="127">IF(L137&lt;0, Deadtime*Fsw*IF(VfdSky&gt;0,0,VsdBot)*K137, Deadtime*Fsw*IF(VfdSky&gt;0,0,VsdBot)*(K137+L137))</f>
        <v>4.9919999999999999E-2</v>
      </c>
      <c r="AG137" s="406">
        <f t="shared" si="112"/>
        <v>7.1897082092359108E-2</v>
      </c>
      <c r="AH137" s="406">
        <f t="shared" si="113"/>
        <v>0</v>
      </c>
      <c r="AI137">
        <f t="shared" ref="AI137:AI200" si="128">2*Deadtime*Fsw*IF(VfdSky&gt;0,VfdSky,0)*H137</f>
        <v>0</v>
      </c>
      <c r="AJ137" s="407">
        <f t="shared" ref="AJ137:AJ200" si="129">IF(QrrSky&gt;0,QrrSky,QrrBot)*Fsw*(Vin-H137*RdsonTop)</f>
        <v>2.9948799999999998E-2</v>
      </c>
      <c r="AK137">
        <f t="shared" si="85"/>
        <v>0.03</v>
      </c>
      <c r="AL137" s="407">
        <f t="shared" ref="AL137:AL200" si="130">IF(Ext_VCC=1, Vdd*(QgTop+QgBot)*Fsw, Vin*(QgTop+QgBot)*Fsw)</f>
        <v>0.13500000000000001</v>
      </c>
      <c r="AM137" s="407">
        <f t="shared" si="86"/>
        <v>9.8855098389982105E-2</v>
      </c>
      <c r="AN137" s="407">
        <f t="shared" si="114"/>
        <v>0.16500000000000001</v>
      </c>
      <c r="AO137" s="407">
        <f t="shared" si="115"/>
        <v>0.59029747249771536</v>
      </c>
      <c r="AP137">
        <f t="shared" ref="AP137:AP200" si="131">Vout*H137</f>
        <v>6.5279999999999996</v>
      </c>
      <c r="AQ137" s="10">
        <f t="shared" si="116"/>
        <v>0.91707322224473042</v>
      </c>
      <c r="AR137" s="63">
        <f t="shared" si="117"/>
        <v>3.6256121931408924</v>
      </c>
      <c r="AS137" s="63">
        <f t="shared" si="118"/>
        <v>2.8758832836943644</v>
      </c>
      <c r="AT137" s="10"/>
      <c r="AU137">
        <f t="shared" si="119"/>
        <v>91.707322224473046</v>
      </c>
    </row>
    <row r="138" spans="7:47" x14ac:dyDescent="0.2">
      <c r="G138">
        <v>129</v>
      </c>
      <c r="H138">
        <f t="shared" si="120"/>
        <v>1.29</v>
      </c>
      <c r="I138" s="406">
        <f t="shared" si="97"/>
        <v>0.34384420000000004</v>
      </c>
      <c r="J138" s="407">
        <f t="shared" si="121"/>
        <v>0.45387434400000004</v>
      </c>
      <c r="K138" s="407">
        <f t="shared" ref="K138:K201" si="132">H138+J138/2</f>
        <v>1.516937172</v>
      </c>
      <c r="L138" s="407">
        <f t="shared" si="98"/>
        <v>1.0630628280000001</v>
      </c>
      <c r="M138" s="63">
        <f t="shared" si="122"/>
        <v>0</v>
      </c>
      <c r="N138" s="406">
        <f t="shared" si="99"/>
        <v>1.296636736591422</v>
      </c>
      <c r="O138" s="406">
        <f t="shared" si="100"/>
        <v>4.1665711748608197E-2</v>
      </c>
      <c r="P138">
        <f t="shared" si="123"/>
        <v>0.2</v>
      </c>
      <c r="Q138" s="406">
        <f t="shared" ref="Q138:Q201" si="133">O138+P138</f>
        <v>0.24166571174860821</v>
      </c>
      <c r="R138" s="9">
        <f t="shared" si="101"/>
        <v>0.13102223734333243</v>
      </c>
      <c r="S138" s="9">
        <f t="shared" si="102"/>
        <v>3.4333653356905075E-5</v>
      </c>
      <c r="T138" s="9">
        <f t="shared" si="103"/>
        <v>3.4333653356905075E-5</v>
      </c>
      <c r="U138" s="406">
        <f t="shared" si="104"/>
        <v>0.7603248299284926</v>
      </c>
      <c r="V138" s="408">
        <f t="shared" si="105"/>
        <v>1.8499003104185318E-3</v>
      </c>
      <c r="W138" s="406">
        <f t="shared" si="106"/>
        <v>1.8499003104185318E-3</v>
      </c>
      <c r="X138" s="406">
        <f t="shared" si="107"/>
        <v>0.7603248299284926</v>
      </c>
      <c r="Y138" s="406">
        <f t="shared" si="108"/>
        <v>1.1561876940115822E-2</v>
      </c>
      <c r="Z138" s="406">
        <f t="shared" si="124"/>
        <v>1.9481088665598955E-2</v>
      </c>
      <c r="AA138" s="406">
        <f t="shared" si="125"/>
        <v>4.9687500000000002E-2</v>
      </c>
      <c r="AB138" s="406">
        <f t="shared" si="126"/>
        <v>0</v>
      </c>
      <c r="AC138" s="406">
        <f t="shared" si="109"/>
        <v>8.0898827216993638E-2</v>
      </c>
      <c r="AD138" s="406">
        <f t="shared" si="110"/>
        <v>1.0503204176215282</v>
      </c>
      <c r="AE138" s="406">
        <f t="shared" si="111"/>
        <v>2.2063459593453225E-2</v>
      </c>
      <c r="AF138" s="406">
        <f t="shared" si="127"/>
        <v>5.0310000000000001E-2</v>
      </c>
      <c r="AG138" s="406">
        <f t="shared" si="112"/>
        <v>7.2629854129752466E-2</v>
      </c>
      <c r="AH138" s="406">
        <f t="shared" si="113"/>
        <v>0</v>
      </c>
      <c r="AI138">
        <f t="shared" si="128"/>
        <v>0</v>
      </c>
      <c r="AJ138" s="407">
        <f t="shared" si="129"/>
        <v>2.99484E-2</v>
      </c>
      <c r="AK138">
        <f t="shared" ref="AK138:AK201" si="134">Iq*Vin</f>
        <v>0.03</v>
      </c>
      <c r="AL138" s="407">
        <f t="shared" si="130"/>
        <v>0.13500000000000001</v>
      </c>
      <c r="AM138" s="407">
        <f t="shared" ref="AM138:AM201" si="135">(Vin-Vdd)*Fsw*(QgTop+QgBot)+(RdsonDRT+RdsonDRT2)*Fsw*QgTop*Vdd/(RdsonDRT+2*RGateTop+RdsonDRT2)+(RdsonDRB+RdsonDRB2)*Fsw*QgBot*Vdd/(RdsonDRB+2*RGateBot+RdsonDRB2)</f>
        <v>9.8855098389982105E-2</v>
      </c>
      <c r="AN138" s="407">
        <f t="shared" si="114"/>
        <v>0.16500000000000001</v>
      </c>
      <c r="AO138" s="407">
        <f t="shared" si="115"/>
        <v>0.5920270270591298</v>
      </c>
      <c r="AP138">
        <f t="shared" si="131"/>
        <v>6.5789999999999997</v>
      </c>
      <c r="AQ138" s="10">
        <f t="shared" si="116"/>
        <v>0.91744180787142804</v>
      </c>
      <c r="AR138" s="63">
        <f t="shared" si="117"/>
        <v>3.6404472247647135</v>
      </c>
      <c r="AS138" s="63">
        <f t="shared" si="118"/>
        <v>2.9051941651900988</v>
      </c>
      <c r="AT138" s="10"/>
      <c r="AU138">
        <f t="shared" si="119"/>
        <v>91.74418078714281</v>
      </c>
    </row>
    <row r="139" spans="7:47" x14ac:dyDescent="0.2">
      <c r="G139">
        <v>130</v>
      </c>
      <c r="H139">
        <f t="shared" si="120"/>
        <v>1.3</v>
      </c>
      <c r="I139" s="406">
        <f t="shared" si="97"/>
        <v>0.34387399999999996</v>
      </c>
      <c r="J139" s="407">
        <f t="shared" si="121"/>
        <v>0.45391367999999999</v>
      </c>
      <c r="K139" s="407">
        <f t="shared" si="132"/>
        <v>1.52695684</v>
      </c>
      <c r="L139" s="407">
        <f t="shared" si="98"/>
        <v>1.0730431600000001</v>
      </c>
      <c r="M139" s="63">
        <f t="shared" si="122"/>
        <v>0</v>
      </c>
      <c r="N139" s="406">
        <f t="shared" si="99"/>
        <v>1.3065870818309797</v>
      </c>
      <c r="O139" s="406">
        <f t="shared" si="100"/>
        <v>4.2309820694780766E-2</v>
      </c>
      <c r="P139">
        <f t="shared" si="123"/>
        <v>0.2</v>
      </c>
      <c r="Q139" s="406">
        <f t="shared" si="133"/>
        <v>0.24230982069478077</v>
      </c>
      <c r="R139" s="9">
        <f t="shared" si="101"/>
        <v>0.13103359266842682</v>
      </c>
      <c r="S139" s="9">
        <f t="shared" si="102"/>
        <v>3.43396048151904E-5</v>
      </c>
      <c r="T139" s="9">
        <f t="shared" si="103"/>
        <v>3.43396048151904E-5</v>
      </c>
      <c r="U139" s="406">
        <f t="shared" si="104"/>
        <v>0.76619273595689308</v>
      </c>
      <c r="V139" s="408">
        <f t="shared" si="105"/>
        <v>1.8785641876259498E-3</v>
      </c>
      <c r="W139" s="406">
        <f t="shared" si="106"/>
        <v>1.8785641876259498E-3</v>
      </c>
      <c r="X139" s="406">
        <f t="shared" si="107"/>
        <v>0.76619273595689308</v>
      </c>
      <c r="Y139" s="406">
        <f t="shared" si="108"/>
        <v>1.1741026172662187E-2</v>
      </c>
      <c r="Z139" s="406">
        <f t="shared" si="124"/>
        <v>1.9629749144794664E-2</v>
      </c>
      <c r="AA139" s="406">
        <f t="shared" si="125"/>
        <v>4.9687500000000002E-2</v>
      </c>
      <c r="AB139" s="406">
        <f t="shared" si="126"/>
        <v>0</v>
      </c>
      <c r="AC139" s="406">
        <f t="shared" si="109"/>
        <v>8.1229945442236287E-2</v>
      </c>
      <c r="AD139" s="406">
        <f t="shared" si="110"/>
        <v>1.0583565059914763</v>
      </c>
      <c r="AE139" s="406">
        <f t="shared" si="111"/>
        <v>2.2402369875489717E-2</v>
      </c>
      <c r="AF139" s="406">
        <f t="shared" si="127"/>
        <v>5.0700000000000002E-2</v>
      </c>
      <c r="AG139" s="406">
        <f t="shared" si="112"/>
        <v>7.3365339069389426E-2</v>
      </c>
      <c r="AH139" s="406">
        <f t="shared" si="113"/>
        <v>0</v>
      </c>
      <c r="AI139">
        <f t="shared" si="128"/>
        <v>0</v>
      </c>
      <c r="AJ139" s="407">
        <f t="shared" si="129"/>
        <v>2.9948000000000002E-2</v>
      </c>
      <c r="AK139">
        <f t="shared" si="134"/>
        <v>0.03</v>
      </c>
      <c r="AL139" s="407">
        <f t="shared" si="130"/>
        <v>0.13500000000000001</v>
      </c>
      <c r="AM139" s="407">
        <f t="shared" si="135"/>
        <v>9.8855098389982105E-2</v>
      </c>
      <c r="AN139" s="407">
        <f t="shared" si="114"/>
        <v>0.16500000000000001</v>
      </c>
      <c r="AO139" s="407">
        <f t="shared" si="115"/>
        <v>0.59376600899884757</v>
      </c>
      <c r="AP139">
        <f t="shared" si="131"/>
        <v>6.63</v>
      </c>
      <c r="AQ139" s="10">
        <f t="shared" si="116"/>
        <v>0.91780381476100192</v>
      </c>
      <c r="AR139" s="63">
        <f t="shared" si="117"/>
        <v>3.655347544900633</v>
      </c>
      <c r="AS139" s="63">
        <f t="shared" si="118"/>
        <v>2.9346135627755769</v>
      </c>
      <c r="AT139" s="10"/>
      <c r="AU139">
        <f t="shared" si="119"/>
        <v>91.780381476100189</v>
      </c>
    </row>
    <row r="140" spans="7:47" x14ac:dyDescent="0.2">
      <c r="G140">
        <v>131</v>
      </c>
      <c r="H140">
        <f t="shared" si="120"/>
        <v>1.31</v>
      </c>
      <c r="I140" s="406">
        <f t="shared" si="97"/>
        <v>0.34390379999999998</v>
      </c>
      <c r="J140" s="407">
        <f t="shared" si="121"/>
        <v>0.45395301599999999</v>
      </c>
      <c r="K140" s="407">
        <f t="shared" si="132"/>
        <v>1.536976508</v>
      </c>
      <c r="L140" s="407">
        <f t="shared" si="98"/>
        <v>1.0830234920000001</v>
      </c>
      <c r="M140" s="63">
        <f t="shared" si="122"/>
        <v>0</v>
      </c>
      <c r="N140" s="406">
        <f t="shared" si="99"/>
        <v>1.3165381796190436</v>
      </c>
      <c r="O140" s="406">
        <f t="shared" si="100"/>
        <v>4.2958969821595028E-2</v>
      </c>
      <c r="P140">
        <f t="shared" si="123"/>
        <v>0.2</v>
      </c>
      <c r="Q140" s="406">
        <f t="shared" si="133"/>
        <v>0.24295896982159504</v>
      </c>
      <c r="R140" s="9">
        <f t="shared" si="101"/>
        <v>0.13104494799352126</v>
      </c>
      <c r="S140" s="9">
        <f t="shared" si="102"/>
        <v>3.4345556789249381E-5</v>
      </c>
      <c r="T140" s="9">
        <f t="shared" si="103"/>
        <v>3.4345556789249381E-5</v>
      </c>
      <c r="U140" s="406">
        <f t="shared" si="104"/>
        <v>0.77206158752166243</v>
      </c>
      <c r="V140" s="408">
        <f t="shared" si="105"/>
        <v>1.9074531037647027E-3</v>
      </c>
      <c r="W140" s="406">
        <f t="shared" si="106"/>
        <v>1.9074531037647027E-3</v>
      </c>
      <c r="X140" s="406">
        <f t="shared" si="107"/>
        <v>0.77206158752166243</v>
      </c>
      <c r="Y140" s="406">
        <f t="shared" si="108"/>
        <v>1.1921581898529392E-2</v>
      </c>
      <c r="Z140" s="406">
        <f t="shared" si="124"/>
        <v>1.977840962399038E-2</v>
      </c>
      <c r="AA140" s="406">
        <f t="shared" si="125"/>
        <v>4.9687500000000002E-2</v>
      </c>
      <c r="AB140" s="406">
        <f t="shared" si="126"/>
        <v>0</v>
      </c>
      <c r="AC140" s="406">
        <f t="shared" si="109"/>
        <v>8.1562515279555714E-2</v>
      </c>
      <c r="AD140" s="406">
        <f t="shared" si="110"/>
        <v>1.0663928373109768</v>
      </c>
      <c r="AE140" s="406">
        <f t="shared" si="111"/>
        <v>2.2743873669363108E-2</v>
      </c>
      <c r="AF140" s="406">
        <f t="shared" si="127"/>
        <v>5.1090000000000003E-2</v>
      </c>
      <c r="AG140" s="406">
        <f t="shared" si="112"/>
        <v>7.4103537910111983E-2</v>
      </c>
      <c r="AH140" s="406">
        <f t="shared" si="113"/>
        <v>0</v>
      </c>
      <c r="AI140">
        <f t="shared" si="128"/>
        <v>0</v>
      </c>
      <c r="AJ140" s="407">
        <f t="shared" si="129"/>
        <v>2.9947600000000001E-2</v>
      </c>
      <c r="AK140">
        <f t="shared" si="134"/>
        <v>0.03</v>
      </c>
      <c r="AL140" s="407">
        <f t="shared" si="130"/>
        <v>0.13500000000000001</v>
      </c>
      <c r="AM140" s="407">
        <f t="shared" si="135"/>
        <v>9.8855098389982105E-2</v>
      </c>
      <c r="AN140" s="407">
        <f t="shared" si="114"/>
        <v>0.16500000000000001</v>
      </c>
      <c r="AO140" s="407">
        <f t="shared" si="115"/>
        <v>0.59551442167181667</v>
      </c>
      <c r="AP140">
        <f t="shared" si="131"/>
        <v>6.681</v>
      </c>
      <c r="AQ140" s="10">
        <f t="shared" si="116"/>
        <v>0.9181593841279031</v>
      </c>
      <c r="AR140" s="63">
        <f t="shared" si="117"/>
        <v>3.6703131875800072</v>
      </c>
      <c r="AS140" s="63">
        <f t="shared" si="118"/>
        <v>2.9641415164044793</v>
      </c>
      <c r="AT140" s="10"/>
      <c r="AU140">
        <f t="shared" si="119"/>
        <v>91.815938412790317</v>
      </c>
    </row>
    <row r="141" spans="7:47" x14ac:dyDescent="0.2">
      <c r="G141">
        <v>132</v>
      </c>
      <c r="H141">
        <f t="shared" si="120"/>
        <v>1.32</v>
      </c>
      <c r="I141" s="406">
        <f t="shared" si="97"/>
        <v>0.34393359999999995</v>
      </c>
      <c r="J141" s="407">
        <f t="shared" si="121"/>
        <v>0.45399235199999999</v>
      </c>
      <c r="K141" s="407">
        <f t="shared" si="132"/>
        <v>1.5469961759999999</v>
      </c>
      <c r="L141" s="407">
        <f t="shared" si="98"/>
        <v>1.0930038240000002</v>
      </c>
      <c r="M141" s="63">
        <f t="shared" si="122"/>
        <v>0</v>
      </c>
      <c r="N141" s="406">
        <f t="shared" si="99"/>
        <v>1.3264900130191486</v>
      </c>
      <c r="O141" s="406">
        <f t="shared" si="100"/>
        <v>4.3613160683999244E-2</v>
      </c>
      <c r="P141">
        <f t="shared" si="123"/>
        <v>0.2</v>
      </c>
      <c r="Q141" s="406">
        <f t="shared" si="133"/>
        <v>0.24361316068399924</v>
      </c>
      <c r="R141" s="9">
        <f t="shared" si="101"/>
        <v>0.13105630331861567</v>
      </c>
      <c r="S141" s="9">
        <f t="shared" si="102"/>
        <v>3.435150927908199E-5</v>
      </c>
      <c r="T141" s="9">
        <f t="shared" si="103"/>
        <v>3.435150927908199E-5</v>
      </c>
      <c r="U141" s="406">
        <f t="shared" si="104"/>
        <v>0.77793137471495133</v>
      </c>
      <c r="V141" s="408">
        <f t="shared" si="105"/>
        <v>1.9365671160508609E-3</v>
      </c>
      <c r="W141" s="406">
        <f t="shared" si="106"/>
        <v>1.9365671160508609E-3</v>
      </c>
      <c r="X141" s="406">
        <f t="shared" si="107"/>
        <v>0.77793137471495133</v>
      </c>
      <c r="Y141" s="406">
        <f t="shared" si="108"/>
        <v>1.210354447531788E-2</v>
      </c>
      <c r="Z141" s="406">
        <f t="shared" si="124"/>
        <v>1.9927070103186097E-2</v>
      </c>
      <c r="AA141" s="406">
        <f t="shared" si="125"/>
        <v>4.9687500000000002E-2</v>
      </c>
      <c r="AB141" s="406">
        <f t="shared" si="126"/>
        <v>0</v>
      </c>
      <c r="AC141" s="406">
        <f t="shared" si="109"/>
        <v>8.1896537487597995E-2</v>
      </c>
      <c r="AD141" s="406">
        <f t="shared" si="110"/>
        <v>1.074429397807807</v>
      </c>
      <c r="AE141" s="406">
        <f t="shared" si="111"/>
        <v>2.3087970617472937E-2</v>
      </c>
      <c r="AF141" s="406">
        <f t="shared" si="127"/>
        <v>5.1480000000000005E-2</v>
      </c>
      <c r="AG141" s="406">
        <f t="shared" si="112"/>
        <v>7.4844451657593167E-2</v>
      </c>
      <c r="AH141" s="406">
        <f t="shared" si="113"/>
        <v>0</v>
      </c>
      <c r="AI141">
        <f t="shared" si="128"/>
        <v>0</v>
      </c>
      <c r="AJ141" s="407">
        <f t="shared" si="129"/>
        <v>2.99472E-2</v>
      </c>
      <c r="AK141">
        <f t="shared" si="134"/>
        <v>0.03</v>
      </c>
      <c r="AL141" s="407">
        <f t="shared" si="130"/>
        <v>0.13500000000000001</v>
      </c>
      <c r="AM141" s="407">
        <f t="shared" si="135"/>
        <v>9.8855098389982105E-2</v>
      </c>
      <c r="AN141" s="407">
        <f t="shared" si="114"/>
        <v>0.16500000000000001</v>
      </c>
      <c r="AO141" s="407">
        <f t="shared" si="115"/>
        <v>0.59727226845452042</v>
      </c>
      <c r="AP141">
        <f t="shared" si="131"/>
        <v>6.7320000000000002</v>
      </c>
      <c r="AQ141" s="10">
        <f t="shared" si="116"/>
        <v>0.91850865316803632</v>
      </c>
      <c r="AR141" s="63">
        <f t="shared" si="117"/>
        <v>3.6853441869419097</v>
      </c>
      <c r="AS141" s="63">
        <f t="shared" si="118"/>
        <v>2.9937780663037268</v>
      </c>
      <c r="AT141" s="10"/>
      <c r="AU141">
        <f t="shared" si="119"/>
        <v>91.850865316803635</v>
      </c>
    </row>
    <row r="142" spans="7:47" x14ac:dyDescent="0.2">
      <c r="G142">
        <v>133</v>
      </c>
      <c r="H142">
        <f t="shared" si="120"/>
        <v>1.33</v>
      </c>
      <c r="I142" s="406">
        <f t="shared" si="97"/>
        <v>0.34396339999999997</v>
      </c>
      <c r="J142" s="407">
        <f t="shared" si="121"/>
        <v>0.45403168799999999</v>
      </c>
      <c r="K142" s="407">
        <f t="shared" si="132"/>
        <v>1.5570158440000001</v>
      </c>
      <c r="L142" s="407">
        <f t="shared" si="98"/>
        <v>1.102984156</v>
      </c>
      <c r="M142" s="63">
        <f t="shared" si="122"/>
        <v>0</v>
      </c>
      <c r="N142" s="406">
        <f t="shared" si="99"/>
        <v>1.3364425655980672</v>
      </c>
      <c r="O142" s="406">
        <f t="shared" si="100"/>
        <v>4.4272394849262299E-2</v>
      </c>
      <c r="P142">
        <f t="shared" si="123"/>
        <v>0.2</v>
      </c>
      <c r="Q142" s="406">
        <f t="shared" si="133"/>
        <v>0.2442723948492623</v>
      </c>
      <c r="R142" s="9">
        <f t="shared" si="101"/>
        <v>0.13106765864371009</v>
      </c>
      <c r="S142" s="9">
        <f t="shared" si="102"/>
        <v>3.4357462284688221E-5</v>
      </c>
      <c r="T142" s="9">
        <f t="shared" si="103"/>
        <v>3.4357462284688221E-5</v>
      </c>
      <c r="U142" s="406">
        <f t="shared" si="104"/>
        <v>0.78380208792233164</v>
      </c>
      <c r="V142" s="408">
        <f t="shared" si="105"/>
        <v>1.9659062817005009E-3</v>
      </c>
      <c r="W142" s="406">
        <f t="shared" si="106"/>
        <v>1.9659062817005009E-3</v>
      </c>
      <c r="X142" s="406">
        <f t="shared" si="107"/>
        <v>0.78380208792233164</v>
      </c>
      <c r="Y142" s="406">
        <f t="shared" si="108"/>
        <v>1.228691426062813E-2</v>
      </c>
      <c r="Z142" s="406">
        <f t="shared" si="124"/>
        <v>2.0075730582381809E-2</v>
      </c>
      <c r="AA142" s="406">
        <f t="shared" si="125"/>
        <v>4.9687500000000002E-2</v>
      </c>
      <c r="AB142" s="406">
        <f t="shared" si="126"/>
        <v>0</v>
      </c>
      <c r="AC142" s="406">
        <f t="shared" si="109"/>
        <v>8.2232012827405998E-2</v>
      </c>
      <c r="AD142" s="406">
        <f t="shared" si="110"/>
        <v>1.0824661741185899</v>
      </c>
      <c r="AE142" s="406">
        <f t="shared" si="111"/>
        <v>2.3434660362218748E-2</v>
      </c>
      <c r="AF142" s="406">
        <f t="shared" si="127"/>
        <v>5.1869999999999999E-2</v>
      </c>
      <c r="AG142" s="406">
        <f t="shared" si="112"/>
        <v>7.5588081324341583E-2</v>
      </c>
      <c r="AH142" s="406">
        <f t="shared" si="113"/>
        <v>0</v>
      </c>
      <c r="AI142">
        <f t="shared" si="128"/>
        <v>0</v>
      </c>
      <c r="AJ142" s="407">
        <f t="shared" si="129"/>
        <v>2.9946799999999999E-2</v>
      </c>
      <c r="AK142">
        <f t="shared" si="134"/>
        <v>0.03</v>
      </c>
      <c r="AL142" s="407">
        <f t="shared" si="130"/>
        <v>0.13500000000000001</v>
      </c>
      <c r="AM142" s="407">
        <f t="shared" si="135"/>
        <v>9.8855098389982105E-2</v>
      </c>
      <c r="AN142" s="407">
        <f t="shared" si="114"/>
        <v>0.16500000000000001</v>
      </c>
      <c r="AO142" s="407">
        <f t="shared" si="115"/>
        <v>0.5990395527449951</v>
      </c>
      <c r="AP142">
        <f t="shared" si="131"/>
        <v>6.7829999999999995</v>
      </c>
      <c r="AQ142" s="10">
        <f t="shared" si="116"/>
        <v>0.91885175520060125</v>
      </c>
      <c r="AR142" s="63">
        <f t="shared" si="117"/>
        <v>3.70044057723327</v>
      </c>
      <c r="AS142" s="63">
        <f t="shared" si="118"/>
        <v>3.0235232529736633</v>
      </c>
      <c r="AT142" s="10"/>
      <c r="AU142">
        <f t="shared" si="119"/>
        <v>91.88517552006013</v>
      </c>
    </row>
    <row r="143" spans="7:47" x14ac:dyDescent="0.2">
      <c r="G143">
        <v>134</v>
      </c>
      <c r="H143">
        <f t="shared" si="120"/>
        <v>1.34</v>
      </c>
      <c r="I143" s="406">
        <f t="shared" si="97"/>
        <v>0.34399319999999994</v>
      </c>
      <c r="J143" s="407">
        <f t="shared" si="121"/>
        <v>0.45407102399999993</v>
      </c>
      <c r="K143" s="407">
        <f t="shared" si="132"/>
        <v>1.5670355120000001</v>
      </c>
      <c r="L143" s="407">
        <f t="shared" si="98"/>
        <v>1.112964488</v>
      </c>
      <c r="M143" s="63">
        <f t="shared" si="122"/>
        <v>0</v>
      </c>
      <c r="N143" s="406">
        <f t="shared" si="99"/>
        <v>1.3463958214072986</v>
      </c>
      <c r="O143" s="406">
        <f t="shared" si="100"/>
        <v>4.493667389698295E-2</v>
      </c>
      <c r="P143">
        <f t="shared" si="123"/>
        <v>0.2</v>
      </c>
      <c r="Q143" s="406">
        <f t="shared" si="133"/>
        <v>0.24493667389698295</v>
      </c>
      <c r="R143" s="9">
        <f t="shared" si="101"/>
        <v>0.1310790139688045</v>
      </c>
      <c r="S143" s="9">
        <f t="shared" si="102"/>
        <v>3.4363415806068094E-5</v>
      </c>
      <c r="T143" s="9">
        <f t="shared" si="103"/>
        <v>3.4363415806068094E-5</v>
      </c>
      <c r="U143" s="406">
        <f t="shared" si="104"/>
        <v>0.78967371781200235</v>
      </c>
      <c r="V143" s="408">
        <f t="shared" si="105"/>
        <v>1.9954706579296956E-3</v>
      </c>
      <c r="W143" s="406">
        <f t="shared" si="106"/>
        <v>1.9954706579296956E-3</v>
      </c>
      <c r="X143" s="406">
        <f t="shared" si="107"/>
        <v>0.78967371781200235</v>
      </c>
      <c r="Y143" s="406">
        <f t="shared" si="108"/>
        <v>1.2471691612060598E-2</v>
      </c>
      <c r="Z143" s="406">
        <f t="shared" si="124"/>
        <v>2.0224391061577519E-2</v>
      </c>
      <c r="AA143" s="406">
        <f t="shared" si="125"/>
        <v>4.9687500000000002E-2</v>
      </c>
      <c r="AB143" s="406">
        <f t="shared" si="126"/>
        <v>0</v>
      </c>
      <c r="AC143" s="406">
        <f t="shared" si="109"/>
        <v>8.2568942062422726E-2</v>
      </c>
      <c r="AD143" s="406">
        <f t="shared" si="110"/>
        <v>1.0905031532737557</v>
      </c>
      <c r="AE143" s="406">
        <f t="shared" si="111"/>
        <v>2.3783942546000088E-2</v>
      </c>
      <c r="AF143" s="406">
        <f t="shared" si="127"/>
        <v>5.2260000000000001E-2</v>
      </c>
      <c r="AG143" s="406">
        <f t="shared" si="112"/>
        <v>7.6334427929705989E-2</v>
      </c>
      <c r="AH143" s="406">
        <f t="shared" si="113"/>
        <v>0</v>
      </c>
      <c r="AI143">
        <f t="shared" si="128"/>
        <v>0</v>
      </c>
      <c r="AJ143" s="407">
        <f t="shared" si="129"/>
        <v>2.9946400000000001E-2</v>
      </c>
      <c r="AK143">
        <f t="shared" si="134"/>
        <v>0.03</v>
      </c>
      <c r="AL143" s="407">
        <f t="shared" si="130"/>
        <v>0.13500000000000001</v>
      </c>
      <c r="AM143" s="407">
        <f t="shared" si="135"/>
        <v>9.8855098389982105E-2</v>
      </c>
      <c r="AN143" s="407">
        <f t="shared" si="114"/>
        <v>0.16500000000000001</v>
      </c>
      <c r="AO143" s="407">
        <f t="shared" si="115"/>
        <v>0.60081627796284742</v>
      </c>
      <c r="AP143">
        <f t="shared" si="131"/>
        <v>6.8339999999999996</v>
      </c>
      <c r="AQ143" s="10">
        <f t="shared" si="116"/>
        <v>0.91918881980396805</v>
      </c>
      <c r="AR143" s="63">
        <f t="shared" si="117"/>
        <v>3.7156023928090227</v>
      </c>
      <c r="AS143" s="63">
        <f t="shared" si="118"/>
        <v>3.0533771171882398</v>
      </c>
      <c r="AT143" s="10"/>
      <c r="AU143">
        <f t="shared" si="119"/>
        <v>91.918881980396804</v>
      </c>
    </row>
    <row r="144" spans="7:47" x14ac:dyDescent="0.2">
      <c r="G144">
        <v>135</v>
      </c>
      <c r="H144">
        <f t="shared" si="120"/>
        <v>1.35</v>
      </c>
      <c r="I144" s="406">
        <f t="shared" si="97"/>
        <v>0.34402299999999997</v>
      </c>
      <c r="J144" s="407">
        <f t="shared" si="121"/>
        <v>0.45411035999999994</v>
      </c>
      <c r="K144" s="407">
        <f t="shared" si="132"/>
        <v>1.5770551800000001</v>
      </c>
      <c r="L144" s="407">
        <f t="shared" si="98"/>
        <v>1.1229448200000001</v>
      </c>
      <c r="M144" s="63">
        <f t="shared" si="122"/>
        <v>0</v>
      </c>
      <c r="N144" s="406">
        <f t="shared" si="99"/>
        <v>1.3563497649653689</v>
      </c>
      <c r="O144" s="406">
        <f t="shared" si="100"/>
        <v>4.5605999419099395E-2</v>
      </c>
      <c r="P144">
        <f t="shared" si="123"/>
        <v>0.2</v>
      </c>
      <c r="Q144" s="406">
        <f t="shared" si="133"/>
        <v>0.24560599941909941</v>
      </c>
      <c r="R144" s="9">
        <f t="shared" si="101"/>
        <v>0.13109036929389892</v>
      </c>
      <c r="S144" s="9">
        <f t="shared" si="102"/>
        <v>3.4369369843221596E-5</v>
      </c>
      <c r="T144" s="9">
        <f t="shared" si="103"/>
        <v>3.4369369843221596E-5</v>
      </c>
      <c r="U144" s="406">
        <f t="shared" si="104"/>
        <v>0.79554625532447043</v>
      </c>
      <c r="V144" s="408">
        <f t="shared" si="105"/>
        <v>2.0252603019545201E-3</v>
      </c>
      <c r="W144" s="406">
        <f t="shared" si="106"/>
        <v>2.0252603019545201E-3</v>
      </c>
      <c r="X144" s="406">
        <f t="shared" si="107"/>
        <v>0.79554625532447043</v>
      </c>
      <c r="Y144" s="406">
        <f t="shared" si="108"/>
        <v>1.2657876887215751E-2</v>
      </c>
      <c r="Z144" s="406">
        <f t="shared" si="124"/>
        <v>2.0373051540773235E-2</v>
      </c>
      <c r="AA144" s="406">
        <f t="shared" si="125"/>
        <v>4.9687500000000002E-2</v>
      </c>
      <c r="AB144" s="406">
        <f t="shared" si="126"/>
        <v>0</v>
      </c>
      <c r="AC144" s="406">
        <f t="shared" si="109"/>
        <v>8.2907325958494552E-2</v>
      </c>
      <c r="AD144" s="406">
        <f t="shared" si="110"/>
        <v>1.0985403226831612</v>
      </c>
      <c r="AE144" s="406">
        <f t="shared" si="111"/>
        <v>2.4135816811216477E-2</v>
      </c>
      <c r="AF144" s="406">
        <f t="shared" si="127"/>
        <v>5.2650000000000002E-2</v>
      </c>
      <c r="AG144" s="406">
        <f t="shared" si="112"/>
        <v>7.7083492499879822E-2</v>
      </c>
      <c r="AH144" s="406">
        <f t="shared" si="113"/>
        <v>0</v>
      </c>
      <c r="AI144">
        <f t="shared" si="128"/>
        <v>0</v>
      </c>
      <c r="AJ144" s="407">
        <f t="shared" si="129"/>
        <v>2.9946E-2</v>
      </c>
      <c r="AK144">
        <f t="shared" si="134"/>
        <v>0.03</v>
      </c>
      <c r="AL144" s="407">
        <f t="shared" si="130"/>
        <v>0.13500000000000001</v>
      </c>
      <c r="AM144" s="407">
        <f t="shared" si="135"/>
        <v>9.8855098389982105E-2</v>
      </c>
      <c r="AN144" s="407">
        <f t="shared" si="114"/>
        <v>0.16500000000000001</v>
      </c>
      <c r="AO144" s="407">
        <f t="shared" si="115"/>
        <v>0.6026024475492715</v>
      </c>
      <c r="AP144">
        <f t="shared" si="131"/>
        <v>6.8849999999999998</v>
      </c>
      <c r="AQ144" s="10">
        <f t="shared" si="116"/>
        <v>0.91951997294587851</v>
      </c>
      <c r="AR144" s="63">
        <f t="shared" si="117"/>
        <v>3.7308296681322548</v>
      </c>
      <c r="AS144" s="63">
        <f t="shared" si="118"/>
        <v>3.083339699995193</v>
      </c>
      <c r="AT144" s="10"/>
      <c r="AU144">
        <f t="shared" si="119"/>
        <v>91.951997294587855</v>
      </c>
    </row>
    <row r="145" spans="7:47" x14ac:dyDescent="0.2">
      <c r="G145">
        <v>136</v>
      </c>
      <c r="H145">
        <f t="shared" si="120"/>
        <v>1.36</v>
      </c>
      <c r="I145" s="406">
        <f t="shared" si="97"/>
        <v>0.34405279999999994</v>
      </c>
      <c r="J145" s="407">
        <f t="shared" si="121"/>
        <v>0.45414969599999994</v>
      </c>
      <c r="K145" s="407">
        <f t="shared" si="132"/>
        <v>1.5870748480000001</v>
      </c>
      <c r="L145" s="407">
        <f t="shared" si="98"/>
        <v>1.1329251520000001</v>
      </c>
      <c r="M145" s="63">
        <f t="shared" si="122"/>
        <v>0</v>
      </c>
      <c r="N145" s="406">
        <f t="shared" si="99"/>
        <v>1.3663043812408986</v>
      </c>
      <c r="O145" s="406">
        <f t="shared" si="100"/>
        <v>4.6280373019898853E-2</v>
      </c>
      <c r="P145">
        <f t="shared" si="123"/>
        <v>0.2</v>
      </c>
      <c r="Q145" s="406">
        <f t="shared" si="133"/>
        <v>0.24628037301989886</v>
      </c>
      <c r="R145" s="9">
        <f t="shared" si="101"/>
        <v>0.13110172461899333</v>
      </c>
      <c r="S145" s="9">
        <f t="shared" si="102"/>
        <v>3.4375324396148726E-5</v>
      </c>
      <c r="T145" s="9">
        <f t="shared" si="103"/>
        <v>3.4375324396148726E-5</v>
      </c>
      <c r="U145" s="406">
        <f t="shared" si="104"/>
        <v>0.8014196916626779</v>
      </c>
      <c r="V145" s="408">
        <f t="shared" si="105"/>
        <v>2.0552752709910456E-3</v>
      </c>
      <c r="W145" s="406">
        <f t="shared" si="106"/>
        <v>2.0552752709910456E-3</v>
      </c>
      <c r="X145" s="406">
        <f t="shared" si="107"/>
        <v>0.8014196916626779</v>
      </c>
      <c r="Y145" s="406">
        <f t="shared" si="108"/>
        <v>1.2845470443694034E-2</v>
      </c>
      <c r="Z145" s="406">
        <f t="shared" si="124"/>
        <v>2.0521712019968951E-2</v>
      </c>
      <c r="AA145" s="406">
        <f t="shared" si="125"/>
        <v>4.9687500000000002E-2</v>
      </c>
      <c r="AB145" s="406">
        <f t="shared" si="126"/>
        <v>0</v>
      </c>
      <c r="AC145" s="406">
        <f t="shared" si="109"/>
        <v>8.3247165283874547E-2</v>
      </c>
      <c r="AD145" s="406">
        <f t="shared" si="110"/>
        <v>1.106577670122334</v>
      </c>
      <c r="AE145" s="406">
        <f t="shared" si="111"/>
        <v>2.4490282800267462E-2</v>
      </c>
      <c r="AF145" s="406">
        <f t="shared" si="127"/>
        <v>5.3040000000000004E-2</v>
      </c>
      <c r="AG145" s="406">
        <f t="shared" si="112"/>
        <v>7.7835276067905856E-2</v>
      </c>
      <c r="AH145" s="406">
        <f t="shared" si="113"/>
        <v>0</v>
      </c>
      <c r="AI145">
        <f t="shared" si="128"/>
        <v>0</v>
      </c>
      <c r="AJ145" s="407">
        <f t="shared" si="129"/>
        <v>2.9945599999999999E-2</v>
      </c>
      <c r="AK145">
        <f t="shared" si="134"/>
        <v>0.03</v>
      </c>
      <c r="AL145" s="407">
        <f t="shared" si="130"/>
        <v>0.13500000000000001</v>
      </c>
      <c r="AM145" s="407">
        <f t="shared" si="135"/>
        <v>9.8855098389982105E-2</v>
      </c>
      <c r="AN145" s="407">
        <f t="shared" si="114"/>
        <v>0.16500000000000001</v>
      </c>
      <c r="AO145" s="407">
        <f t="shared" si="115"/>
        <v>0.6043980649670665</v>
      </c>
      <c r="AP145">
        <f t="shared" si="131"/>
        <v>6.9359999999999999</v>
      </c>
      <c r="AQ145" s="10">
        <f t="shared" si="116"/>
        <v>0.91984533710824645</v>
      </c>
      <c r="AR145" s="63">
        <f t="shared" si="117"/>
        <v>3.7461224377743547</v>
      </c>
      <c r="AS145" s="63">
        <f t="shared" si="118"/>
        <v>3.1134110427162343</v>
      </c>
      <c r="AT145" s="10"/>
      <c r="AU145">
        <f t="shared" si="119"/>
        <v>91.98453371082465</v>
      </c>
    </row>
    <row r="146" spans="7:47" x14ac:dyDescent="0.2">
      <c r="G146">
        <v>137</v>
      </c>
      <c r="H146">
        <f t="shared" si="120"/>
        <v>1.37</v>
      </c>
      <c r="I146" s="406">
        <f t="shared" si="97"/>
        <v>0.34408260000000002</v>
      </c>
      <c r="J146" s="407">
        <f t="shared" si="121"/>
        <v>0.45418903200000005</v>
      </c>
      <c r="K146" s="407">
        <f t="shared" si="132"/>
        <v>1.5970945160000001</v>
      </c>
      <c r="L146" s="407">
        <f t="shared" si="98"/>
        <v>1.1429054840000001</v>
      </c>
      <c r="M146" s="63">
        <f t="shared" si="122"/>
        <v>0</v>
      </c>
      <c r="N146" s="406">
        <f t="shared" si="99"/>
        <v>1.3762596556364011</v>
      </c>
      <c r="O146" s="406">
        <f t="shared" si="100"/>
        <v>4.6959796316027258E-2</v>
      </c>
      <c r="P146">
        <f t="shared" si="123"/>
        <v>0.2</v>
      </c>
      <c r="Q146" s="406">
        <f t="shared" si="133"/>
        <v>0.24695979631602727</v>
      </c>
      <c r="R146" s="9">
        <f t="shared" si="101"/>
        <v>0.1311130799440878</v>
      </c>
      <c r="S146" s="9">
        <f t="shared" si="102"/>
        <v>3.4381279464849525E-5</v>
      </c>
      <c r="T146" s="9">
        <f t="shared" si="103"/>
        <v>3.4381279464849525E-5</v>
      </c>
      <c r="U146" s="406">
        <f t="shared" si="104"/>
        <v>0.8072940182825562</v>
      </c>
      <c r="V146" s="408">
        <f t="shared" si="105"/>
        <v>2.085515622255348E-3</v>
      </c>
      <c r="W146" s="406">
        <f t="shared" si="106"/>
        <v>2.085515622255348E-3</v>
      </c>
      <c r="X146" s="406">
        <f t="shared" si="107"/>
        <v>0.8072940182825562</v>
      </c>
      <c r="Y146" s="406">
        <f t="shared" si="108"/>
        <v>1.3034472639095924E-2</v>
      </c>
      <c r="Z146" s="406">
        <f t="shared" si="124"/>
        <v>2.067037249916466E-2</v>
      </c>
      <c r="AA146" s="406">
        <f t="shared" si="125"/>
        <v>4.9687500000000002E-2</v>
      </c>
      <c r="AB146" s="406">
        <f t="shared" si="126"/>
        <v>0</v>
      </c>
      <c r="AC146" s="406">
        <f t="shared" si="109"/>
        <v>8.3588460809225745E-2</v>
      </c>
      <c r="AD146" s="406">
        <f t="shared" si="110"/>
        <v>1.114615183719309</v>
      </c>
      <c r="AE146" s="406">
        <f t="shared" si="111"/>
        <v>2.484734015555258E-2</v>
      </c>
      <c r="AF146" s="406">
        <f t="shared" si="127"/>
        <v>5.3430000000000005E-2</v>
      </c>
      <c r="AG146" s="406">
        <f t="shared" si="112"/>
        <v>7.8589779673680887E-2</v>
      </c>
      <c r="AH146" s="406">
        <f t="shared" si="113"/>
        <v>0</v>
      </c>
      <c r="AI146">
        <f t="shared" si="128"/>
        <v>0</v>
      </c>
      <c r="AJ146" s="407">
        <f t="shared" si="129"/>
        <v>2.9945200000000002E-2</v>
      </c>
      <c r="AK146">
        <f t="shared" si="134"/>
        <v>0.03</v>
      </c>
      <c r="AL146" s="407">
        <f t="shared" si="130"/>
        <v>0.13500000000000001</v>
      </c>
      <c r="AM146" s="407">
        <f t="shared" si="135"/>
        <v>9.8855098389982105E-2</v>
      </c>
      <c r="AN146" s="407">
        <f t="shared" si="114"/>
        <v>0.16500000000000001</v>
      </c>
      <c r="AO146" s="407">
        <f t="shared" si="115"/>
        <v>0.60620313370065415</v>
      </c>
      <c r="AP146">
        <f t="shared" si="131"/>
        <v>6.9870000000000001</v>
      </c>
      <c r="AQ146" s="10">
        <f t="shared" si="116"/>
        <v>0.92016503140681649</v>
      </c>
      <c r="AR146" s="63">
        <f t="shared" si="117"/>
        <v>3.7614807364151583</v>
      </c>
      <c r="AS146" s="63">
        <f t="shared" si="118"/>
        <v>3.1435911869472353</v>
      </c>
      <c r="AT146" s="10"/>
      <c r="AU146">
        <f t="shared" si="119"/>
        <v>92.01650314068165</v>
      </c>
    </row>
    <row r="147" spans="7:47" x14ac:dyDescent="0.2">
      <c r="G147">
        <v>138</v>
      </c>
      <c r="H147">
        <f t="shared" si="120"/>
        <v>1.38</v>
      </c>
      <c r="I147" s="406">
        <f t="shared" si="97"/>
        <v>0.34411239999999998</v>
      </c>
      <c r="J147" s="407">
        <f t="shared" si="121"/>
        <v>0.45422836799999999</v>
      </c>
      <c r="K147" s="407">
        <f t="shared" si="132"/>
        <v>1.6071141839999998</v>
      </c>
      <c r="L147" s="407">
        <f t="shared" si="98"/>
        <v>1.152885816</v>
      </c>
      <c r="M147" s="63">
        <f t="shared" si="122"/>
        <v>0</v>
      </c>
      <c r="N147" s="406">
        <f t="shared" si="99"/>
        <v>1.386215573972772</v>
      </c>
      <c r="O147" s="406">
        <f t="shared" si="100"/>
        <v>4.7644270936498888E-2</v>
      </c>
      <c r="P147">
        <f t="shared" si="123"/>
        <v>0.2</v>
      </c>
      <c r="Q147" s="406">
        <f t="shared" si="133"/>
        <v>0.24764427093649891</v>
      </c>
      <c r="R147" s="9">
        <f t="shared" si="101"/>
        <v>0.13112443526918222</v>
      </c>
      <c r="S147" s="9">
        <f t="shared" si="102"/>
        <v>3.4387235049323919E-5</v>
      </c>
      <c r="T147" s="9">
        <f t="shared" si="103"/>
        <v>3.4387235049323919E-5</v>
      </c>
      <c r="U147" s="406">
        <f t="shared" si="104"/>
        <v>0.81316922688398219</v>
      </c>
      <c r="V147" s="408">
        <f t="shared" si="105"/>
        <v>2.1159814129634988E-3</v>
      </c>
      <c r="W147" s="406">
        <f t="shared" si="106"/>
        <v>2.1159814129634988E-3</v>
      </c>
      <c r="X147" s="406">
        <f t="shared" si="107"/>
        <v>0.81316922688398219</v>
      </c>
      <c r="Y147" s="406">
        <f t="shared" si="108"/>
        <v>1.3224883831021866E-2</v>
      </c>
      <c r="Z147" s="406">
        <f t="shared" si="124"/>
        <v>2.081903297836037E-2</v>
      </c>
      <c r="AA147" s="406">
        <f t="shared" si="125"/>
        <v>4.9687500000000002E-2</v>
      </c>
      <c r="AB147" s="406">
        <f t="shared" si="126"/>
        <v>0</v>
      </c>
      <c r="AC147" s="406">
        <f t="shared" si="109"/>
        <v>8.3931213307624458E-2</v>
      </c>
      <c r="AD147" s="406">
        <f t="shared" si="110"/>
        <v>1.1226528519420276</v>
      </c>
      <c r="AE147" s="406">
        <f t="shared" si="111"/>
        <v>2.5206988519471365E-2</v>
      </c>
      <c r="AF147" s="406">
        <f t="shared" si="127"/>
        <v>5.3819999999999993E-2</v>
      </c>
      <c r="AG147" s="406">
        <f t="shared" si="112"/>
        <v>7.9347004363960458E-2</v>
      </c>
      <c r="AH147" s="406">
        <f t="shared" si="113"/>
        <v>0</v>
      </c>
      <c r="AI147">
        <f t="shared" si="128"/>
        <v>0</v>
      </c>
      <c r="AJ147" s="407">
        <f t="shared" si="129"/>
        <v>2.9944800000000001E-2</v>
      </c>
      <c r="AK147">
        <f t="shared" si="134"/>
        <v>0.03</v>
      </c>
      <c r="AL147" s="407">
        <f t="shared" si="130"/>
        <v>0.13500000000000001</v>
      </c>
      <c r="AM147" s="407">
        <f t="shared" si="135"/>
        <v>9.8855098389982105E-2</v>
      </c>
      <c r="AN147" s="407">
        <f t="shared" si="114"/>
        <v>0.16500000000000001</v>
      </c>
      <c r="AO147" s="407">
        <f t="shared" si="115"/>
        <v>0.60801765725609669</v>
      </c>
      <c r="AP147">
        <f t="shared" si="131"/>
        <v>7.0379999999999994</v>
      </c>
      <c r="AQ147" s="10">
        <f t="shared" si="116"/>
        <v>0.92047917170592897</v>
      </c>
      <c r="AR147" s="63">
        <f t="shared" si="117"/>
        <v>3.7769045988431005</v>
      </c>
      <c r="AS147" s="63">
        <f t="shared" si="118"/>
        <v>3.1738801745584184</v>
      </c>
      <c r="AT147" s="10"/>
      <c r="AU147">
        <f t="shared" si="119"/>
        <v>92.047917170592896</v>
      </c>
    </row>
    <row r="148" spans="7:47" x14ac:dyDescent="0.2">
      <c r="G148">
        <v>139</v>
      </c>
      <c r="H148">
        <f t="shared" si="120"/>
        <v>1.39</v>
      </c>
      <c r="I148" s="406">
        <f t="shared" si="97"/>
        <v>0.34414220000000001</v>
      </c>
      <c r="J148" s="407">
        <f t="shared" si="121"/>
        <v>0.45426770400000005</v>
      </c>
      <c r="K148" s="407">
        <f t="shared" si="132"/>
        <v>1.6171338519999998</v>
      </c>
      <c r="L148" s="407">
        <f t="shared" si="98"/>
        <v>1.162866148</v>
      </c>
      <c r="M148" s="63">
        <f t="shared" si="122"/>
        <v>0</v>
      </c>
      <c r="N148" s="406">
        <f t="shared" si="99"/>
        <v>1.396172122474441</v>
      </c>
      <c r="O148" s="406">
        <f t="shared" si="100"/>
        <v>4.8333798522706341E-2</v>
      </c>
      <c r="P148">
        <f t="shared" si="123"/>
        <v>0.2</v>
      </c>
      <c r="Q148" s="406">
        <f t="shared" si="133"/>
        <v>0.24833379852270634</v>
      </c>
      <c r="R148" s="9">
        <f t="shared" si="101"/>
        <v>0.13113579059427663</v>
      </c>
      <c r="S148" s="9">
        <f t="shared" si="102"/>
        <v>3.4393191149571941E-5</v>
      </c>
      <c r="T148" s="9">
        <f t="shared" si="103"/>
        <v>3.4393191149571941E-5</v>
      </c>
      <c r="U148" s="406">
        <f t="shared" si="104"/>
        <v>0.81904530940212161</v>
      </c>
      <c r="V148" s="408">
        <f t="shared" si="105"/>
        <v>2.1466727003315749E-3</v>
      </c>
      <c r="W148" s="406">
        <f t="shared" si="106"/>
        <v>2.1466727003315749E-3</v>
      </c>
      <c r="X148" s="406">
        <f t="shared" si="107"/>
        <v>0.81904530940212161</v>
      </c>
      <c r="Y148" s="406">
        <f t="shared" si="108"/>
        <v>1.3416704377072342E-2</v>
      </c>
      <c r="Z148" s="406">
        <f t="shared" si="124"/>
        <v>2.0967693457556089E-2</v>
      </c>
      <c r="AA148" s="406">
        <f t="shared" si="125"/>
        <v>4.9687500000000002E-2</v>
      </c>
      <c r="AB148" s="406">
        <f t="shared" si="126"/>
        <v>0</v>
      </c>
      <c r="AC148" s="406">
        <f t="shared" si="109"/>
        <v>8.4275423554563578E-2</v>
      </c>
      <c r="AD148" s="406">
        <f t="shared" si="110"/>
        <v>1.1306906635862739</v>
      </c>
      <c r="AE148" s="406">
        <f t="shared" si="111"/>
        <v>2.5569227534423367E-2</v>
      </c>
      <c r="AF148" s="406">
        <f t="shared" si="127"/>
        <v>5.4209999999999994E-2</v>
      </c>
      <c r="AG148" s="406">
        <f t="shared" si="112"/>
        <v>8.0106951192363607E-2</v>
      </c>
      <c r="AH148" s="406">
        <f t="shared" si="113"/>
        <v>0</v>
      </c>
      <c r="AI148">
        <f t="shared" si="128"/>
        <v>0</v>
      </c>
      <c r="AJ148" s="407">
        <f t="shared" si="129"/>
        <v>2.9944400000000003E-2</v>
      </c>
      <c r="AK148">
        <f t="shared" si="134"/>
        <v>0.03</v>
      </c>
      <c r="AL148" s="407">
        <f t="shared" si="130"/>
        <v>0.13500000000000001</v>
      </c>
      <c r="AM148" s="407">
        <f t="shared" si="135"/>
        <v>9.8855098389982105E-2</v>
      </c>
      <c r="AN148" s="407">
        <f t="shared" si="114"/>
        <v>0.16500000000000001</v>
      </c>
      <c r="AO148" s="407">
        <f t="shared" si="115"/>
        <v>0.60984163916111467</v>
      </c>
      <c r="AP148">
        <f t="shared" si="131"/>
        <v>7.0889999999999986</v>
      </c>
      <c r="AQ148" s="10">
        <f t="shared" si="116"/>
        <v>0.92078787072861978</v>
      </c>
      <c r="AR148" s="63">
        <f t="shared" si="117"/>
        <v>3.7923940599553609</v>
      </c>
      <c r="AS148" s="63">
        <f t="shared" si="118"/>
        <v>3.2042780476945443</v>
      </c>
      <c r="AT148" s="10"/>
      <c r="AU148">
        <f t="shared" si="119"/>
        <v>92.078787072861985</v>
      </c>
    </row>
    <row r="149" spans="7:47" x14ac:dyDescent="0.2">
      <c r="G149">
        <v>140</v>
      </c>
      <c r="H149">
        <f t="shared" si="120"/>
        <v>1.4</v>
      </c>
      <c r="I149" s="406">
        <f t="shared" si="97"/>
        <v>0.34417199999999998</v>
      </c>
      <c r="J149" s="407">
        <f t="shared" si="121"/>
        <v>0.45430704</v>
      </c>
      <c r="K149" s="407">
        <f t="shared" si="132"/>
        <v>1.6271535199999998</v>
      </c>
      <c r="L149" s="407">
        <f t="shared" si="98"/>
        <v>1.17284648</v>
      </c>
      <c r="M149" s="63">
        <f t="shared" si="122"/>
        <v>0</v>
      </c>
      <c r="N149" s="406">
        <f t="shared" si="99"/>
        <v>1.4061292877551468</v>
      </c>
      <c r="O149" s="406">
        <f t="shared" si="100"/>
        <v>4.9028380728430278E-2</v>
      </c>
      <c r="P149">
        <f t="shared" si="123"/>
        <v>0.2</v>
      </c>
      <c r="Q149" s="406">
        <f t="shared" si="133"/>
        <v>0.24902838072843028</v>
      </c>
      <c r="R149" s="9">
        <f t="shared" si="101"/>
        <v>0.13114714591937104</v>
      </c>
      <c r="S149" s="9">
        <f t="shared" si="102"/>
        <v>3.4399147765593598E-5</v>
      </c>
      <c r="T149" s="9">
        <f t="shared" si="103"/>
        <v>3.4399147765593598E-5</v>
      </c>
      <c r="U149" s="406">
        <f t="shared" si="104"/>
        <v>0.82492225799913399</v>
      </c>
      <c r="V149" s="408">
        <f t="shared" si="105"/>
        <v>2.1775895415756473E-3</v>
      </c>
      <c r="W149" s="406">
        <f t="shared" si="106"/>
        <v>2.1775895415756473E-3</v>
      </c>
      <c r="X149" s="406">
        <f t="shared" si="107"/>
        <v>0.82492225799913399</v>
      </c>
      <c r="Y149" s="406">
        <f t="shared" si="108"/>
        <v>1.3609934634847796E-2</v>
      </c>
      <c r="Z149" s="406">
        <f t="shared" si="124"/>
        <v>2.1116353936751802E-2</v>
      </c>
      <c r="AA149" s="406">
        <f t="shared" si="125"/>
        <v>4.9687500000000002E-2</v>
      </c>
      <c r="AB149" s="406">
        <f t="shared" si="126"/>
        <v>0</v>
      </c>
      <c r="AC149" s="406">
        <f t="shared" si="109"/>
        <v>8.4621092327955907E-2</v>
      </c>
      <c r="AD149" s="406">
        <f t="shared" si="110"/>
        <v>1.1387286077641181</v>
      </c>
      <c r="AE149" s="406">
        <f t="shared" si="111"/>
        <v>2.5934056842808136E-2</v>
      </c>
      <c r="AF149" s="406">
        <f t="shared" si="127"/>
        <v>5.4599999999999996E-2</v>
      </c>
      <c r="AG149" s="406">
        <f t="shared" si="112"/>
        <v>8.0869621219377685E-2</v>
      </c>
      <c r="AH149" s="406">
        <f t="shared" si="113"/>
        <v>0</v>
      </c>
      <c r="AI149">
        <f t="shared" si="128"/>
        <v>0</v>
      </c>
      <c r="AJ149" s="407">
        <f t="shared" si="129"/>
        <v>2.9943999999999998E-2</v>
      </c>
      <c r="AK149">
        <f t="shared" si="134"/>
        <v>0.03</v>
      </c>
      <c r="AL149" s="407">
        <f t="shared" si="130"/>
        <v>0.13500000000000001</v>
      </c>
      <c r="AM149" s="407">
        <f t="shared" si="135"/>
        <v>9.8855098389982105E-2</v>
      </c>
      <c r="AN149" s="407">
        <f t="shared" si="114"/>
        <v>0.16500000000000001</v>
      </c>
      <c r="AO149" s="407">
        <f t="shared" si="115"/>
        <v>0.61167508296510509</v>
      </c>
      <c r="AP149">
        <f t="shared" si="131"/>
        <v>7.1399999999999988</v>
      </c>
      <c r="AQ149" s="10">
        <f t="shared" si="116"/>
        <v>0.921091238162277</v>
      </c>
      <c r="AR149" s="63">
        <f t="shared" si="117"/>
        <v>3.807949154758016</v>
      </c>
      <c r="AS149" s="63">
        <f t="shared" si="118"/>
        <v>3.2347848487751074</v>
      </c>
      <c r="AT149" s="10"/>
      <c r="AU149">
        <f t="shared" si="119"/>
        <v>92.109123816227694</v>
      </c>
    </row>
    <row r="150" spans="7:47" x14ac:dyDescent="0.2">
      <c r="G150">
        <v>141</v>
      </c>
      <c r="H150">
        <f t="shared" si="120"/>
        <v>1.41</v>
      </c>
      <c r="I150" s="406">
        <f t="shared" si="97"/>
        <v>0.34420179999999995</v>
      </c>
      <c r="J150" s="407">
        <f t="shared" si="121"/>
        <v>0.45434637599999994</v>
      </c>
      <c r="K150" s="407">
        <f t="shared" si="132"/>
        <v>1.6371731879999998</v>
      </c>
      <c r="L150" s="407">
        <f t="shared" si="98"/>
        <v>1.1828268120000001</v>
      </c>
      <c r="M150" s="63">
        <f t="shared" si="122"/>
        <v>0</v>
      </c>
      <c r="N150" s="406">
        <f t="shared" si="99"/>
        <v>1.4160870568043105</v>
      </c>
      <c r="O150" s="406">
        <f t="shared" si="100"/>
        <v>4.9728019219849436E-2</v>
      </c>
      <c r="P150">
        <f t="shared" si="123"/>
        <v>0.2</v>
      </c>
      <c r="Q150" s="406">
        <f t="shared" si="133"/>
        <v>0.24972801921984944</v>
      </c>
      <c r="R150" s="9">
        <f t="shared" si="101"/>
        <v>0.13115850124446546</v>
      </c>
      <c r="S150" s="9">
        <f t="shared" si="102"/>
        <v>3.4405104897388891E-5</v>
      </c>
      <c r="T150" s="9">
        <f t="shared" si="103"/>
        <v>3.4405104897388891E-5</v>
      </c>
      <c r="U150" s="406">
        <f t="shared" si="104"/>
        <v>0.83080006505622939</v>
      </c>
      <c r="V150" s="408">
        <f t="shared" si="105"/>
        <v>2.2087319939117921E-3</v>
      </c>
      <c r="W150" s="406">
        <f t="shared" si="106"/>
        <v>2.2087319939117921E-3</v>
      </c>
      <c r="X150" s="406">
        <f t="shared" si="107"/>
        <v>0.83080006505622939</v>
      </c>
      <c r="Y150" s="406">
        <f t="shared" si="108"/>
        <v>1.38045749619487E-2</v>
      </c>
      <c r="Z150" s="406">
        <f t="shared" si="124"/>
        <v>2.1265014415947511E-2</v>
      </c>
      <c r="AA150" s="406">
        <f t="shared" si="125"/>
        <v>4.9687500000000002E-2</v>
      </c>
      <c r="AB150" s="406">
        <f t="shared" si="126"/>
        <v>0</v>
      </c>
      <c r="AC150" s="406">
        <f t="shared" si="109"/>
        <v>8.4968220408137576E-2</v>
      </c>
      <c r="AD150" s="406">
        <f t="shared" si="110"/>
        <v>1.1467666738928453</v>
      </c>
      <c r="AE150" s="406">
        <f t="shared" si="111"/>
        <v>2.6301476087025186E-2</v>
      </c>
      <c r="AF150" s="406">
        <f t="shared" si="127"/>
        <v>5.4989999999999997E-2</v>
      </c>
      <c r="AG150" s="406">
        <f t="shared" si="112"/>
        <v>8.1635015512363157E-2</v>
      </c>
      <c r="AH150" s="406">
        <f t="shared" si="113"/>
        <v>0</v>
      </c>
      <c r="AI150">
        <f t="shared" si="128"/>
        <v>0</v>
      </c>
      <c r="AJ150" s="407">
        <f t="shared" si="129"/>
        <v>2.9943600000000001E-2</v>
      </c>
      <c r="AK150">
        <f t="shared" si="134"/>
        <v>0.03</v>
      </c>
      <c r="AL150" s="407">
        <f t="shared" si="130"/>
        <v>0.13500000000000001</v>
      </c>
      <c r="AM150" s="407">
        <f t="shared" si="135"/>
        <v>9.8855098389982105E-2</v>
      </c>
      <c r="AN150" s="407">
        <f t="shared" si="114"/>
        <v>0.16500000000000001</v>
      </c>
      <c r="AO150" s="407">
        <f t="shared" si="115"/>
        <v>0.61351799223915937</v>
      </c>
      <c r="AP150">
        <f t="shared" si="131"/>
        <v>7.1909999999999989</v>
      </c>
      <c r="AQ150" s="10">
        <f t="shared" si="116"/>
        <v>0.92138938076006183</v>
      </c>
      <c r="AR150" s="63">
        <f t="shared" si="117"/>
        <v>3.8235699183661911</v>
      </c>
      <c r="AS150" s="63">
        <f t="shared" si="118"/>
        <v>3.2654006204945265</v>
      </c>
      <c r="AT150" s="10"/>
      <c r="AU150">
        <f t="shared" si="119"/>
        <v>92.138938076006184</v>
      </c>
    </row>
    <row r="151" spans="7:47" x14ac:dyDescent="0.2">
      <c r="G151">
        <v>142</v>
      </c>
      <c r="H151">
        <f t="shared" si="120"/>
        <v>1.42</v>
      </c>
      <c r="I151" s="406">
        <f t="shared" si="97"/>
        <v>0.34423159999999997</v>
      </c>
      <c r="J151" s="407">
        <f t="shared" si="121"/>
        <v>0.45438571199999994</v>
      </c>
      <c r="K151" s="407">
        <f t="shared" si="132"/>
        <v>1.647192856</v>
      </c>
      <c r="L151" s="407">
        <f t="shared" si="98"/>
        <v>1.1928071439999999</v>
      </c>
      <c r="M151" s="63">
        <f t="shared" si="122"/>
        <v>0</v>
      </c>
      <c r="N151" s="406">
        <f t="shared" si="99"/>
        <v>1.4260454169739754</v>
      </c>
      <c r="O151" s="406">
        <f t="shared" si="100"/>
        <v>5.0432715675550709E-2</v>
      </c>
      <c r="P151">
        <f t="shared" si="123"/>
        <v>0.2</v>
      </c>
      <c r="Q151" s="406">
        <f t="shared" si="133"/>
        <v>0.2504327156755507</v>
      </c>
      <c r="R151" s="9">
        <f t="shared" si="101"/>
        <v>0.13116985656955987</v>
      </c>
      <c r="S151" s="9">
        <f t="shared" si="102"/>
        <v>3.4411062544957819E-5</v>
      </c>
      <c r="T151" s="9">
        <f t="shared" si="103"/>
        <v>3.4411062544957819E-5</v>
      </c>
      <c r="U151" s="406">
        <f t="shared" si="104"/>
        <v>0.83667872316605219</v>
      </c>
      <c r="V151" s="408">
        <f t="shared" si="105"/>
        <v>2.2401001145560813E-3</v>
      </c>
      <c r="W151" s="406">
        <f t="shared" si="106"/>
        <v>2.2401001145560813E-3</v>
      </c>
      <c r="X151" s="406">
        <f t="shared" si="107"/>
        <v>0.83667872316605219</v>
      </c>
      <c r="Y151" s="406">
        <f t="shared" si="108"/>
        <v>1.4000625715975507E-2</v>
      </c>
      <c r="Z151" s="406">
        <f t="shared" si="124"/>
        <v>2.1413674895143228E-2</v>
      </c>
      <c r="AA151" s="406">
        <f t="shared" si="125"/>
        <v>4.9687500000000002E-2</v>
      </c>
      <c r="AB151" s="406">
        <f t="shared" si="126"/>
        <v>0</v>
      </c>
      <c r="AC151" s="406">
        <f t="shared" si="109"/>
        <v>8.5316808577871189E-2</v>
      </c>
      <c r="AD151" s="406">
        <f t="shared" si="110"/>
        <v>1.1548048516843457</v>
      </c>
      <c r="AE151" s="406">
        <f t="shared" si="111"/>
        <v>2.6671484909474075E-2</v>
      </c>
      <c r="AF151" s="406">
        <f t="shared" si="127"/>
        <v>5.5379999999999999E-2</v>
      </c>
      <c r="AG151" s="406">
        <f t="shared" si="112"/>
        <v>8.2403135145558568E-2</v>
      </c>
      <c r="AH151" s="406">
        <f t="shared" si="113"/>
        <v>0</v>
      </c>
      <c r="AI151">
        <f t="shared" si="128"/>
        <v>0</v>
      </c>
      <c r="AJ151" s="407">
        <f t="shared" si="129"/>
        <v>2.9943200000000003E-2</v>
      </c>
      <c r="AK151">
        <f t="shared" si="134"/>
        <v>0.03</v>
      </c>
      <c r="AL151" s="407">
        <f t="shared" si="130"/>
        <v>0.13500000000000001</v>
      </c>
      <c r="AM151" s="407">
        <f t="shared" si="135"/>
        <v>9.8855098389982105E-2</v>
      </c>
      <c r="AN151" s="407">
        <f t="shared" si="114"/>
        <v>0.16500000000000001</v>
      </c>
      <c r="AO151" s="407">
        <f t="shared" si="115"/>
        <v>0.61537037057608157</v>
      </c>
      <c r="AP151">
        <f t="shared" si="131"/>
        <v>7.2419999999999991</v>
      </c>
      <c r="AQ151" s="10">
        <f t="shared" si="116"/>
        <v>0.92168240243829003</v>
      </c>
      <c r="AR151" s="63">
        <f t="shared" si="117"/>
        <v>3.8392563860042035</v>
      </c>
      <c r="AS151" s="63">
        <f t="shared" si="118"/>
        <v>3.2961254058223428</v>
      </c>
      <c r="AT151" s="10"/>
      <c r="AU151">
        <f t="shared" si="119"/>
        <v>92.168240243829004</v>
      </c>
    </row>
    <row r="152" spans="7:47" x14ac:dyDescent="0.2">
      <c r="G152">
        <v>143</v>
      </c>
      <c r="H152">
        <f t="shared" si="120"/>
        <v>1.43</v>
      </c>
      <c r="I152" s="406">
        <f t="shared" si="97"/>
        <v>0.34426139999999994</v>
      </c>
      <c r="J152" s="407">
        <f t="shared" si="121"/>
        <v>0.45442504799999994</v>
      </c>
      <c r="K152" s="407">
        <f t="shared" si="132"/>
        <v>1.657212524</v>
      </c>
      <c r="L152" s="407">
        <f t="shared" si="98"/>
        <v>1.2027874759999999</v>
      </c>
      <c r="M152" s="63">
        <f t="shared" si="122"/>
        <v>0</v>
      </c>
      <c r="N152" s="406">
        <f t="shared" si="99"/>
        <v>1.4360043559662867</v>
      </c>
      <c r="O152" s="406">
        <f t="shared" si="100"/>
        <v>5.1142471786539162E-2</v>
      </c>
      <c r="P152">
        <f t="shared" si="123"/>
        <v>0.2</v>
      </c>
      <c r="Q152" s="406">
        <f t="shared" si="133"/>
        <v>0.25114247178653915</v>
      </c>
      <c r="R152" s="9">
        <f t="shared" si="101"/>
        <v>0.13118121189465429</v>
      </c>
      <c r="S152" s="9">
        <f t="shared" si="102"/>
        <v>3.4417020708300376E-5</v>
      </c>
      <c r="T152" s="9">
        <f t="shared" si="103"/>
        <v>3.4417020708300376E-5</v>
      </c>
      <c r="U152" s="406">
        <f t="shared" si="104"/>
        <v>0.84255822512538214</v>
      </c>
      <c r="V152" s="408">
        <f t="shared" si="105"/>
        <v>2.2716939607245893E-3</v>
      </c>
      <c r="W152" s="406">
        <f t="shared" si="106"/>
        <v>2.2716939607245893E-3</v>
      </c>
      <c r="X152" s="406">
        <f t="shared" si="107"/>
        <v>0.84255822512538214</v>
      </c>
      <c r="Y152" s="406">
        <f t="shared" si="108"/>
        <v>1.4198087254528683E-2</v>
      </c>
      <c r="Z152" s="406">
        <f t="shared" si="124"/>
        <v>2.156233537433894E-2</v>
      </c>
      <c r="AA152" s="406">
        <f t="shared" si="125"/>
        <v>4.9687500000000002E-2</v>
      </c>
      <c r="AB152" s="406">
        <f t="shared" si="126"/>
        <v>0</v>
      </c>
      <c r="AC152" s="406">
        <f t="shared" si="109"/>
        <v>8.5666857622349449E-2</v>
      </c>
      <c r="AD152" s="406">
        <f t="shared" si="110"/>
        <v>1.1628431311349419</v>
      </c>
      <c r="AE152" s="406">
        <f t="shared" si="111"/>
        <v>2.704408295255431E-2</v>
      </c>
      <c r="AF152" s="406">
        <f t="shared" si="127"/>
        <v>5.577E-2</v>
      </c>
      <c r="AG152" s="406">
        <f t="shared" si="112"/>
        <v>8.3173981200085401E-2</v>
      </c>
      <c r="AH152" s="406">
        <f t="shared" si="113"/>
        <v>0</v>
      </c>
      <c r="AI152">
        <f t="shared" si="128"/>
        <v>0</v>
      </c>
      <c r="AJ152" s="407">
        <f t="shared" si="129"/>
        <v>2.9942799999999999E-2</v>
      </c>
      <c r="AK152">
        <f t="shared" si="134"/>
        <v>0.03</v>
      </c>
      <c r="AL152" s="407">
        <f t="shared" si="130"/>
        <v>0.13500000000000001</v>
      </c>
      <c r="AM152" s="407">
        <f t="shared" si="135"/>
        <v>9.8855098389982105E-2</v>
      </c>
      <c r="AN152" s="407">
        <f t="shared" si="114"/>
        <v>0.16500000000000001</v>
      </c>
      <c r="AO152" s="407">
        <f t="shared" si="115"/>
        <v>0.6172322215904068</v>
      </c>
      <c r="AP152">
        <f t="shared" si="131"/>
        <v>7.2929999999999993</v>
      </c>
      <c r="AQ152" s="10">
        <f t="shared" si="116"/>
        <v>0.92197040436996069</v>
      </c>
      <c r="AR152" s="63">
        <f t="shared" si="117"/>
        <v>3.8550085930057252</v>
      </c>
      <c r="AS152" s="63">
        <f t="shared" si="118"/>
        <v>3.326959248003416</v>
      </c>
      <c r="AT152" s="10"/>
      <c r="AU152">
        <f t="shared" si="119"/>
        <v>92.197040436996076</v>
      </c>
    </row>
    <row r="153" spans="7:47" x14ac:dyDescent="0.2">
      <c r="G153">
        <v>144</v>
      </c>
      <c r="H153">
        <f t="shared" si="120"/>
        <v>1.44</v>
      </c>
      <c r="I153" s="406">
        <f t="shared" si="97"/>
        <v>0.34429119999999996</v>
      </c>
      <c r="J153" s="407">
        <f t="shared" si="121"/>
        <v>0.45446438399999994</v>
      </c>
      <c r="K153" s="407">
        <f t="shared" si="132"/>
        <v>1.6672321919999999</v>
      </c>
      <c r="L153" s="407">
        <f t="shared" si="98"/>
        <v>1.2127678079999999</v>
      </c>
      <c r="M153" s="63">
        <f t="shared" si="122"/>
        <v>0</v>
      </c>
      <c r="N153" s="406">
        <f t="shared" si="99"/>
        <v>1.445963861821487</v>
      </c>
      <c r="O153" s="406">
        <f t="shared" si="100"/>
        <v>5.1857289256248433E-2</v>
      </c>
      <c r="P153">
        <f t="shared" si="123"/>
        <v>0.2</v>
      </c>
      <c r="Q153" s="406">
        <f t="shared" si="133"/>
        <v>0.25185728925624845</v>
      </c>
      <c r="R153" s="9">
        <f t="shared" si="101"/>
        <v>0.13119256721974873</v>
      </c>
      <c r="S153" s="9">
        <f t="shared" si="102"/>
        <v>3.4422979387416581E-5</v>
      </c>
      <c r="T153" s="9">
        <f t="shared" si="103"/>
        <v>3.4422979387416581E-5</v>
      </c>
      <c r="U153" s="406">
        <f t="shared" si="104"/>
        <v>0.84843856392813399</v>
      </c>
      <c r="V153" s="408">
        <f t="shared" si="105"/>
        <v>2.3035135896333899E-3</v>
      </c>
      <c r="W153" s="406">
        <f t="shared" si="106"/>
        <v>2.3035135896333899E-3</v>
      </c>
      <c r="X153" s="406">
        <f t="shared" si="107"/>
        <v>0.84843856392813399</v>
      </c>
      <c r="Y153" s="406">
        <f t="shared" si="108"/>
        <v>1.4396959935208687E-2</v>
      </c>
      <c r="Z153" s="406">
        <f t="shared" si="124"/>
        <v>2.1710995853534656E-2</v>
      </c>
      <c r="AA153" s="406">
        <f t="shared" si="125"/>
        <v>4.9687500000000002E-2</v>
      </c>
      <c r="AB153" s="406">
        <f t="shared" si="126"/>
        <v>0</v>
      </c>
      <c r="AC153" s="406">
        <f t="shared" si="109"/>
        <v>8.6018368329198305E-2</v>
      </c>
      <c r="AD153" s="406">
        <f t="shared" si="110"/>
        <v>1.1708815025156363</v>
      </c>
      <c r="AE153" s="406">
        <f t="shared" si="111"/>
        <v>2.7419269858665479E-2</v>
      </c>
      <c r="AF153" s="406">
        <f t="shared" si="127"/>
        <v>5.6159999999999995E-2</v>
      </c>
      <c r="AG153" s="406">
        <f t="shared" si="112"/>
        <v>8.3947554763953131E-2</v>
      </c>
      <c r="AH153" s="406">
        <f t="shared" si="113"/>
        <v>0</v>
      </c>
      <c r="AI153">
        <f t="shared" si="128"/>
        <v>0</v>
      </c>
      <c r="AJ153" s="407">
        <f t="shared" si="129"/>
        <v>2.9942400000000001E-2</v>
      </c>
      <c r="AK153">
        <f t="shared" si="134"/>
        <v>0.03</v>
      </c>
      <c r="AL153" s="407">
        <f t="shared" si="130"/>
        <v>0.13500000000000001</v>
      </c>
      <c r="AM153" s="407">
        <f t="shared" si="135"/>
        <v>9.8855098389982105E-2</v>
      </c>
      <c r="AN153" s="407">
        <f t="shared" si="114"/>
        <v>0.16500000000000001</v>
      </c>
      <c r="AO153" s="407">
        <f t="shared" si="115"/>
        <v>0.61910354891842068</v>
      </c>
      <c r="AP153">
        <f t="shared" si="131"/>
        <v>7.3439999999999994</v>
      </c>
      <c r="AQ153" s="10">
        <f t="shared" si="116"/>
        <v>0.92225348507460891</v>
      </c>
      <c r="AR153" s="63">
        <f t="shared" si="117"/>
        <v>3.8708265748139237</v>
      </c>
      <c r="AS153" s="63">
        <f t="shared" si="118"/>
        <v>3.357902190558125</v>
      </c>
      <c r="AT153" s="10"/>
      <c r="AU153">
        <f t="shared" si="119"/>
        <v>92.225348507460893</v>
      </c>
    </row>
    <row r="154" spans="7:47" x14ac:dyDescent="0.2">
      <c r="G154">
        <v>145</v>
      </c>
      <c r="H154">
        <f t="shared" si="120"/>
        <v>1.45</v>
      </c>
      <c r="I154" s="406">
        <f t="shared" si="97"/>
        <v>0.34432099999999999</v>
      </c>
      <c r="J154" s="407">
        <f t="shared" si="121"/>
        <v>0.45450372</v>
      </c>
      <c r="K154" s="407">
        <f t="shared" si="132"/>
        <v>1.6772518599999999</v>
      </c>
      <c r="L154" s="407">
        <f t="shared" si="98"/>
        <v>1.22274814</v>
      </c>
      <c r="M154" s="63">
        <f t="shared" si="122"/>
        <v>0</v>
      </c>
      <c r="N154" s="406">
        <f t="shared" si="99"/>
        <v>1.4559239229063974</v>
      </c>
      <c r="O154" s="406">
        <f t="shared" si="100"/>
        <v>5.2577169800550751E-2</v>
      </c>
      <c r="P154">
        <f t="shared" si="123"/>
        <v>0.2</v>
      </c>
      <c r="Q154" s="406">
        <f t="shared" si="133"/>
        <v>0.25257716980055078</v>
      </c>
      <c r="R154" s="9">
        <f t="shared" si="101"/>
        <v>0.13120392254484314</v>
      </c>
      <c r="S154" s="9">
        <f t="shared" si="102"/>
        <v>3.4428938582306395E-5</v>
      </c>
      <c r="T154" s="9">
        <f t="shared" si="103"/>
        <v>3.4428938582306395E-5</v>
      </c>
      <c r="U154" s="406">
        <f t="shared" si="104"/>
        <v>0.85431973275864292</v>
      </c>
      <c r="V154" s="408">
        <f t="shared" si="105"/>
        <v>2.3355590584985572E-3</v>
      </c>
      <c r="W154" s="406">
        <f t="shared" si="106"/>
        <v>2.3355590584985572E-3</v>
      </c>
      <c r="X154" s="406">
        <f t="shared" si="107"/>
        <v>0.85431973275864292</v>
      </c>
      <c r="Y154" s="406">
        <f t="shared" si="108"/>
        <v>1.4597244115615983E-2</v>
      </c>
      <c r="Z154" s="406">
        <f t="shared" si="124"/>
        <v>2.1859656332730373E-2</v>
      </c>
      <c r="AA154" s="406">
        <f t="shared" si="125"/>
        <v>4.9687500000000002E-2</v>
      </c>
      <c r="AB154" s="406">
        <f t="shared" si="126"/>
        <v>0</v>
      </c>
      <c r="AC154" s="406">
        <f t="shared" si="109"/>
        <v>8.6371341488480469E-2</v>
      </c>
      <c r="AD154" s="406">
        <f t="shared" si="110"/>
        <v>1.1789199563627526</v>
      </c>
      <c r="AE154" s="406">
        <f t="shared" si="111"/>
        <v>2.7797045270207092E-2</v>
      </c>
      <c r="AF154" s="406">
        <f t="shared" si="127"/>
        <v>5.6549999999999996E-2</v>
      </c>
      <c r="AG154" s="406">
        <f t="shared" si="112"/>
        <v>8.4723856932064232E-2</v>
      </c>
      <c r="AH154" s="406">
        <f t="shared" si="113"/>
        <v>0</v>
      </c>
      <c r="AI154">
        <f t="shared" si="128"/>
        <v>0</v>
      </c>
      <c r="AJ154" s="407">
        <f t="shared" si="129"/>
        <v>2.9942E-2</v>
      </c>
      <c r="AK154">
        <f t="shared" si="134"/>
        <v>0.03</v>
      </c>
      <c r="AL154" s="407">
        <f t="shared" si="130"/>
        <v>0.13500000000000001</v>
      </c>
      <c r="AM154" s="407">
        <f t="shared" si="135"/>
        <v>9.8855098389982105E-2</v>
      </c>
      <c r="AN154" s="407">
        <f t="shared" si="114"/>
        <v>0.16500000000000001</v>
      </c>
      <c r="AO154" s="407">
        <f t="shared" si="115"/>
        <v>0.62098435621817638</v>
      </c>
      <c r="AP154">
        <f t="shared" si="131"/>
        <v>7.3949999999999996</v>
      </c>
      <c r="AQ154" s="10">
        <f t="shared" si="116"/>
        <v>0.92253174050464992</v>
      </c>
      <c r="AR154" s="63">
        <f t="shared" si="117"/>
        <v>3.886710366981621</v>
      </c>
      <c r="AS154" s="63">
        <f t="shared" si="118"/>
        <v>3.3889542772825694</v>
      </c>
      <c r="AT154" s="10"/>
      <c r="AU154">
        <f t="shared" si="119"/>
        <v>92.253174050464992</v>
      </c>
    </row>
    <row r="155" spans="7:47" x14ac:dyDescent="0.2">
      <c r="G155">
        <v>146</v>
      </c>
      <c r="H155">
        <f t="shared" si="120"/>
        <v>1.46</v>
      </c>
      <c r="I155" s="406">
        <f t="shared" si="97"/>
        <v>0.34435080000000001</v>
      </c>
      <c r="J155" s="407">
        <f t="shared" si="121"/>
        <v>0.45454305600000006</v>
      </c>
      <c r="K155" s="407">
        <f t="shared" si="132"/>
        <v>1.6872715279999999</v>
      </c>
      <c r="L155" s="407">
        <f t="shared" si="98"/>
        <v>1.232728472</v>
      </c>
      <c r="M155" s="63">
        <f t="shared" si="122"/>
        <v>0</v>
      </c>
      <c r="N155" s="406">
        <f t="shared" si="99"/>
        <v>1.4658845279033696</v>
      </c>
      <c r="O155" s="406">
        <f t="shared" si="100"/>
        <v>5.3302115147767518E-2</v>
      </c>
      <c r="P155">
        <f t="shared" si="123"/>
        <v>0.2</v>
      </c>
      <c r="Q155" s="406">
        <f t="shared" si="133"/>
        <v>0.25330211514776751</v>
      </c>
      <c r="R155" s="9">
        <f t="shared" si="101"/>
        <v>0.13121527786993759</v>
      </c>
      <c r="S155" s="9">
        <f t="shared" si="102"/>
        <v>3.4434898292969864E-5</v>
      </c>
      <c r="T155" s="9">
        <f t="shared" si="103"/>
        <v>3.4434898292969864E-5</v>
      </c>
      <c r="U155" s="406">
        <f t="shared" si="104"/>
        <v>0.86020172498522207</v>
      </c>
      <c r="V155" s="408">
        <f t="shared" si="105"/>
        <v>2.3678304245361654E-3</v>
      </c>
      <c r="W155" s="406">
        <f t="shared" si="106"/>
        <v>2.3678304245361654E-3</v>
      </c>
      <c r="X155" s="406">
        <f t="shared" si="107"/>
        <v>0.86020172498522207</v>
      </c>
      <c r="Y155" s="406">
        <f t="shared" si="108"/>
        <v>1.4798940153351033E-2</v>
      </c>
      <c r="Z155" s="406">
        <f t="shared" si="124"/>
        <v>2.2008316811926082E-2</v>
      </c>
      <c r="AA155" s="406">
        <f t="shared" si="125"/>
        <v>4.9687500000000002E-2</v>
      </c>
      <c r="AB155" s="406">
        <f t="shared" si="126"/>
        <v>0</v>
      </c>
      <c r="AC155" s="406">
        <f t="shared" si="109"/>
        <v>8.6725777892698752E-2</v>
      </c>
      <c r="AD155" s="406">
        <f t="shared" si="110"/>
        <v>1.1869584834689602</v>
      </c>
      <c r="AE155" s="406">
        <f t="shared" si="111"/>
        <v>2.8177408829578674E-2</v>
      </c>
      <c r="AF155" s="406">
        <f t="shared" si="127"/>
        <v>5.6939999999999998E-2</v>
      </c>
      <c r="AG155" s="406">
        <f t="shared" si="112"/>
        <v>8.5502888806219132E-2</v>
      </c>
      <c r="AH155" s="406">
        <f t="shared" si="113"/>
        <v>0</v>
      </c>
      <c r="AI155">
        <f t="shared" si="128"/>
        <v>0</v>
      </c>
      <c r="AJ155" s="407">
        <f t="shared" si="129"/>
        <v>2.9941600000000002E-2</v>
      </c>
      <c r="AK155">
        <f t="shared" si="134"/>
        <v>0.03</v>
      </c>
      <c r="AL155" s="407">
        <f t="shared" si="130"/>
        <v>0.13500000000000001</v>
      </c>
      <c r="AM155" s="407">
        <f t="shared" si="135"/>
        <v>9.8855098389982105E-2</v>
      </c>
      <c r="AN155" s="407">
        <f t="shared" si="114"/>
        <v>0.16500000000000001</v>
      </c>
      <c r="AO155" s="407">
        <f t="shared" si="115"/>
        <v>0.62287464716951457</v>
      </c>
      <c r="AP155">
        <f t="shared" si="131"/>
        <v>7.4459999999999997</v>
      </c>
      <c r="AQ155" s="10">
        <f t="shared" si="116"/>
        <v>0.92280526412837349</v>
      </c>
      <c r="AR155" s="63">
        <f t="shared" si="117"/>
        <v>3.9026600051714437</v>
      </c>
      <c r="AS155" s="63">
        <f t="shared" si="118"/>
        <v>3.4201155522487654</v>
      </c>
      <c r="AT155" s="10"/>
      <c r="AU155">
        <f t="shared" si="119"/>
        <v>92.280526412837347</v>
      </c>
    </row>
    <row r="156" spans="7:47" x14ac:dyDescent="0.2">
      <c r="G156">
        <v>147</v>
      </c>
      <c r="H156">
        <f t="shared" si="120"/>
        <v>1.47</v>
      </c>
      <c r="I156" s="406">
        <f t="shared" si="97"/>
        <v>0.34438059999999998</v>
      </c>
      <c r="J156" s="407">
        <f t="shared" si="121"/>
        <v>0.454582392</v>
      </c>
      <c r="K156" s="407">
        <f t="shared" si="132"/>
        <v>1.6972911959999999</v>
      </c>
      <c r="L156" s="407">
        <f t="shared" si="98"/>
        <v>1.2427088040000001</v>
      </c>
      <c r="M156" s="63">
        <f t="shared" si="122"/>
        <v>0</v>
      </c>
      <c r="N156" s="406">
        <f t="shared" si="99"/>
        <v>1.4758456657996808</v>
      </c>
      <c r="O156" s="406">
        <f t="shared" si="100"/>
        <v>5.4032127038679524E-2</v>
      </c>
      <c r="P156">
        <f t="shared" si="123"/>
        <v>0.2</v>
      </c>
      <c r="Q156" s="406">
        <f t="shared" si="133"/>
        <v>0.25403212703867956</v>
      </c>
      <c r="R156" s="9">
        <f t="shared" si="101"/>
        <v>0.131226633195032</v>
      </c>
      <c r="S156" s="9">
        <f t="shared" si="102"/>
        <v>3.4440858519406949E-5</v>
      </c>
      <c r="T156" s="9">
        <f t="shared" si="103"/>
        <v>3.4440858519406949E-5</v>
      </c>
      <c r="U156" s="406">
        <f t="shared" si="104"/>
        <v>0.86608453415397857</v>
      </c>
      <c r="V156" s="408">
        <f t="shared" si="105"/>
        <v>2.4003277449622853E-3</v>
      </c>
      <c r="W156" s="406">
        <f t="shared" si="106"/>
        <v>2.4003277449622853E-3</v>
      </c>
      <c r="X156" s="406">
        <f t="shared" si="107"/>
        <v>0.86608453415397857</v>
      </c>
      <c r="Y156" s="406">
        <f t="shared" si="108"/>
        <v>1.5002048406014282E-2</v>
      </c>
      <c r="Z156" s="406">
        <f t="shared" si="124"/>
        <v>2.2156977291121798E-2</v>
      </c>
      <c r="AA156" s="406">
        <f t="shared" si="125"/>
        <v>4.9687500000000002E-2</v>
      </c>
      <c r="AB156" s="406">
        <f t="shared" si="126"/>
        <v>0</v>
      </c>
      <c r="AC156" s="406">
        <f t="shared" si="109"/>
        <v>8.7081678336799487E-2</v>
      </c>
      <c r="AD156" s="406">
        <f t="shared" si="110"/>
        <v>1.1949970748746581</v>
      </c>
      <c r="AE156" s="406">
        <f t="shared" si="111"/>
        <v>2.8560360179179789E-2</v>
      </c>
      <c r="AF156" s="406">
        <f t="shared" si="127"/>
        <v>5.7329999999999999E-2</v>
      </c>
      <c r="AG156" s="406">
        <f t="shared" si="112"/>
        <v>8.6284651495121489E-2</v>
      </c>
      <c r="AH156" s="406">
        <f t="shared" si="113"/>
        <v>0</v>
      </c>
      <c r="AI156">
        <f t="shared" si="128"/>
        <v>0</v>
      </c>
      <c r="AJ156" s="407">
        <f t="shared" si="129"/>
        <v>2.9941199999999998E-2</v>
      </c>
      <c r="AK156">
        <f t="shared" si="134"/>
        <v>0.03</v>
      </c>
      <c r="AL156" s="407">
        <f t="shared" si="130"/>
        <v>0.13500000000000001</v>
      </c>
      <c r="AM156" s="407">
        <f t="shared" si="135"/>
        <v>9.8855098389982105E-2</v>
      </c>
      <c r="AN156" s="407">
        <f t="shared" si="114"/>
        <v>0.16500000000000001</v>
      </c>
      <c r="AO156" s="407">
        <f t="shared" si="115"/>
        <v>0.62477442547408224</v>
      </c>
      <c r="AP156">
        <f t="shared" si="131"/>
        <v>7.496999999999999</v>
      </c>
      <c r="AQ156" s="10">
        <f t="shared" si="116"/>
        <v>0.92307414700973878</v>
      </c>
      <c r="AR156" s="63">
        <f t="shared" si="117"/>
        <v>3.9186755251559768</v>
      </c>
      <c r="AS156" s="63">
        <f t="shared" si="118"/>
        <v>3.4513860598048596</v>
      </c>
      <c r="AT156" s="10"/>
      <c r="AU156">
        <f t="shared" si="119"/>
        <v>92.307414700973879</v>
      </c>
    </row>
    <row r="157" spans="7:47" x14ac:dyDescent="0.2">
      <c r="G157">
        <v>148</v>
      </c>
      <c r="H157">
        <f t="shared" si="120"/>
        <v>1.48</v>
      </c>
      <c r="I157" s="406">
        <f t="shared" si="97"/>
        <v>0.34441040000000001</v>
      </c>
      <c r="J157" s="407">
        <f t="shared" si="121"/>
        <v>0.45462172800000006</v>
      </c>
      <c r="K157" s="407">
        <f t="shared" si="132"/>
        <v>1.7073108640000001</v>
      </c>
      <c r="L157" s="407">
        <f t="shared" si="98"/>
        <v>1.2526891359999999</v>
      </c>
      <c r="M157" s="63">
        <f t="shared" si="122"/>
        <v>0</v>
      </c>
      <c r="N157" s="406">
        <f t="shared" si="99"/>
        <v>1.4858073258773523</v>
      </c>
      <c r="O157" s="406">
        <f t="shared" si="100"/>
        <v>5.4767207226537704E-2</v>
      </c>
      <c r="P157">
        <f t="shared" si="123"/>
        <v>0.2</v>
      </c>
      <c r="Q157" s="406">
        <f t="shared" si="133"/>
        <v>0.25476720722653773</v>
      </c>
      <c r="R157" s="9">
        <f t="shared" si="101"/>
        <v>0.13123798852012644</v>
      </c>
      <c r="S157" s="9">
        <f t="shared" si="102"/>
        <v>3.4446819261617682E-5</v>
      </c>
      <c r="T157" s="9">
        <f t="shared" si="103"/>
        <v>3.4446819261617682E-5</v>
      </c>
      <c r="U157" s="406">
        <f t="shared" si="104"/>
        <v>0.87196815398287941</v>
      </c>
      <c r="V157" s="408">
        <f t="shared" si="105"/>
        <v>2.4330510769929939E-3</v>
      </c>
      <c r="W157" s="406">
        <f t="shared" si="106"/>
        <v>2.4330510769929939E-3</v>
      </c>
      <c r="X157" s="406">
        <f t="shared" si="107"/>
        <v>0.87196815398287941</v>
      </c>
      <c r="Y157" s="406">
        <f t="shared" si="108"/>
        <v>1.5206569231206212E-2</v>
      </c>
      <c r="Z157" s="406">
        <f t="shared" si="124"/>
        <v>2.2305637770317511E-2</v>
      </c>
      <c r="AA157" s="406">
        <f t="shared" si="125"/>
        <v>4.9687500000000002E-2</v>
      </c>
      <c r="AB157" s="406">
        <f t="shared" si="126"/>
        <v>0</v>
      </c>
      <c r="AC157" s="406">
        <f t="shared" si="109"/>
        <v>8.7439043618175977E-2</v>
      </c>
      <c r="AD157" s="406">
        <f t="shared" si="110"/>
        <v>1.2030357218597034</v>
      </c>
      <c r="AE157" s="406">
        <f t="shared" si="111"/>
        <v>2.8945898961409956E-2</v>
      </c>
      <c r="AF157" s="406">
        <f t="shared" si="127"/>
        <v>5.772E-2</v>
      </c>
      <c r="AG157" s="406">
        <f t="shared" si="112"/>
        <v>8.7069146114383267E-2</v>
      </c>
      <c r="AH157" s="406">
        <f t="shared" si="113"/>
        <v>0</v>
      </c>
      <c r="AI157">
        <f t="shared" si="128"/>
        <v>0</v>
      </c>
      <c r="AJ157" s="407">
        <f t="shared" si="129"/>
        <v>2.99408E-2</v>
      </c>
      <c r="AK157">
        <f t="shared" si="134"/>
        <v>0.03</v>
      </c>
      <c r="AL157" s="407">
        <f t="shared" si="130"/>
        <v>0.13500000000000001</v>
      </c>
      <c r="AM157" s="407">
        <f t="shared" si="135"/>
        <v>9.8855098389982105E-2</v>
      </c>
      <c r="AN157" s="407">
        <f t="shared" si="114"/>
        <v>0.16500000000000001</v>
      </c>
      <c r="AO157" s="407">
        <f t="shared" si="115"/>
        <v>0.62668369485535158</v>
      </c>
      <c r="AP157">
        <f t="shared" si="131"/>
        <v>7.5479999999999992</v>
      </c>
      <c r="AQ157" s="10">
        <f t="shared" si="116"/>
        <v>0.92333847788511403</v>
      </c>
      <c r="AR157" s="63">
        <f t="shared" si="117"/>
        <v>3.9347569628179189</v>
      </c>
      <c r="AS157" s="63">
        <f t="shared" si="118"/>
        <v>3.4827658445753307</v>
      </c>
      <c r="AT157" s="10"/>
      <c r="AU157">
        <f t="shared" si="119"/>
        <v>92.333847788511406</v>
      </c>
    </row>
    <row r="158" spans="7:47" x14ac:dyDescent="0.2">
      <c r="G158">
        <v>149</v>
      </c>
      <c r="H158">
        <f t="shared" si="120"/>
        <v>1.49</v>
      </c>
      <c r="I158" s="406">
        <f t="shared" si="97"/>
        <v>0.34444019999999997</v>
      </c>
      <c r="J158" s="407">
        <f t="shared" si="121"/>
        <v>0.45466106399999995</v>
      </c>
      <c r="K158" s="407">
        <f t="shared" si="132"/>
        <v>1.7173305320000001</v>
      </c>
      <c r="L158" s="407">
        <f t="shared" si="98"/>
        <v>1.2626694679999999</v>
      </c>
      <c r="M158" s="63">
        <f t="shared" si="122"/>
        <v>0</v>
      </c>
      <c r="N158" s="406">
        <f t="shared" si="99"/>
        <v>1.4957694977033731</v>
      </c>
      <c r="O158" s="406">
        <f t="shared" si="100"/>
        <v>5.5507357477073478E-2</v>
      </c>
      <c r="P158">
        <f t="shared" si="123"/>
        <v>0.2</v>
      </c>
      <c r="Q158" s="406">
        <f t="shared" si="133"/>
        <v>0.25550735747707348</v>
      </c>
      <c r="R158" s="9">
        <f t="shared" si="101"/>
        <v>0.13124934384522083</v>
      </c>
      <c r="S158" s="9">
        <f t="shared" si="102"/>
        <v>3.4452780519602016E-5</v>
      </c>
      <c r="T158" s="9">
        <f t="shared" si="103"/>
        <v>3.4452780519602016E-5</v>
      </c>
      <c r="U158" s="406">
        <f t="shared" si="104"/>
        <v>0.87785257835604935</v>
      </c>
      <c r="V158" s="408">
        <f t="shared" si="105"/>
        <v>2.4660004778443642E-3</v>
      </c>
      <c r="W158" s="406">
        <f t="shared" si="106"/>
        <v>2.4660004778443642E-3</v>
      </c>
      <c r="X158" s="406">
        <f t="shared" si="107"/>
        <v>0.87785257835604935</v>
      </c>
      <c r="Y158" s="406">
        <f t="shared" si="108"/>
        <v>1.5412502986527275E-2</v>
      </c>
      <c r="Z158" s="406">
        <f t="shared" si="124"/>
        <v>2.2454298249513224E-2</v>
      </c>
      <c r="AA158" s="406">
        <f t="shared" si="125"/>
        <v>4.9687500000000002E-2</v>
      </c>
      <c r="AB158" s="406">
        <f t="shared" si="126"/>
        <v>0</v>
      </c>
      <c r="AC158" s="406">
        <f t="shared" si="109"/>
        <v>8.7797874536671788E-2</v>
      </c>
      <c r="AD158" s="406">
        <f t="shared" si="110"/>
        <v>1.2110744159354689</v>
      </c>
      <c r="AE158" s="406">
        <f t="shared" si="111"/>
        <v>2.9334024818668744E-2</v>
      </c>
      <c r="AF158" s="406">
        <f t="shared" si="127"/>
        <v>5.8110000000000002E-2</v>
      </c>
      <c r="AG158" s="406">
        <f t="shared" si="112"/>
        <v>8.7856373786529926E-2</v>
      </c>
      <c r="AH158" s="406">
        <f t="shared" si="113"/>
        <v>0</v>
      </c>
      <c r="AI158">
        <f t="shared" si="128"/>
        <v>0</v>
      </c>
      <c r="AJ158" s="407">
        <f t="shared" si="129"/>
        <v>2.9940400000000002E-2</v>
      </c>
      <c r="AK158">
        <f t="shared" si="134"/>
        <v>0.03</v>
      </c>
      <c r="AL158" s="407">
        <f t="shared" si="130"/>
        <v>0.13500000000000001</v>
      </c>
      <c r="AM158" s="407">
        <f t="shared" si="135"/>
        <v>9.8855098389982105E-2</v>
      </c>
      <c r="AN158" s="407">
        <f t="shared" si="114"/>
        <v>0.16500000000000001</v>
      </c>
      <c r="AO158" s="407">
        <f t="shared" si="115"/>
        <v>0.6286024590586391</v>
      </c>
      <c r="AP158">
        <f t="shared" si="131"/>
        <v>7.5989999999999993</v>
      </c>
      <c r="AQ158" s="10">
        <f t="shared" si="116"/>
        <v>0.923598343237094</v>
      </c>
      <c r="AR158" s="63">
        <f t="shared" si="117"/>
        <v>3.9509043541502304</v>
      </c>
      <c r="AS158" s="63">
        <f t="shared" si="118"/>
        <v>3.5142549514611972</v>
      </c>
      <c r="AT158" s="10"/>
      <c r="AU158">
        <f t="shared" si="119"/>
        <v>92.359834323709407</v>
      </c>
    </row>
    <row r="159" spans="7:47" x14ac:dyDescent="0.2">
      <c r="G159">
        <v>150</v>
      </c>
      <c r="H159">
        <f t="shared" si="120"/>
        <v>1.5</v>
      </c>
      <c r="I159" s="406">
        <f t="shared" si="97"/>
        <v>0.34447</v>
      </c>
      <c r="J159" s="407">
        <f t="shared" si="121"/>
        <v>0.4547004</v>
      </c>
      <c r="K159" s="407">
        <f t="shared" si="132"/>
        <v>1.7273502000000001</v>
      </c>
      <c r="L159" s="407">
        <f t="shared" si="98"/>
        <v>1.2726497999999999</v>
      </c>
      <c r="M159" s="63">
        <f t="shared" si="122"/>
        <v>0</v>
      </c>
      <c r="N159" s="406">
        <f t="shared" si="99"/>
        <v>1.5057321711203091</v>
      </c>
      <c r="O159" s="406">
        <f t="shared" si="100"/>
        <v>5.625257956850957E-2</v>
      </c>
      <c r="P159">
        <f t="shared" si="123"/>
        <v>0.2</v>
      </c>
      <c r="Q159" s="406">
        <f t="shared" si="133"/>
        <v>0.25625257956850955</v>
      </c>
      <c r="R159" s="9">
        <f t="shared" si="101"/>
        <v>0.13126069917031527</v>
      </c>
      <c r="S159" s="9">
        <f t="shared" si="102"/>
        <v>3.4458742293360013E-5</v>
      </c>
      <c r="T159" s="9">
        <f t="shared" si="103"/>
        <v>3.4458742293360013E-5</v>
      </c>
      <c r="U159" s="406">
        <f t="shared" si="104"/>
        <v>0.88373780131829638</v>
      </c>
      <c r="V159" s="408">
        <f t="shared" si="105"/>
        <v>2.4991760047324693E-3</v>
      </c>
      <c r="W159" s="406">
        <f t="shared" si="106"/>
        <v>2.4991760047324693E-3</v>
      </c>
      <c r="X159" s="406">
        <f t="shared" si="107"/>
        <v>0.88373780131829638</v>
      </c>
      <c r="Y159" s="406">
        <f t="shared" si="108"/>
        <v>1.5619850029577933E-2</v>
      </c>
      <c r="Z159" s="406">
        <f t="shared" si="124"/>
        <v>2.2602958728708936E-2</v>
      </c>
      <c r="AA159" s="406">
        <f t="shared" si="125"/>
        <v>4.9687500000000002E-2</v>
      </c>
      <c r="AB159" s="406">
        <f t="shared" si="126"/>
        <v>0</v>
      </c>
      <c r="AC159" s="406">
        <f t="shared" si="109"/>
        <v>8.81581718945844E-2</v>
      </c>
      <c r="AD159" s="406">
        <f t="shared" si="110"/>
        <v>1.2191131488372122</v>
      </c>
      <c r="AE159" s="406">
        <f t="shared" si="111"/>
        <v>2.9724737393355655E-2</v>
      </c>
      <c r="AF159" s="406">
        <f t="shared" si="127"/>
        <v>5.8499999999999996E-2</v>
      </c>
      <c r="AG159" s="406">
        <f t="shared" si="112"/>
        <v>8.8646335641005602E-2</v>
      </c>
      <c r="AH159" s="406">
        <f t="shared" si="113"/>
        <v>0</v>
      </c>
      <c r="AI159">
        <f t="shared" si="128"/>
        <v>0</v>
      </c>
      <c r="AJ159" s="407">
        <f t="shared" si="129"/>
        <v>2.9940000000000001E-2</v>
      </c>
      <c r="AK159">
        <f t="shared" si="134"/>
        <v>0.03</v>
      </c>
      <c r="AL159" s="407">
        <f t="shared" si="130"/>
        <v>0.13500000000000001</v>
      </c>
      <c r="AM159" s="407">
        <f t="shared" si="135"/>
        <v>9.8855098389982105E-2</v>
      </c>
      <c r="AN159" s="407">
        <f t="shared" si="114"/>
        <v>0.16500000000000001</v>
      </c>
      <c r="AO159" s="407">
        <f t="shared" si="115"/>
        <v>0.63053072185112546</v>
      </c>
      <c r="AP159">
        <f t="shared" si="131"/>
        <v>7.6499999999999995</v>
      </c>
      <c r="AQ159" s="10">
        <f t="shared" si="116"/>
        <v>0.9238538273655279</v>
      </c>
      <c r="AR159" s="63">
        <f t="shared" si="117"/>
        <v>3.9671177352562981</v>
      </c>
      <c r="AS159" s="63">
        <f t="shared" si="118"/>
        <v>3.5458534256402241</v>
      </c>
      <c r="AT159" s="10"/>
      <c r="AU159">
        <f t="shared" si="119"/>
        <v>92.385382736552785</v>
      </c>
    </row>
    <row r="160" spans="7:47" x14ac:dyDescent="0.2">
      <c r="G160">
        <v>151</v>
      </c>
      <c r="H160">
        <f t="shared" si="120"/>
        <v>1.51</v>
      </c>
      <c r="I160" s="406">
        <f t="shared" si="97"/>
        <v>0.34449979999999997</v>
      </c>
      <c r="J160" s="407">
        <f t="shared" si="121"/>
        <v>0.45473973599999995</v>
      </c>
      <c r="K160" s="407">
        <f t="shared" si="132"/>
        <v>1.737369868</v>
      </c>
      <c r="L160" s="407">
        <f t="shared" si="98"/>
        <v>1.282630132</v>
      </c>
      <c r="M160" s="63">
        <f t="shared" si="122"/>
        <v>0</v>
      </c>
      <c r="N160" s="406">
        <f t="shared" si="99"/>
        <v>1.5156953362372814</v>
      </c>
      <c r="O160" s="406">
        <f t="shared" si="100"/>
        <v>5.7002875291570672E-2</v>
      </c>
      <c r="P160">
        <f t="shared" si="123"/>
        <v>0.2</v>
      </c>
      <c r="Q160" s="406">
        <f t="shared" si="133"/>
        <v>0.25700287529157068</v>
      </c>
      <c r="R160" s="9">
        <f t="shared" si="101"/>
        <v>0.13127205449540966</v>
      </c>
      <c r="S160" s="9">
        <f t="shared" si="102"/>
        <v>3.4464704582891611E-5</v>
      </c>
      <c r="T160" s="9">
        <f t="shared" si="103"/>
        <v>3.4464704582891611E-5</v>
      </c>
      <c r="U160" s="406">
        <f t="shared" si="104"/>
        <v>0.88962381706985139</v>
      </c>
      <c r="V160" s="408">
        <f t="shared" si="105"/>
        <v>2.5325777148733838E-3</v>
      </c>
      <c r="W160" s="406">
        <f t="shared" si="106"/>
        <v>2.5325777148733838E-3</v>
      </c>
      <c r="X160" s="406">
        <f t="shared" si="107"/>
        <v>0.88962381706985139</v>
      </c>
      <c r="Y160" s="406">
        <f t="shared" si="108"/>
        <v>1.5828610717958651E-2</v>
      </c>
      <c r="Z160" s="406">
        <f t="shared" si="124"/>
        <v>2.2751619207904653E-2</v>
      </c>
      <c r="AA160" s="406">
        <f t="shared" si="125"/>
        <v>4.9687500000000002E-2</v>
      </c>
      <c r="AB160" s="406">
        <f t="shared" si="126"/>
        <v>0</v>
      </c>
      <c r="AC160" s="406">
        <f t="shared" si="109"/>
        <v>8.8519936496668478E-2</v>
      </c>
      <c r="AD160" s="406">
        <f t="shared" si="110"/>
        <v>1.2271519125167483</v>
      </c>
      <c r="AE160" s="406">
        <f t="shared" si="111"/>
        <v>3.011803632787026E-2</v>
      </c>
      <c r="AF160" s="406">
        <f t="shared" si="127"/>
        <v>5.8889999999999998E-2</v>
      </c>
      <c r="AG160" s="406">
        <f t="shared" si="112"/>
        <v>8.9439032814178587E-2</v>
      </c>
      <c r="AH160" s="406">
        <f t="shared" si="113"/>
        <v>0</v>
      </c>
      <c r="AI160">
        <f t="shared" si="128"/>
        <v>0</v>
      </c>
      <c r="AJ160" s="407">
        <f t="shared" si="129"/>
        <v>2.99396E-2</v>
      </c>
      <c r="AK160">
        <f t="shared" si="134"/>
        <v>0.03</v>
      </c>
      <c r="AL160" s="407">
        <f t="shared" si="130"/>
        <v>0.13500000000000001</v>
      </c>
      <c r="AM160" s="407">
        <f t="shared" si="135"/>
        <v>9.8855098389982105E-2</v>
      </c>
      <c r="AN160" s="407">
        <f t="shared" si="114"/>
        <v>0.16500000000000001</v>
      </c>
      <c r="AO160" s="407">
        <f t="shared" si="115"/>
        <v>0.63246848702187408</v>
      </c>
      <c r="AP160">
        <f t="shared" si="131"/>
        <v>7.7009999999999996</v>
      </c>
      <c r="AQ160" s="10">
        <f t="shared" si="116"/>
        <v>0.92410501245587617</v>
      </c>
      <c r="AR160" s="63">
        <f t="shared" si="117"/>
        <v>3.9833971423500816</v>
      </c>
      <c r="AS160" s="63">
        <f t="shared" si="118"/>
        <v>3.5775613125671435</v>
      </c>
      <c r="AT160" s="10"/>
      <c r="AU160">
        <f t="shared" si="119"/>
        <v>92.410501245587611</v>
      </c>
    </row>
    <row r="161" spans="7:47" x14ac:dyDescent="0.2">
      <c r="G161">
        <v>152</v>
      </c>
      <c r="H161">
        <f t="shared" si="120"/>
        <v>1.52</v>
      </c>
      <c r="I161" s="406">
        <f t="shared" si="97"/>
        <v>0.34452959999999994</v>
      </c>
      <c r="J161" s="407">
        <f t="shared" si="121"/>
        <v>0.45477907199999995</v>
      </c>
      <c r="K161" s="407">
        <f t="shared" si="132"/>
        <v>1.747389536</v>
      </c>
      <c r="L161" s="407">
        <f t="shared" si="98"/>
        <v>1.292610464</v>
      </c>
      <c r="M161" s="63">
        <f t="shared" si="122"/>
        <v>0</v>
      </c>
      <c r="N161" s="406">
        <f t="shared" si="99"/>
        <v>1.5256589834212948</v>
      </c>
      <c r="O161" s="406">
        <f t="shared" si="100"/>
        <v>5.7758246449494392E-2</v>
      </c>
      <c r="P161">
        <f t="shared" si="123"/>
        <v>0.2</v>
      </c>
      <c r="Q161" s="406">
        <f t="shared" si="133"/>
        <v>0.25775824644949441</v>
      </c>
      <c r="R161" s="9">
        <f t="shared" si="101"/>
        <v>0.1312834098205041</v>
      </c>
      <c r="S161" s="9">
        <f t="shared" si="102"/>
        <v>3.4470667388196865E-5</v>
      </c>
      <c r="T161" s="9">
        <f t="shared" si="103"/>
        <v>3.4470667388196865E-5</v>
      </c>
      <c r="U161" s="406">
        <f t="shared" si="104"/>
        <v>0.89551061996131243</v>
      </c>
      <c r="V161" s="408">
        <f t="shared" si="105"/>
        <v>2.5662056654831814E-3</v>
      </c>
      <c r="W161" s="406">
        <f t="shared" si="106"/>
        <v>2.5662056654831814E-3</v>
      </c>
      <c r="X161" s="406">
        <f t="shared" si="107"/>
        <v>0.89551061996131243</v>
      </c>
      <c r="Y161" s="406">
        <f t="shared" si="108"/>
        <v>1.6038785409269882E-2</v>
      </c>
      <c r="Z161" s="406">
        <f t="shared" si="124"/>
        <v>2.2900279687100365E-2</v>
      </c>
      <c r="AA161" s="406">
        <f t="shared" si="125"/>
        <v>4.9687500000000002E-2</v>
      </c>
      <c r="AB161" s="406">
        <f t="shared" si="126"/>
        <v>0</v>
      </c>
      <c r="AC161" s="406">
        <f t="shared" si="109"/>
        <v>8.8883169150139343E-2</v>
      </c>
      <c r="AD161" s="406">
        <f t="shared" si="110"/>
        <v>1.2351906991354025</v>
      </c>
      <c r="AE161" s="406">
        <f t="shared" si="111"/>
        <v>3.0513921264612085E-2</v>
      </c>
      <c r="AF161" s="406">
        <f t="shared" si="127"/>
        <v>5.9279999999999999E-2</v>
      </c>
      <c r="AG161" s="406">
        <f t="shared" si="112"/>
        <v>9.023446644934642E-2</v>
      </c>
      <c r="AH161" s="406">
        <f t="shared" si="113"/>
        <v>0</v>
      </c>
      <c r="AI161">
        <f t="shared" si="128"/>
        <v>0</v>
      </c>
      <c r="AJ161" s="407">
        <f t="shared" si="129"/>
        <v>2.9939199999999999E-2</v>
      </c>
      <c r="AK161">
        <f t="shared" si="134"/>
        <v>0.03</v>
      </c>
      <c r="AL161" s="407">
        <f t="shared" si="130"/>
        <v>0.13500000000000001</v>
      </c>
      <c r="AM161" s="407">
        <f t="shared" si="135"/>
        <v>9.8855098389982105E-2</v>
      </c>
      <c r="AN161" s="407">
        <f t="shared" si="114"/>
        <v>0.16500000000000001</v>
      </c>
      <c r="AO161" s="407">
        <f t="shared" si="115"/>
        <v>0.63441575838185149</v>
      </c>
      <c r="AP161">
        <f t="shared" si="131"/>
        <v>7.7519999999999998</v>
      </c>
      <c r="AQ161" s="10">
        <f t="shared" si="116"/>
        <v>0.92435197864501517</v>
      </c>
      <c r="AR161" s="63">
        <f t="shared" si="117"/>
        <v>3.9997426117562704</v>
      </c>
      <c r="AS161" s="63">
        <f t="shared" si="118"/>
        <v>3.6093786579738567</v>
      </c>
      <c r="AT161" s="10"/>
      <c r="AU161">
        <f t="shared" si="119"/>
        <v>92.435197864501518</v>
      </c>
    </row>
    <row r="162" spans="7:47" x14ac:dyDescent="0.2">
      <c r="G162">
        <v>153</v>
      </c>
      <c r="H162">
        <f t="shared" si="120"/>
        <v>1.53</v>
      </c>
      <c r="I162" s="406">
        <f t="shared" si="97"/>
        <v>0.34455939999999996</v>
      </c>
      <c r="J162" s="407">
        <f t="shared" si="121"/>
        <v>0.45481840800000001</v>
      </c>
      <c r="K162" s="407">
        <f t="shared" si="132"/>
        <v>1.757409204</v>
      </c>
      <c r="L162" s="407">
        <f t="shared" si="98"/>
        <v>1.3025907960000001</v>
      </c>
      <c r="M162" s="63">
        <f t="shared" si="122"/>
        <v>0</v>
      </c>
      <c r="N162" s="406">
        <f t="shared" si="99"/>
        <v>1.5356231032889021</v>
      </c>
      <c r="O162" s="406">
        <f t="shared" si="100"/>
        <v>5.8518694858041925E-2</v>
      </c>
      <c r="P162">
        <f t="shared" si="123"/>
        <v>0.2</v>
      </c>
      <c r="Q162" s="406">
        <f t="shared" si="133"/>
        <v>0.25851869485804191</v>
      </c>
      <c r="R162" s="9">
        <f t="shared" si="101"/>
        <v>0.13129476514559854</v>
      </c>
      <c r="S162" s="9">
        <f t="shared" si="102"/>
        <v>3.4476630709275761E-5</v>
      </c>
      <c r="T162" s="9">
        <f t="shared" si="103"/>
        <v>3.4476630709275761E-5</v>
      </c>
      <c r="U162" s="406">
        <f t="shared" si="104"/>
        <v>0.90139820448878472</v>
      </c>
      <c r="V162" s="408">
        <f t="shared" si="105"/>
        <v>2.6000599137779357E-3</v>
      </c>
      <c r="W162" s="406">
        <f t="shared" si="106"/>
        <v>2.6000599137779357E-3</v>
      </c>
      <c r="X162" s="406">
        <f t="shared" si="107"/>
        <v>0.90139820448878472</v>
      </c>
      <c r="Y162" s="406">
        <f t="shared" si="108"/>
        <v>1.6250374461112098E-2</v>
      </c>
      <c r="Z162" s="406">
        <f t="shared" si="124"/>
        <v>2.3048940166296078E-2</v>
      </c>
      <c r="AA162" s="406">
        <f t="shared" si="125"/>
        <v>4.9687500000000002E-2</v>
      </c>
      <c r="AB162" s="406">
        <f t="shared" si="126"/>
        <v>0</v>
      </c>
      <c r="AC162" s="406">
        <f t="shared" si="109"/>
        <v>8.9247870664676598E-2</v>
      </c>
      <c r="AD162" s="406">
        <f t="shared" si="110"/>
        <v>1.2432295010572396</v>
      </c>
      <c r="AE162" s="406">
        <f t="shared" si="111"/>
        <v>3.0912391845980661E-2</v>
      </c>
      <c r="AF162" s="406">
        <f t="shared" si="127"/>
        <v>5.9670000000000001E-2</v>
      </c>
      <c r="AG162" s="406">
        <f t="shared" si="112"/>
        <v>9.1032637696741442E-2</v>
      </c>
      <c r="AH162" s="406">
        <f t="shared" si="113"/>
        <v>0</v>
      </c>
      <c r="AI162">
        <f t="shared" si="128"/>
        <v>0</v>
      </c>
      <c r="AJ162" s="407">
        <f t="shared" si="129"/>
        <v>2.9938800000000002E-2</v>
      </c>
      <c r="AK162">
        <f t="shared" si="134"/>
        <v>0.03</v>
      </c>
      <c r="AL162" s="407">
        <f t="shared" si="130"/>
        <v>0.13500000000000001</v>
      </c>
      <c r="AM162" s="407">
        <f t="shared" si="135"/>
        <v>9.8855098389982105E-2</v>
      </c>
      <c r="AN162" s="407">
        <f t="shared" si="114"/>
        <v>0.16500000000000001</v>
      </c>
      <c r="AO162" s="407">
        <f t="shared" si="115"/>
        <v>0.63637253976394714</v>
      </c>
      <c r="AP162">
        <f t="shared" si="131"/>
        <v>7.8029999999999999</v>
      </c>
      <c r="AQ162" s="10">
        <f t="shared" si="116"/>
        <v>0.92459480408459993</v>
      </c>
      <c r="AR162" s="63">
        <f t="shared" si="117"/>
        <v>4.0161541799104468</v>
      </c>
      <c r="AS162" s="63">
        <f t="shared" si="118"/>
        <v>3.6413055078696575</v>
      </c>
      <c r="AT162" s="10"/>
      <c r="AU162">
        <f t="shared" si="119"/>
        <v>92.459480408459996</v>
      </c>
    </row>
    <row r="163" spans="7:47" x14ac:dyDescent="0.2">
      <c r="G163">
        <v>154</v>
      </c>
      <c r="H163">
        <f t="shared" si="120"/>
        <v>1.54</v>
      </c>
      <c r="I163" s="406">
        <f t="shared" si="97"/>
        <v>0.34458919999999998</v>
      </c>
      <c r="J163" s="407">
        <f t="shared" si="121"/>
        <v>0.45485774400000001</v>
      </c>
      <c r="K163" s="407">
        <f t="shared" si="132"/>
        <v>1.767428872</v>
      </c>
      <c r="L163" s="407">
        <f t="shared" si="98"/>
        <v>1.3125711280000001</v>
      </c>
      <c r="M163" s="63">
        <f t="shared" si="122"/>
        <v>0</v>
      </c>
      <c r="N163" s="406">
        <f t="shared" si="99"/>
        <v>1.5455876866981906</v>
      </c>
      <c r="O163" s="406">
        <f t="shared" si="100"/>
        <v>5.9284222345509244E-2</v>
      </c>
      <c r="P163">
        <f t="shared" si="123"/>
        <v>0.2</v>
      </c>
      <c r="Q163" s="406">
        <f t="shared" si="133"/>
        <v>0.25928422234550924</v>
      </c>
      <c r="R163" s="9">
        <f t="shared" si="101"/>
        <v>0.13130612047069296</v>
      </c>
      <c r="S163" s="9">
        <f t="shared" si="102"/>
        <v>3.4482594546128265E-5</v>
      </c>
      <c r="T163" s="9">
        <f t="shared" si="103"/>
        <v>3.4482594546128265E-5</v>
      </c>
      <c r="U163" s="406">
        <f t="shared" si="104"/>
        <v>0.90728656528920748</v>
      </c>
      <c r="V163" s="408">
        <f t="shared" si="105"/>
        <v>2.63414051697372E-3</v>
      </c>
      <c r="W163" s="406">
        <f t="shared" si="106"/>
        <v>2.63414051697372E-3</v>
      </c>
      <c r="X163" s="406">
        <f t="shared" si="107"/>
        <v>0.90728656528920748</v>
      </c>
      <c r="Y163" s="406">
        <f t="shared" si="108"/>
        <v>1.6463378231085748E-2</v>
      </c>
      <c r="Z163" s="406">
        <f t="shared" si="124"/>
        <v>2.3197600645491791E-2</v>
      </c>
      <c r="AA163" s="406">
        <f t="shared" si="125"/>
        <v>4.9687500000000002E-2</v>
      </c>
      <c r="AB163" s="406">
        <f t="shared" si="126"/>
        <v>0</v>
      </c>
      <c r="AC163" s="406">
        <f t="shared" si="109"/>
        <v>8.9614041852427453E-2</v>
      </c>
      <c r="AD163" s="406">
        <f t="shared" si="110"/>
        <v>1.2512683108425535</v>
      </c>
      <c r="AE163" s="406">
        <f t="shared" si="111"/>
        <v>3.1313447714375539E-2</v>
      </c>
      <c r="AF163" s="406">
        <f t="shared" si="127"/>
        <v>6.0060000000000002E-2</v>
      </c>
      <c r="AG163" s="406">
        <f t="shared" si="112"/>
        <v>9.1833547713536093E-2</v>
      </c>
      <c r="AH163" s="406">
        <f t="shared" si="113"/>
        <v>0</v>
      </c>
      <c r="AI163">
        <f t="shared" si="128"/>
        <v>0</v>
      </c>
      <c r="AJ163" s="407">
        <f t="shared" si="129"/>
        <v>2.99384E-2</v>
      </c>
      <c r="AK163">
        <f t="shared" si="134"/>
        <v>0.03</v>
      </c>
      <c r="AL163" s="407">
        <f t="shared" si="130"/>
        <v>0.13500000000000001</v>
      </c>
      <c r="AM163" s="407">
        <f t="shared" si="135"/>
        <v>9.8855098389982105E-2</v>
      </c>
      <c r="AN163" s="407">
        <f t="shared" si="114"/>
        <v>0.16500000000000001</v>
      </c>
      <c r="AO163" s="407">
        <f t="shared" si="115"/>
        <v>0.6383388350229926</v>
      </c>
      <c r="AP163">
        <f t="shared" si="131"/>
        <v>7.8539999999999992</v>
      </c>
      <c r="AQ163" s="10">
        <f t="shared" si="116"/>
        <v>0.9248335650020888</v>
      </c>
      <c r="AR163" s="63">
        <f t="shared" si="117"/>
        <v>4.0326318833592358</v>
      </c>
      <c r="AS163" s="63">
        <f t="shared" si="118"/>
        <v>3.6733419085414436</v>
      </c>
      <c r="AT163" s="10"/>
      <c r="AU163">
        <f t="shared" si="119"/>
        <v>92.483356500208885</v>
      </c>
    </row>
    <row r="164" spans="7:47" x14ac:dyDescent="0.2">
      <c r="G164">
        <v>155</v>
      </c>
      <c r="H164">
        <f t="shared" si="120"/>
        <v>1.55</v>
      </c>
      <c r="I164" s="406">
        <f t="shared" si="97"/>
        <v>0.34461899999999995</v>
      </c>
      <c r="J164" s="407">
        <f t="shared" si="121"/>
        <v>0.45489707999999995</v>
      </c>
      <c r="K164" s="407">
        <f t="shared" si="132"/>
        <v>1.77744854</v>
      </c>
      <c r="L164" s="407">
        <f t="shared" si="98"/>
        <v>1.3225514600000001</v>
      </c>
      <c r="M164" s="63">
        <f t="shared" si="122"/>
        <v>0</v>
      </c>
      <c r="N164" s="406">
        <f t="shared" si="99"/>
        <v>1.5555527247410734</v>
      </c>
      <c r="O164" s="406">
        <f t="shared" si="100"/>
        <v>6.0054830752738091E-2</v>
      </c>
      <c r="P164">
        <f t="shared" si="123"/>
        <v>0.2</v>
      </c>
      <c r="Q164" s="406">
        <f t="shared" si="133"/>
        <v>0.26005483075273811</v>
      </c>
      <c r="R164" s="9">
        <f t="shared" si="101"/>
        <v>0.13131747579578737</v>
      </c>
      <c r="S164" s="9">
        <f t="shared" si="102"/>
        <v>3.4488558898754404E-5</v>
      </c>
      <c r="T164" s="9">
        <f t="shared" si="103"/>
        <v>3.4488558898754404E-5</v>
      </c>
      <c r="U164" s="406">
        <f t="shared" si="104"/>
        <v>0.91317569713586066</v>
      </c>
      <c r="V164" s="408">
        <f t="shared" si="105"/>
        <v>2.6684475322866085E-3</v>
      </c>
      <c r="W164" s="406">
        <f t="shared" si="106"/>
        <v>2.6684475322866085E-3</v>
      </c>
      <c r="X164" s="406">
        <f t="shared" si="107"/>
        <v>0.91317569713586066</v>
      </c>
      <c r="Y164" s="406">
        <f t="shared" si="108"/>
        <v>1.6677797076791304E-2</v>
      </c>
      <c r="Z164" s="406">
        <f t="shared" si="124"/>
        <v>2.3346261124687503E-2</v>
      </c>
      <c r="AA164" s="406">
        <f t="shared" si="125"/>
        <v>4.9687500000000002E-2</v>
      </c>
      <c r="AB164" s="406">
        <f t="shared" si="126"/>
        <v>0</v>
      </c>
      <c r="AC164" s="406">
        <f t="shared" si="109"/>
        <v>8.9981683528010295E-2</v>
      </c>
      <c r="AD164" s="406">
        <f t="shared" si="110"/>
        <v>1.2593071212416027</v>
      </c>
      <c r="AE164" s="406">
        <f t="shared" si="111"/>
        <v>3.1717088512196255E-2</v>
      </c>
      <c r="AF164" s="406">
        <f t="shared" si="127"/>
        <v>6.0450000000000004E-2</v>
      </c>
      <c r="AG164" s="406">
        <f t="shared" si="112"/>
        <v>9.2637197663848439E-2</v>
      </c>
      <c r="AH164" s="406">
        <f t="shared" si="113"/>
        <v>0</v>
      </c>
      <c r="AI164">
        <f t="shared" si="128"/>
        <v>0</v>
      </c>
      <c r="AJ164" s="407">
        <f t="shared" si="129"/>
        <v>2.9937999999999999E-2</v>
      </c>
      <c r="AK164">
        <f t="shared" si="134"/>
        <v>0.03</v>
      </c>
      <c r="AL164" s="407">
        <f t="shared" si="130"/>
        <v>0.13500000000000001</v>
      </c>
      <c r="AM164" s="407">
        <f t="shared" si="135"/>
        <v>9.8855098389982105E-2</v>
      </c>
      <c r="AN164" s="407">
        <f t="shared" si="114"/>
        <v>0.16500000000000001</v>
      </c>
      <c r="AO164" s="407">
        <f t="shared" si="115"/>
        <v>0.6403146480357822</v>
      </c>
      <c r="AP164">
        <f t="shared" si="131"/>
        <v>7.9049999999999994</v>
      </c>
      <c r="AQ164" s="10">
        <f t="shared" si="116"/>
        <v>0.92506833575953062</v>
      </c>
      <c r="AR164" s="63">
        <f t="shared" si="117"/>
        <v>4.0491757587604633</v>
      </c>
      <c r="AS164" s="63">
        <f t="shared" si="118"/>
        <v>3.7054879065539374</v>
      </c>
      <c r="AT164" s="10"/>
      <c r="AU164">
        <f t="shared" si="119"/>
        <v>92.506833575953067</v>
      </c>
    </row>
    <row r="165" spans="7:47" x14ac:dyDescent="0.2">
      <c r="G165">
        <v>156</v>
      </c>
      <c r="H165">
        <f t="shared" si="120"/>
        <v>1.56</v>
      </c>
      <c r="I165" s="406">
        <f t="shared" si="97"/>
        <v>0.34464879999999998</v>
      </c>
      <c r="J165" s="407">
        <f t="shared" si="121"/>
        <v>0.45493641599999995</v>
      </c>
      <c r="K165" s="407">
        <f t="shared" si="132"/>
        <v>1.7874682079999999</v>
      </c>
      <c r="L165" s="407">
        <f t="shared" si="98"/>
        <v>1.3325317920000002</v>
      </c>
      <c r="M165" s="63">
        <f t="shared" si="122"/>
        <v>0</v>
      </c>
      <c r="N165" s="406">
        <f t="shared" si="99"/>
        <v>1.5655182087358734</v>
      </c>
      <c r="O165" s="406">
        <f t="shared" si="100"/>
        <v>6.0830521933127032E-2</v>
      </c>
      <c r="P165">
        <f t="shared" si="123"/>
        <v>0.2</v>
      </c>
      <c r="Q165" s="406">
        <f t="shared" si="133"/>
        <v>0.26083052193312706</v>
      </c>
      <c r="R165" s="9">
        <f t="shared" si="101"/>
        <v>0.13132883112088178</v>
      </c>
      <c r="S165" s="9">
        <f t="shared" si="102"/>
        <v>3.4494523767154172E-5</v>
      </c>
      <c r="T165" s="9">
        <f t="shared" si="103"/>
        <v>3.4494523767154172E-5</v>
      </c>
      <c r="U165" s="406">
        <f t="shared" si="104"/>
        <v>0.91906559493403994</v>
      </c>
      <c r="V165" s="408">
        <f t="shared" si="105"/>
        <v>2.7029810169326746E-3</v>
      </c>
      <c r="W165" s="406">
        <f t="shared" si="106"/>
        <v>2.7029810169326746E-3</v>
      </c>
      <c r="X165" s="406">
        <f t="shared" si="107"/>
        <v>0.91906559493403994</v>
      </c>
      <c r="Y165" s="406">
        <f t="shared" si="108"/>
        <v>1.6893631355829216E-2</v>
      </c>
      <c r="Z165" s="406">
        <f t="shared" si="124"/>
        <v>2.3494921603883216E-2</v>
      </c>
      <c r="AA165" s="406">
        <f t="shared" si="125"/>
        <v>4.9687500000000002E-2</v>
      </c>
      <c r="AB165" s="406">
        <f t="shared" si="126"/>
        <v>0</v>
      </c>
      <c r="AC165" s="406">
        <f t="shared" si="109"/>
        <v>9.0350796508518114E-2</v>
      </c>
      <c r="AD165" s="406">
        <f t="shared" si="110"/>
        <v>1.2673459251885877</v>
      </c>
      <c r="AE165" s="406">
        <f t="shared" si="111"/>
        <v>3.212331388184235E-2</v>
      </c>
      <c r="AF165" s="406">
        <f t="shared" si="127"/>
        <v>6.0840000000000005E-2</v>
      </c>
      <c r="AG165" s="406">
        <f t="shared" si="112"/>
        <v>9.3443588718747653E-2</v>
      </c>
      <c r="AH165" s="406">
        <f t="shared" si="113"/>
        <v>0</v>
      </c>
      <c r="AI165">
        <f t="shared" si="128"/>
        <v>0</v>
      </c>
      <c r="AJ165" s="407">
        <f t="shared" si="129"/>
        <v>2.9937600000000002E-2</v>
      </c>
      <c r="AK165">
        <f t="shared" si="134"/>
        <v>0.03</v>
      </c>
      <c r="AL165" s="407">
        <f t="shared" si="130"/>
        <v>0.13500000000000001</v>
      </c>
      <c r="AM165" s="407">
        <f t="shared" si="135"/>
        <v>9.8855098389982105E-2</v>
      </c>
      <c r="AN165" s="407">
        <f t="shared" si="114"/>
        <v>0.16500000000000001</v>
      </c>
      <c r="AO165" s="407">
        <f t="shared" si="115"/>
        <v>0.64229998270109268</v>
      </c>
      <c r="AP165">
        <f t="shared" si="131"/>
        <v>7.9559999999999995</v>
      </c>
      <c r="AQ165" s="10">
        <f t="shared" si="116"/>
        <v>0.92529918891021068</v>
      </c>
      <c r="AR165" s="63">
        <f t="shared" si="117"/>
        <v>4.0657858428833151</v>
      </c>
      <c r="AS165" s="63">
        <f t="shared" si="118"/>
        <v>3.737743548749906</v>
      </c>
      <c r="AT165" s="10"/>
      <c r="AU165">
        <f t="shared" si="119"/>
        <v>92.529918891021069</v>
      </c>
    </row>
    <row r="166" spans="7:47" x14ac:dyDescent="0.2">
      <c r="G166">
        <v>157</v>
      </c>
      <c r="H166">
        <f t="shared" si="120"/>
        <v>1.57</v>
      </c>
      <c r="I166" s="406">
        <f t="shared" si="97"/>
        <v>0.34467859999999995</v>
      </c>
      <c r="J166" s="407">
        <f t="shared" si="121"/>
        <v>0.45497575199999996</v>
      </c>
      <c r="K166" s="407">
        <f t="shared" si="132"/>
        <v>1.7974878759999999</v>
      </c>
      <c r="L166" s="407">
        <f t="shared" si="98"/>
        <v>1.3425121240000002</v>
      </c>
      <c r="M166" s="63">
        <f t="shared" si="122"/>
        <v>0</v>
      </c>
      <c r="N166" s="406">
        <f t="shared" si="99"/>
        <v>1.5754841302201885</v>
      </c>
      <c r="O166" s="406">
        <f t="shared" si="100"/>
        <v>6.1611297752642749E-2</v>
      </c>
      <c r="P166">
        <f t="shared" si="123"/>
        <v>0.2</v>
      </c>
      <c r="Q166" s="406">
        <f t="shared" si="133"/>
        <v>0.26161129775264275</v>
      </c>
      <c r="R166" s="9">
        <f t="shared" si="101"/>
        <v>0.1313401864459762</v>
      </c>
      <c r="S166" s="9">
        <f t="shared" si="102"/>
        <v>3.4500489151327575E-5</v>
      </c>
      <c r="T166" s="9">
        <f t="shared" si="103"/>
        <v>3.4500489151327575E-5</v>
      </c>
      <c r="U166" s="406">
        <f t="shared" si="104"/>
        <v>0.92495625371689727</v>
      </c>
      <c r="V166" s="408">
        <f t="shared" si="105"/>
        <v>2.7377410281279914E-3</v>
      </c>
      <c r="W166" s="406">
        <f t="shared" si="106"/>
        <v>2.7377410281279914E-3</v>
      </c>
      <c r="X166" s="406">
        <f t="shared" si="107"/>
        <v>0.92495625371689727</v>
      </c>
      <c r="Y166" s="406">
        <f t="shared" si="108"/>
        <v>1.7110881425799945E-2</v>
      </c>
      <c r="Z166" s="406">
        <f t="shared" si="124"/>
        <v>2.3643582083078932E-2</v>
      </c>
      <c r="AA166" s="406">
        <f t="shared" si="125"/>
        <v>4.9687500000000002E-2</v>
      </c>
      <c r="AB166" s="406">
        <f t="shared" si="126"/>
        <v>0</v>
      </c>
      <c r="AC166" s="406">
        <f t="shared" si="109"/>
        <v>9.0721381613522153E-2</v>
      </c>
      <c r="AD166" s="406">
        <f t="shared" si="110"/>
        <v>1.2753847157958522</v>
      </c>
      <c r="AE166" s="406">
        <f t="shared" si="111"/>
        <v>3.2532123465713332E-2</v>
      </c>
      <c r="AF166" s="406">
        <f t="shared" si="127"/>
        <v>6.123E-2</v>
      </c>
      <c r="AG166" s="406">
        <f t="shared" si="112"/>
        <v>9.4252722056259536E-2</v>
      </c>
      <c r="AH166" s="406">
        <f t="shared" si="113"/>
        <v>0</v>
      </c>
      <c r="AI166">
        <f t="shared" si="128"/>
        <v>0</v>
      </c>
      <c r="AJ166" s="407">
        <f t="shared" si="129"/>
        <v>2.9937200000000001E-2</v>
      </c>
      <c r="AK166">
        <f t="shared" si="134"/>
        <v>0.03</v>
      </c>
      <c r="AL166" s="407">
        <f t="shared" si="130"/>
        <v>0.13500000000000001</v>
      </c>
      <c r="AM166" s="407">
        <f t="shared" si="135"/>
        <v>9.8855098389982105E-2</v>
      </c>
      <c r="AN166" s="407">
        <f t="shared" si="114"/>
        <v>0.16500000000000001</v>
      </c>
      <c r="AO166" s="407">
        <f t="shared" si="115"/>
        <v>0.64429484293970385</v>
      </c>
      <c r="AP166">
        <f t="shared" si="131"/>
        <v>8.0069999999999997</v>
      </c>
      <c r="AQ166" s="10">
        <f t="shared" si="116"/>
        <v>0.92552619525324453</v>
      </c>
      <c r="AR166" s="63">
        <f t="shared" si="117"/>
        <v>4.0824621726084969</v>
      </c>
      <c r="AS166" s="63">
        <f t="shared" si="118"/>
        <v>3.7701088822503817</v>
      </c>
      <c r="AT166" s="10"/>
      <c r="AU166">
        <f t="shared" si="119"/>
        <v>92.552619525324459</v>
      </c>
    </row>
    <row r="167" spans="7:47" x14ac:dyDescent="0.2">
      <c r="G167">
        <v>158</v>
      </c>
      <c r="H167">
        <f t="shared" si="120"/>
        <v>1.58</v>
      </c>
      <c r="I167" s="406">
        <f t="shared" si="97"/>
        <v>0.34470839999999997</v>
      </c>
      <c r="J167" s="407">
        <f t="shared" si="121"/>
        <v>0.45501508799999996</v>
      </c>
      <c r="K167" s="407">
        <f t="shared" si="132"/>
        <v>1.8075075440000001</v>
      </c>
      <c r="L167" s="407">
        <f t="shared" si="98"/>
        <v>1.352492456</v>
      </c>
      <c r="M167" s="63">
        <f t="shared" si="122"/>
        <v>0</v>
      </c>
      <c r="N167" s="406">
        <f t="shared" si="99"/>
        <v>1.5854504809440242</v>
      </c>
      <c r="O167" s="406">
        <f t="shared" si="100"/>
        <v>6.2397160089831372E-2</v>
      </c>
      <c r="P167">
        <f t="shared" si="123"/>
        <v>0.2</v>
      </c>
      <c r="Q167" s="406">
        <f t="shared" si="133"/>
        <v>0.26239716008983138</v>
      </c>
      <c r="R167" s="9">
        <f t="shared" si="101"/>
        <v>0.13135154177107061</v>
      </c>
      <c r="S167" s="9">
        <f t="shared" si="102"/>
        <v>3.4506455051274614E-5</v>
      </c>
      <c r="T167" s="9">
        <f t="shared" si="103"/>
        <v>3.4506455051274614E-5</v>
      </c>
      <c r="U167" s="406">
        <f t="shared" si="104"/>
        <v>0.93084766864143687</v>
      </c>
      <c r="V167" s="408">
        <f t="shared" si="105"/>
        <v>2.7727276230886345E-3</v>
      </c>
      <c r="W167" s="406">
        <f t="shared" si="106"/>
        <v>2.7727276230886345E-3</v>
      </c>
      <c r="X167" s="406">
        <f t="shared" si="107"/>
        <v>0.93084766864143687</v>
      </c>
      <c r="Y167" s="406">
        <f t="shared" si="108"/>
        <v>1.7329547644303965E-2</v>
      </c>
      <c r="Z167" s="406">
        <f t="shared" si="124"/>
        <v>2.3792242562274649E-2</v>
      </c>
      <c r="AA167" s="406">
        <f t="shared" si="125"/>
        <v>4.9687500000000002E-2</v>
      </c>
      <c r="AB167" s="406">
        <f t="shared" si="126"/>
        <v>0</v>
      </c>
      <c r="AC167" s="406">
        <f t="shared" si="109"/>
        <v>9.1093439665075326E-2</v>
      </c>
      <c r="AD167" s="406">
        <f t="shared" si="110"/>
        <v>1.2834234863483054</v>
      </c>
      <c r="AE167" s="406">
        <f t="shared" si="111"/>
        <v>3.2943516906208774E-2</v>
      </c>
      <c r="AF167" s="406">
        <f t="shared" si="127"/>
        <v>6.1620000000000001E-2</v>
      </c>
      <c r="AG167" s="406">
        <f t="shared" si="112"/>
        <v>9.5064598861372224E-2</v>
      </c>
      <c r="AH167" s="406">
        <f t="shared" si="113"/>
        <v>0</v>
      </c>
      <c r="AI167">
        <f t="shared" si="128"/>
        <v>0</v>
      </c>
      <c r="AJ167" s="407">
        <f t="shared" si="129"/>
        <v>2.9936800000000003E-2</v>
      </c>
      <c r="AK167">
        <f t="shared" si="134"/>
        <v>0.03</v>
      </c>
      <c r="AL167" s="407">
        <f t="shared" si="130"/>
        <v>0.13500000000000001</v>
      </c>
      <c r="AM167" s="407">
        <f t="shared" si="135"/>
        <v>9.8855098389982105E-2</v>
      </c>
      <c r="AN167" s="407">
        <f t="shared" si="114"/>
        <v>0.16500000000000001</v>
      </c>
      <c r="AO167" s="407">
        <f t="shared" si="115"/>
        <v>0.6462992326944188</v>
      </c>
      <c r="AP167">
        <f t="shared" si="131"/>
        <v>8.0579999999999998</v>
      </c>
      <c r="AQ167" s="10">
        <f t="shared" si="116"/>
        <v>0.92574942388620562</v>
      </c>
      <c r="AR167" s="63">
        <f t="shared" si="117"/>
        <v>4.0992047849283892</v>
      </c>
      <c r="AS167" s="63">
        <f t="shared" si="118"/>
        <v>3.8025839544548887</v>
      </c>
      <c r="AT167" s="10"/>
      <c r="AU167">
        <f t="shared" si="119"/>
        <v>92.574942388620556</v>
      </c>
    </row>
    <row r="168" spans="7:47" x14ac:dyDescent="0.2">
      <c r="G168">
        <v>159</v>
      </c>
      <c r="H168">
        <f t="shared" si="120"/>
        <v>1.59</v>
      </c>
      <c r="I168" s="406">
        <f t="shared" si="97"/>
        <v>0.34473819999999994</v>
      </c>
      <c r="J168" s="407">
        <f t="shared" si="121"/>
        <v>0.45505442399999996</v>
      </c>
      <c r="K168" s="407">
        <f t="shared" si="132"/>
        <v>1.8175272120000001</v>
      </c>
      <c r="L168" s="407">
        <f t="shared" si="98"/>
        <v>1.362472788</v>
      </c>
      <c r="M168" s="63">
        <f t="shared" si="122"/>
        <v>0</v>
      </c>
      <c r="N168" s="406">
        <f t="shared" si="99"/>
        <v>1.5954172528631805</v>
      </c>
      <c r="O168" s="406">
        <f t="shared" si="100"/>
        <v>6.3188110835829731E-2</v>
      </c>
      <c r="P168">
        <f t="shared" si="123"/>
        <v>0.2</v>
      </c>
      <c r="Q168" s="406">
        <f t="shared" si="133"/>
        <v>0.26318811083582971</v>
      </c>
      <c r="R168" s="9">
        <f t="shared" si="101"/>
        <v>0.13136289709616505</v>
      </c>
      <c r="S168" s="9">
        <f t="shared" si="102"/>
        <v>3.4512421466995301E-5</v>
      </c>
      <c r="T168" s="9">
        <f t="shared" si="103"/>
        <v>3.4512421466995301E-5</v>
      </c>
      <c r="U168" s="406">
        <f t="shared" si="104"/>
        <v>0.93673983498465907</v>
      </c>
      <c r="V168" s="408">
        <f t="shared" si="105"/>
        <v>2.8079408590306765E-3</v>
      </c>
      <c r="W168" s="406">
        <f t="shared" si="106"/>
        <v>2.8079408590306765E-3</v>
      </c>
      <c r="X168" s="406">
        <f t="shared" si="107"/>
        <v>0.93673983498465907</v>
      </c>
      <c r="Y168" s="406">
        <f t="shared" si="108"/>
        <v>1.7549630368941728E-2</v>
      </c>
      <c r="Z168" s="406">
        <f t="shared" si="124"/>
        <v>2.3940903041470358E-2</v>
      </c>
      <c r="AA168" s="406">
        <f t="shared" si="125"/>
        <v>4.9687500000000002E-2</v>
      </c>
      <c r="AB168" s="406">
        <f t="shared" si="126"/>
        <v>0</v>
      </c>
      <c r="AC168" s="406">
        <f t="shared" si="109"/>
        <v>9.1466971487715751E-2</v>
      </c>
      <c r="AD168" s="406">
        <f t="shared" si="110"/>
        <v>1.2914622302980492</v>
      </c>
      <c r="AE168" s="406">
        <f t="shared" si="111"/>
        <v>3.3357493845728226E-2</v>
      </c>
      <c r="AF168" s="406">
        <f t="shared" si="127"/>
        <v>6.2010000000000003E-2</v>
      </c>
      <c r="AG168" s="406">
        <f t="shared" si="112"/>
        <v>9.5879220326041695E-2</v>
      </c>
      <c r="AH168" s="406">
        <f t="shared" si="113"/>
        <v>0</v>
      </c>
      <c r="AI168">
        <f t="shared" si="128"/>
        <v>0</v>
      </c>
      <c r="AJ168" s="407">
        <f t="shared" si="129"/>
        <v>2.9936399999999998E-2</v>
      </c>
      <c r="AK168">
        <f t="shared" si="134"/>
        <v>0.03</v>
      </c>
      <c r="AL168" s="407">
        <f t="shared" si="130"/>
        <v>0.13500000000000001</v>
      </c>
      <c r="AM168" s="407">
        <f t="shared" si="135"/>
        <v>9.8855098389982105E-2</v>
      </c>
      <c r="AN168" s="407">
        <f t="shared" si="114"/>
        <v>0.16500000000000001</v>
      </c>
      <c r="AO168" s="407">
        <f t="shared" si="115"/>
        <v>0.64831315593008487</v>
      </c>
      <c r="AP168">
        <f t="shared" si="131"/>
        <v>8.109</v>
      </c>
      <c r="AQ168" s="10">
        <f t="shared" si="116"/>
        <v>0.92596894225587056</v>
      </c>
      <c r="AR168" s="63">
        <f t="shared" si="117"/>
        <v>4.1160137169472089</v>
      </c>
      <c r="AS168" s="63">
        <f t="shared" si="118"/>
        <v>3.8351688130416677</v>
      </c>
      <c r="AT168" s="10"/>
      <c r="AU168">
        <f t="shared" si="119"/>
        <v>92.59689422558705</v>
      </c>
    </row>
    <row r="169" spans="7:47" x14ac:dyDescent="0.2">
      <c r="G169">
        <v>160</v>
      </c>
      <c r="H169">
        <f t="shared" si="120"/>
        <v>1.6</v>
      </c>
      <c r="I169" s="406">
        <f t="shared" si="97"/>
        <v>0.34476799999999996</v>
      </c>
      <c r="J169" s="407">
        <f t="shared" si="121"/>
        <v>0.45509375999999996</v>
      </c>
      <c r="K169" s="407">
        <f t="shared" si="132"/>
        <v>1.8275468800000001</v>
      </c>
      <c r="L169" s="407">
        <f t="shared" si="98"/>
        <v>1.3724531200000001</v>
      </c>
      <c r="M169" s="63">
        <f t="shared" si="122"/>
        <v>0</v>
      </c>
      <c r="N169" s="406">
        <f t="shared" si="99"/>
        <v>1.605384438132887</v>
      </c>
      <c r="O169" s="406">
        <f t="shared" si="100"/>
        <v>6.3984151894376937E-2</v>
      </c>
      <c r="P169">
        <f t="shared" si="123"/>
        <v>0.2</v>
      </c>
      <c r="Q169" s="406">
        <f t="shared" si="133"/>
        <v>0.26398415189437696</v>
      </c>
      <c r="R169" s="9">
        <f t="shared" si="101"/>
        <v>0.13137425242125947</v>
      </c>
      <c r="S169" s="9">
        <f t="shared" si="102"/>
        <v>3.4518388398489603E-5</v>
      </c>
      <c r="T169" s="9">
        <f t="shared" si="103"/>
        <v>3.4518388398489603E-5</v>
      </c>
      <c r="U169" s="406">
        <f t="shared" si="104"/>
        <v>0.94263274813984976</v>
      </c>
      <c r="V169" s="408">
        <f t="shared" si="105"/>
        <v>2.8433807931701935E-3</v>
      </c>
      <c r="W169" s="406">
        <f t="shared" si="106"/>
        <v>2.8433807931701935E-3</v>
      </c>
      <c r="X169" s="406">
        <f t="shared" si="107"/>
        <v>0.94263274813984976</v>
      </c>
      <c r="Y169" s="406">
        <f t="shared" si="108"/>
        <v>1.7771129957313711E-2</v>
      </c>
      <c r="Z169" s="406">
        <f t="shared" si="124"/>
        <v>2.4089563520666074E-2</v>
      </c>
      <c r="AA169" s="406">
        <f t="shared" si="125"/>
        <v>4.9687500000000002E-2</v>
      </c>
      <c r="AB169" s="406">
        <f t="shared" si="126"/>
        <v>0</v>
      </c>
      <c r="AC169" s="406">
        <f t="shared" si="109"/>
        <v>9.1841977908470457E-2</v>
      </c>
      <c r="AD169" s="406">
        <f t="shared" si="110"/>
        <v>1.2995009412592051</v>
      </c>
      <c r="AE169" s="406">
        <f t="shared" si="111"/>
        <v>3.3774053926671203E-2</v>
      </c>
      <c r="AF169" s="406">
        <f t="shared" si="127"/>
        <v>6.2400000000000004E-2</v>
      </c>
      <c r="AG169" s="406">
        <f t="shared" si="112"/>
        <v>9.669658764919746E-2</v>
      </c>
      <c r="AH169" s="406">
        <f t="shared" si="113"/>
        <v>0</v>
      </c>
      <c r="AI169">
        <f t="shared" si="128"/>
        <v>0</v>
      </c>
      <c r="AJ169" s="407">
        <f t="shared" si="129"/>
        <v>2.9936000000000001E-2</v>
      </c>
      <c r="AK169">
        <f t="shared" si="134"/>
        <v>0.03</v>
      </c>
      <c r="AL169" s="407">
        <f t="shared" si="130"/>
        <v>0.13500000000000001</v>
      </c>
      <c r="AM169" s="407">
        <f t="shared" si="135"/>
        <v>9.8855098389982105E-2</v>
      </c>
      <c r="AN169" s="407">
        <f t="shared" si="114"/>
        <v>0.16500000000000001</v>
      </c>
      <c r="AO169" s="407">
        <f t="shared" si="115"/>
        <v>0.65033661663361364</v>
      </c>
      <c r="AP169">
        <f t="shared" si="131"/>
        <v>8.16</v>
      </c>
      <c r="AQ169" s="10">
        <f t="shared" si="116"/>
        <v>0.92618481620715831</v>
      </c>
      <c r="AR169" s="63">
        <f t="shared" si="117"/>
        <v>4.1328890058811707</v>
      </c>
      <c r="AS169" s="63">
        <f t="shared" si="118"/>
        <v>3.8678635059678985</v>
      </c>
      <c r="AT169" s="10"/>
      <c r="AU169">
        <f t="shared" si="119"/>
        <v>92.618481620715826</v>
      </c>
    </row>
    <row r="170" spans="7:47" x14ac:dyDescent="0.2">
      <c r="G170">
        <v>161</v>
      </c>
      <c r="H170">
        <f t="shared" si="120"/>
        <v>1.61</v>
      </c>
      <c r="I170" s="406">
        <f t="shared" si="97"/>
        <v>0.34479779999999999</v>
      </c>
      <c r="J170" s="407">
        <f t="shared" si="121"/>
        <v>0.45513309600000001</v>
      </c>
      <c r="K170" s="407">
        <f t="shared" si="132"/>
        <v>1.8375665480000001</v>
      </c>
      <c r="L170" s="407">
        <f t="shared" si="98"/>
        <v>1.3824334520000001</v>
      </c>
      <c r="M170" s="63">
        <f t="shared" si="122"/>
        <v>0</v>
      </c>
      <c r="N170" s="406">
        <f t="shared" si="99"/>
        <v>1.615352029101669</v>
      </c>
      <c r="O170" s="406">
        <f t="shared" si="100"/>
        <v>6.4785285181825761E-2</v>
      </c>
      <c r="P170">
        <f t="shared" si="123"/>
        <v>0.2</v>
      </c>
      <c r="Q170" s="406">
        <f t="shared" si="133"/>
        <v>0.26478528518182576</v>
      </c>
      <c r="R170" s="9">
        <f t="shared" si="101"/>
        <v>0.13138560774635391</v>
      </c>
      <c r="S170" s="9">
        <f t="shared" si="102"/>
        <v>3.4524355845757547E-5</v>
      </c>
      <c r="T170" s="9">
        <f t="shared" si="103"/>
        <v>3.4524355845757547E-5</v>
      </c>
      <c r="U170" s="406">
        <f t="shared" si="104"/>
        <v>0.94852640361300289</v>
      </c>
      <c r="V170" s="408">
        <f t="shared" si="105"/>
        <v>2.8790474827232551E-3</v>
      </c>
      <c r="W170" s="406">
        <f t="shared" si="106"/>
        <v>2.8790474827232551E-3</v>
      </c>
      <c r="X170" s="406">
        <f t="shared" si="107"/>
        <v>0.94852640361300289</v>
      </c>
      <c r="Y170" s="406">
        <f t="shared" si="108"/>
        <v>1.7994046767020346E-2</v>
      </c>
      <c r="Z170" s="406">
        <f t="shared" si="124"/>
        <v>2.4238223999861787E-2</v>
      </c>
      <c r="AA170" s="406">
        <f t="shared" si="125"/>
        <v>4.9687500000000002E-2</v>
      </c>
      <c r="AB170" s="406">
        <f t="shared" si="126"/>
        <v>0</v>
      </c>
      <c r="AC170" s="406">
        <f t="shared" si="109"/>
        <v>9.2218459756858689E-2</v>
      </c>
      <c r="AD170" s="406">
        <f t="shared" si="110"/>
        <v>1.3075396130029338</v>
      </c>
      <c r="AE170" s="406">
        <f t="shared" si="111"/>
        <v>3.4193196791437237E-2</v>
      </c>
      <c r="AF170" s="406">
        <f t="shared" si="127"/>
        <v>6.2789999999999999E-2</v>
      </c>
      <c r="AG170" s="406">
        <f t="shared" si="112"/>
        <v>9.7516702036748351E-2</v>
      </c>
      <c r="AH170" s="406">
        <f t="shared" si="113"/>
        <v>0</v>
      </c>
      <c r="AI170">
        <f t="shared" si="128"/>
        <v>0</v>
      </c>
      <c r="AJ170" s="407">
        <f t="shared" si="129"/>
        <v>2.9935600000000003E-2</v>
      </c>
      <c r="AK170">
        <f t="shared" si="134"/>
        <v>0.03</v>
      </c>
      <c r="AL170" s="407">
        <f t="shared" si="130"/>
        <v>0.13500000000000001</v>
      </c>
      <c r="AM170" s="407">
        <f t="shared" si="135"/>
        <v>9.8855098389982105E-2</v>
      </c>
      <c r="AN170" s="407">
        <f t="shared" si="114"/>
        <v>0.16500000000000001</v>
      </c>
      <c r="AO170" s="407">
        <f t="shared" si="115"/>
        <v>0.65236961881400179</v>
      </c>
      <c r="AP170">
        <f t="shared" si="131"/>
        <v>8.2110000000000003</v>
      </c>
      <c r="AQ170" s="10">
        <f t="shared" si="116"/>
        <v>0.9263971100303392</v>
      </c>
      <c r="AR170" s="63">
        <f t="shared" si="117"/>
        <v>4.1498306890586409</v>
      </c>
      <c r="AS170" s="63">
        <f t="shared" si="118"/>
        <v>3.9006680814699339</v>
      </c>
      <c r="AT170" s="10"/>
      <c r="AU170">
        <f t="shared" si="119"/>
        <v>92.639711003033923</v>
      </c>
    </row>
    <row r="171" spans="7:47" x14ac:dyDescent="0.2">
      <c r="G171">
        <v>162</v>
      </c>
      <c r="H171">
        <f t="shared" si="120"/>
        <v>1.62</v>
      </c>
      <c r="I171" s="406">
        <f t="shared" si="97"/>
        <v>0.34482760000000001</v>
      </c>
      <c r="J171" s="407">
        <f t="shared" si="121"/>
        <v>0.45517243200000007</v>
      </c>
      <c r="K171" s="407">
        <f t="shared" si="132"/>
        <v>1.8475862160000001</v>
      </c>
      <c r="L171" s="407">
        <f t="shared" si="98"/>
        <v>1.3924137840000002</v>
      </c>
      <c r="M171" s="63">
        <f t="shared" si="122"/>
        <v>0</v>
      </c>
      <c r="N171" s="406">
        <f t="shared" si="99"/>
        <v>1.6253200183054413</v>
      </c>
      <c r="O171" s="406">
        <f t="shared" si="100"/>
        <v>6.559151262715443E-2</v>
      </c>
      <c r="P171">
        <f t="shared" si="123"/>
        <v>0.2</v>
      </c>
      <c r="Q171" s="406">
        <f t="shared" si="133"/>
        <v>0.26559151262715441</v>
      </c>
      <c r="R171" s="9">
        <f t="shared" si="101"/>
        <v>0.13139696307144835</v>
      </c>
      <c r="S171" s="9">
        <f t="shared" si="102"/>
        <v>3.4530323808799127E-5</v>
      </c>
      <c r="T171" s="9">
        <f t="shared" si="103"/>
        <v>3.4530323808799127E-5</v>
      </c>
      <c r="U171" s="406">
        <f t="shared" si="104"/>
        <v>0.95442079701937843</v>
      </c>
      <c r="V171" s="408">
        <f t="shared" si="105"/>
        <v>2.914940984905938E-3</v>
      </c>
      <c r="W171" s="406">
        <f t="shared" si="106"/>
        <v>2.914940984905938E-3</v>
      </c>
      <c r="X171" s="406">
        <f t="shared" si="107"/>
        <v>0.95442079701937843</v>
      </c>
      <c r="Y171" s="406">
        <f t="shared" si="108"/>
        <v>1.821838115566211E-2</v>
      </c>
      <c r="Z171" s="406">
        <f t="shared" si="124"/>
        <v>2.4386884479057503E-2</v>
      </c>
      <c r="AA171" s="406">
        <f t="shared" si="125"/>
        <v>4.9687500000000002E-2</v>
      </c>
      <c r="AB171" s="406">
        <f t="shared" si="126"/>
        <v>0</v>
      </c>
      <c r="AC171" s="406">
        <f t="shared" si="109"/>
        <v>9.2596417864895711E-2</v>
      </c>
      <c r="AD171" s="406">
        <f t="shared" si="110"/>
        <v>1.315578239452635</v>
      </c>
      <c r="AE171" s="406">
        <f t="shared" si="111"/>
        <v>3.4614922082425892E-2</v>
      </c>
      <c r="AF171" s="406">
        <f t="shared" si="127"/>
        <v>6.318E-2</v>
      </c>
      <c r="AG171" s="406">
        <f t="shared" si="112"/>
        <v>9.833956470158832E-2</v>
      </c>
      <c r="AH171" s="406">
        <f t="shared" si="113"/>
        <v>0</v>
      </c>
      <c r="AI171">
        <f t="shared" si="128"/>
        <v>0</v>
      </c>
      <c r="AJ171" s="407">
        <f t="shared" si="129"/>
        <v>2.9935199999999999E-2</v>
      </c>
      <c r="AK171">
        <f t="shared" si="134"/>
        <v>0.03</v>
      </c>
      <c r="AL171" s="407">
        <f t="shared" si="130"/>
        <v>0.13500000000000001</v>
      </c>
      <c r="AM171" s="407">
        <f t="shared" si="135"/>
        <v>9.8855098389982105E-2</v>
      </c>
      <c r="AN171" s="407">
        <f t="shared" si="114"/>
        <v>0.16500000000000001</v>
      </c>
      <c r="AO171" s="407">
        <f t="shared" si="115"/>
        <v>0.65441216650235312</v>
      </c>
      <c r="AP171">
        <f t="shared" si="131"/>
        <v>8.2620000000000005</v>
      </c>
      <c r="AQ171" s="10">
        <f t="shared" si="116"/>
        <v>0.92660588650658349</v>
      </c>
      <c r="AR171" s="63">
        <f t="shared" si="117"/>
        <v>4.1668388039203066</v>
      </c>
      <c r="AS171" s="63">
        <f t="shared" si="118"/>
        <v>3.9335825880635329</v>
      </c>
      <c r="AT171" s="10"/>
      <c r="AU171">
        <f t="shared" si="119"/>
        <v>92.660588650658354</v>
      </c>
    </row>
    <row r="172" spans="7:47" x14ac:dyDescent="0.2">
      <c r="G172">
        <v>163</v>
      </c>
      <c r="H172">
        <f t="shared" si="120"/>
        <v>1.63</v>
      </c>
      <c r="I172" s="406">
        <f t="shared" si="97"/>
        <v>0.34485740000000004</v>
      </c>
      <c r="J172" s="407">
        <f t="shared" si="121"/>
        <v>0.45521176800000007</v>
      </c>
      <c r="K172" s="407">
        <f t="shared" si="132"/>
        <v>1.8576058839999998</v>
      </c>
      <c r="L172" s="407">
        <f t="shared" si="98"/>
        <v>1.402394116</v>
      </c>
      <c r="M172" s="63">
        <f t="shared" si="122"/>
        <v>0</v>
      </c>
      <c r="N172" s="406">
        <f t="shared" si="99"/>
        <v>1.6352883984618147</v>
      </c>
      <c r="O172" s="406">
        <f t="shared" si="100"/>
        <v>6.6402836171978133E-2</v>
      </c>
      <c r="P172">
        <f t="shared" si="123"/>
        <v>0.2</v>
      </c>
      <c r="Q172" s="406">
        <f t="shared" si="133"/>
        <v>0.26640283617197813</v>
      </c>
      <c r="R172" s="9">
        <f t="shared" si="101"/>
        <v>0.13140831839654277</v>
      </c>
      <c r="S172" s="9">
        <f t="shared" si="102"/>
        <v>3.4536292287614321E-5</v>
      </c>
      <c r="T172" s="9">
        <f t="shared" si="103"/>
        <v>3.4536292287614321E-5</v>
      </c>
      <c r="U172" s="406">
        <f t="shared" si="104"/>
        <v>0.96031592408018174</v>
      </c>
      <c r="V172" s="408">
        <f t="shared" si="105"/>
        <v>2.9510613569343151E-3</v>
      </c>
      <c r="W172" s="406">
        <f t="shared" si="106"/>
        <v>2.9510613569343151E-3</v>
      </c>
      <c r="X172" s="406">
        <f t="shared" si="107"/>
        <v>0.96031592408018174</v>
      </c>
      <c r="Y172" s="406">
        <f t="shared" si="108"/>
        <v>1.844413348083947E-2</v>
      </c>
      <c r="Z172" s="406">
        <f t="shared" si="124"/>
        <v>2.4535544958253212E-2</v>
      </c>
      <c r="AA172" s="406">
        <f t="shared" si="125"/>
        <v>4.9687500000000002E-2</v>
      </c>
      <c r="AB172" s="406">
        <f t="shared" si="126"/>
        <v>0</v>
      </c>
      <c r="AC172" s="406">
        <f t="shared" si="109"/>
        <v>9.2975853067096284E-2</v>
      </c>
      <c r="AD172" s="406">
        <f t="shared" si="110"/>
        <v>1.3236168146793217</v>
      </c>
      <c r="AE172" s="406">
        <f t="shared" si="111"/>
        <v>3.5039229442036676E-2</v>
      </c>
      <c r="AF172" s="406">
        <f t="shared" si="127"/>
        <v>6.3570000000000002E-2</v>
      </c>
      <c r="AG172" s="406">
        <f t="shared" si="112"/>
        <v>9.91651768636021E-2</v>
      </c>
      <c r="AH172" s="406">
        <f t="shared" si="113"/>
        <v>0</v>
      </c>
      <c r="AI172">
        <f t="shared" si="128"/>
        <v>0</v>
      </c>
      <c r="AJ172" s="407">
        <f t="shared" si="129"/>
        <v>2.9934800000000001E-2</v>
      </c>
      <c r="AK172">
        <f t="shared" si="134"/>
        <v>0.03</v>
      </c>
      <c r="AL172" s="407">
        <f t="shared" si="130"/>
        <v>0.13500000000000001</v>
      </c>
      <c r="AM172" s="407">
        <f t="shared" si="135"/>
        <v>9.8855098389982105E-2</v>
      </c>
      <c r="AN172" s="407">
        <f t="shared" si="114"/>
        <v>0.16500000000000001</v>
      </c>
      <c r="AO172" s="407">
        <f t="shared" si="115"/>
        <v>0.65646426375189837</v>
      </c>
      <c r="AP172">
        <f t="shared" si="131"/>
        <v>8.3129999999999988</v>
      </c>
      <c r="AQ172" s="10">
        <f t="shared" si="116"/>
        <v>0.92681120695191876</v>
      </c>
      <c r="AR172" s="63">
        <f t="shared" si="117"/>
        <v>4.1839133880193327</v>
      </c>
      <c r="AS172" s="63">
        <f t="shared" si="118"/>
        <v>3.966607074544084</v>
      </c>
      <c r="AT172" s="10"/>
      <c r="AU172">
        <f t="shared" si="119"/>
        <v>92.681120695191879</v>
      </c>
    </row>
    <row r="173" spans="7:47" x14ac:dyDescent="0.2">
      <c r="G173">
        <v>164</v>
      </c>
      <c r="H173">
        <f t="shared" si="120"/>
        <v>1.64</v>
      </c>
      <c r="I173" s="406">
        <f t="shared" si="97"/>
        <v>0.34488719999999995</v>
      </c>
      <c r="J173" s="407">
        <f t="shared" si="121"/>
        <v>0.45525110399999996</v>
      </c>
      <c r="K173" s="407">
        <f t="shared" si="132"/>
        <v>1.8676255519999998</v>
      </c>
      <c r="L173" s="407">
        <f t="shared" si="98"/>
        <v>1.412374448</v>
      </c>
      <c r="M173" s="63">
        <f t="shared" si="122"/>
        <v>0</v>
      </c>
      <c r="N173" s="406">
        <f t="shared" si="99"/>
        <v>1.6452571624646104</v>
      </c>
      <c r="O173" s="406">
        <f t="shared" si="100"/>
        <v>6.7219257770560939E-2</v>
      </c>
      <c r="P173">
        <f t="shared" si="123"/>
        <v>0.2</v>
      </c>
      <c r="Q173" s="406">
        <f t="shared" si="133"/>
        <v>0.26721925777056094</v>
      </c>
      <c r="R173" s="9">
        <f t="shared" si="101"/>
        <v>0.13141967372163715</v>
      </c>
      <c r="S173" s="9">
        <f t="shared" si="102"/>
        <v>3.4542261282203138E-5</v>
      </c>
      <c r="T173" s="9">
        <f t="shared" si="103"/>
        <v>3.4542261282203138E-5</v>
      </c>
      <c r="U173" s="406">
        <f t="shared" si="104"/>
        <v>0.96621178061936475</v>
      </c>
      <c r="V173" s="408">
        <f t="shared" si="105"/>
        <v>2.9874086560244591E-3</v>
      </c>
      <c r="W173" s="406">
        <f t="shared" si="106"/>
        <v>2.9874086560244591E-3</v>
      </c>
      <c r="X173" s="406">
        <f t="shared" si="107"/>
        <v>0.96621178061936475</v>
      </c>
      <c r="Y173" s="406">
        <f t="shared" si="108"/>
        <v>1.8671304100152868E-2</v>
      </c>
      <c r="Z173" s="406">
        <f t="shared" si="124"/>
        <v>2.4684205437448922E-2</v>
      </c>
      <c r="AA173" s="406">
        <f t="shared" si="125"/>
        <v>4.9687500000000002E-2</v>
      </c>
      <c r="AB173" s="406">
        <f t="shared" si="126"/>
        <v>0</v>
      </c>
      <c r="AC173" s="406">
        <f t="shared" si="109"/>
        <v>9.3356766200478267E-2</v>
      </c>
      <c r="AD173" s="406">
        <f t="shared" si="110"/>
        <v>1.3316553328971645</v>
      </c>
      <c r="AE173" s="406">
        <f t="shared" si="111"/>
        <v>3.5466118512669162E-2</v>
      </c>
      <c r="AF173" s="406">
        <f t="shared" si="127"/>
        <v>6.3960000000000003E-2</v>
      </c>
      <c r="AG173" s="406">
        <f t="shared" si="112"/>
        <v>9.9993539749671262E-2</v>
      </c>
      <c r="AH173" s="406">
        <f t="shared" si="113"/>
        <v>0</v>
      </c>
      <c r="AI173">
        <f t="shared" si="128"/>
        <v>0</v>
      </c>
      <c r="AJ173" s="407">
        <f t="shared" si="129"/>
        <v>2.99344E-2</v>
      </c>
      <c r="AK173">
        <f t="shared" si="134"/>
        <v>0.03</v>
      </c>
      <c r="AL173" s="407">
        <f t="shared" si="130"/>
        <v>0.13500000000000001</v>
      </c>
      <c r="AM173" s="407">
        <f t="shared" si="135"/>
        <v>9.8855098389982105E-2</v>
      </c>
      <c r="AN173" s="407">
        <f t="shared" si="114"/>
        <v>0.16500000000000001</v>
      </c>
      <c r="AO173" s="407">
        <f t="shared" si="115"/>
        <v>0.65852591463801724</v>
      </c>
      <c r="AP173">
        <f t="shared" si="131"/>
        <v>8.363999999999999</v>
      </c>
      <c r="AQ173" s="10">
        <f t="shared" si="116"/>
        <v>0.92701313125965812</v>
      </c>
      <c r="AR173" s="63">
        <f t="shared" si="117"/>
        <v>4.2010544790215221</v>
      </c>
      <c r="AS173" s="63">
        <f t="shared" si="118"/>
        <v>3.9997415899868507</v>
      </c>
      <c r="AT173" s="10"/>
      <c r="AU173">
        <f t="shared" si="119"/>
        <v>92.701313125965811</v>
      </c>
    </row>
    <row r="174" spans="7:47" x14ac:dyDescent="0.2">
      <c r="G174">
        <v>165</v>
      </c>
      <c r="H174">
        <f t="shared" si="120"/>
        <v>1.65</v>
      </c>
      <c r="I174" s="406">
        <f t="shared" ref="I174:I209" si="136">(Vout+Rdcr*H174+RdsonBot*H174)/(Vin-RdsonTop*H174+RdsonBot*H174)</f>
        <v>0.34491699999999997</v>
      </c>
      <c r="J174" s="407">
        <f t="shared" si="121"/>
        <v>0.45529043999999996</v>
      </c>
      <c r="K174" s="407">
        <f t="shared" si="132"/>
        <v>1.8776452199999998</v>
      </c>
      <c r="L174" s="407">
        <f t="shared" ref="L174:L209" si="137">H174-J174/2</f>
        <v>1.42235478</v>
      </c>
      <c r="M174" s="63">
        <f t="shared" si="122"/>
        <v>0</v>
      </c>
      <c r="N174" s="406">
        <f t="shared" ref="N174:N209" si="138">SQRT(H174^2+(J174^2)/12)</f>
        <v>1.655226303378569</v>
      </c>
      <c r="O174" s="406">
        <f t="shared" ref="O174:O209" si="139">(N174^2*Rdcr*(1+Ltc*Ta-Ltc*25))/(1-N174^2*Rdcr*Ltc*ThetaCa)</f>
        <v>6.8040779389827541E-2</v>
      </c>
      <c r="P174">
        <f t="shared" si="123"/>
        <v>0.2</v>
      </c>
      <c r="Q174" s="406">
        <f t="shared" si="133"/>
        <v>0.26804077938982757</v>
      </c>
      <c r="R174" s="9">
        <f t="shared" ref="R174:R209" si="140">J174/(2*SQRT(3))</f>
        <v>0.13143102904673157</v>
      </c>
      <c r="S174" s="9">
        <f t="shared" ref="S174:S209" si="141">RCoutEsr*R174^2</f>
        <v>3.4548230792565596E-5</v>
      </c>
      <c r="T174" s="9">
        <f t="shared" ref="T174:T209" si="142">S174</f>
        <v>3.4548230792565596E-5</v>
      </c>
      <c r="U174" s="406">
        <f t="shared" ref="U174:U209" si="143">SQRT(I174)*SQRT(H174^2+(J174^2)/12)</f>
        <v>0.97210836256054267</v>
      </c>
      <c r="V174" s="408">
        <f t="shared" ref="V174:V209" si="144">RCinEsr*U174^2</f>
        <v>3.0239829393924464E-3</v>
      </c>
      <c r="W174" s="406">
        <f t="shared" ref="W174:W209" si="145">V174</f>
        <v>3.0239829393924464E-3</v>
      </c>
      <c r="X174" s="406">
        <f t="shared" ref="X174:X209" si="146">SQRT(I174)*SQRT(H174^2+(J174^2)/12)</f>
        <v>0.97210836256054267</v>
      </c>
      <c r="Y174" s="406">
        <f t="shared" ref="Y174:Y209" si="147">RdsonTop*X174^2</f>
        <v>1.8899893371202788E-2</v>
      </c>
      <c r="Z174" s="406">
        <f t="shared" si="124"/>
        <v>2.4832865916644638E-2</v>
      </c>
      <c r="AA174" s="406">
        <f t="shared" si="125"/>
        <v>4.9687500000000002E-2</v>
      </c>
      <c r="AB174" s="406">
        <f t="shared" si="126"/>
        <v>0</v>
      </c>
      <c r="AC174" s="406">
        <f t="shared" ref="AC174:AC209" si="148">(AB174+AA174+Z174+Y174*(1+RdsonTopTc*Ta-RdsonTopTc*25))/(1-Y174*RdsonTopTc*ThetaJaTop)</f>
        <v>9.3739158104566303E-2</v>
      </c>
      <c r="AD174" s="406">
        <f t="shared" ref="AD174:AD209" si="149">SQRT(1-I174)*SQRT(H174^2+(J174^2)/12)</f>
        <v>1.3396937884591924</v>
      </c>
      <c r="AE174" s="406">
        <f t="shared" ref="AE174:AE209" si="150">RdsonBot*AD174^2</f>
        <v>3.5895588936722865E-2</v>
      </c>
      <c r="AF174" s="406">
        <f t="shared" si="127"/>
        <v>6.4349999999999991E-2</v>
      </c>
      <c r="AG174" s="406">
        <f t="shared" ref="AG174:AG209" si="151">(AF174+AE174*(1+RdsonBotTc*Ta-RdsonBotTc*25))/(1-AE174*RdsonBotTc*ThetaJaBot)</f>
        <v>0.10082465459367995</v>
      </c>
      <c r="AH174" s="406">
        <f t="shared" ref="AH174:AH209" si="152">IF(RDSON_sense=1, 0, AD174^2*Rshunt)</f>
        <v>0</v>
      </c>
      <c r="AI174">
        <f t="shared" si="128"/>
        <v>0</v>
      </c>
      <c r="AJ174" s="407">
        <f t="shared" si="129"/>
        <v>2.9934000000000002E-2</v>
      </c>
      <c r="AK174">
        <f t="shared" si="134"/>
        <v>0.03</v>
      </c>
      <c r="AL174" s="407">
        <f t="shared" si="130"/>
        <v>0.13500000000000001</v>
      </c>
      <c r="AM174" s="407">
        <f t="shared" si="135"/>
        <v>9.8855098389982105E-2</v>
      </c>
      <c r="AN174" s="407">
        <f t="shared" ref="AN174:AN209" si="153">SUM(AK174:AL174)</f>
        <v>0.16500000000000001</v>
      </c>
      <c r="AO174" s="407">
        <f t="shared" ref="AO174:AO209" si="154">SUM(Q174,T174,W174,AC174,AJ174,AI174,AG174,AN174, AH174)</f>
        <v>0.66059712325825881</v>
      </c>
      <c r="AP174">
        <f t="shared" si="131"/>
        <v>8.4149999999999991</v>
      </c>
      <c r="AQ174" s="10">
        <f t="shared" ref="AQ174:AQ209" si="155">AP174/(AP174+AO174)</f>
        <v>0.92721171794136492</v>
      </c>
      <c r="AR174" s="63">
        <f t="shared" ref="AR174:AR209" si="156">ThetaJaTop*AC174</f>
        <v>4.2182621147054835</v>
      </c>
      <c r="AS174" s="63">
        <f t="shared" ref="AS174:AS209" si="157">AG174*ThetaJaBot</f>
        <v>4.0329861837471981</v>
      </c>
      <c r="AT174" s="10"/>
      <c r="AU174">
        <f t="shared" ref="AU174:AU209" si="158">AQ174*100</f>
        <v>92.721171794136495</v>
      </c>
    </row>
    <row r="175" spans="7:47" x14ac:dyDescent="0.2">
      <c r="G175">
        <v>166</v>
      </c>
      <c r="H175">
        <f t="shared" si="120"/>
        <v>1.66</v>
      </c>
      <c r="I175" s="406">
        <f t="shared" si="136"/>
        <v>0.34494679999999994</v>
      </c>
      <c r="J175" s="407">
        <f t="shared" si="121"/>
        <v>0.45532977599999996</v>
      </c>
      <c r="K175" s="407">
        <f t="shared" si="132"/>
        <v>1.887664888</v>
      </c>
      <c r="L175" s="407">
        <f t="shared" si="137"/>
        <v>1.4323351119999999</v>
      </c>
      <c r="M175" s="63">
        <f t="shared" si="122"/>
        <v>0</v>
      </c>
      <c r="N175" s="406">
        <f t="shared" si="138"/>
        <v>1.6651958144342518</v>
      </c>
      <c r="O175" s="406">
        <f t="shared" si="139"/>
        <v>6.886740300937523E-2</v>
      </c>
      <c r="P175">
        <f t="shared" si="123"/>
        <v>0.2</v>
      </c>
      <c r="Q175" s="406">
        <f t="shared" si="133"/>
        <v>0.26886740300937523</v>
      </c>
      <c r="R175" s="9">
        <f t="shared" si="140"/>
        <v>0.13144238437182601</v>
      </c>
      <c r="S175" s="9">
        <f t="shared" si="141"/>
        <v>3.4554200818701703E-5</v>
      </c>
      <c r="T175" s="9">
        <f t="shared" si="142"/>
        <v>3.4554200818701703E-5</v>
      </c>
      <c r="U175" s="406">
        <f t="shared" si="143"/>
        <v>0.97800566592401927</v>
      </c>
      <c r="V175" s="408">
        <f t="shared" si="144"/>
        <v>3.0607842642543502E-3</v>
      </c>
      <c r="W175" s="406">
        <f t="shared" si="145"/>
        <v>3.0607842642543502E-3</v>
      </c>
      <c r="X175" s="406">
        <f t="shared" si="146"/>
        <v>0.97800566592401927</v>
      </c>
      <c r="Y175" s="406">
        <f t="shared" si="147"/>
        <v>1.9129901651589686E-2</v>
      </c>
      <c r="Z175" s="406">
        <f t="shared" si="124"/>
        <v>2.4981526395840354E-2</v>
      </c>
      <c r="AA175" s="406">
        <f t="shared" si="125"/>
        <v>4.9687500000000002E-2</v>
      </c>
      <c r="AB175" s="406">
        <f t="shared" si="126"/>
        <v>0</v>
      </c>
      <c r="AC175" s="406">
        <f t="shared" si="148"/>
        <v>9.4123029621395307E-2</v>
      </c>
      <c r="AD175" s="406">
        <f t="shared" si="149"/>
        <v>1.3477321758531504</v>
      </c>
      <c r="AE175" s="406">
        <f t="shared" si="150"/>
        <v>3.6327640356597343E-2</v>
      </c>
      <c r="AF175" s="406">
        <f t="shared" si="127"/>
        <v>6.4739999999999992E-2</v>
      </c>
      <c r="AG175" s="406">
        <f t="shared" si="151"/>
        <v>0.10165852263652095</v>
      </c>
      <c r="AH175" s="406">
        <f t="shared" si="152"/>
        <v>0</v>
      </c>
      <c r="AI175">
        <f t="shared" si="128"/>
        <v>0</v>
      </c>
      <c r="AJ175" s="407">
        <f t="shared" si="129"/>
        <v>2.9933599999999998E-2</v>
      </c>
      <c r="AK175">
        <f t="shared" si="134"/>
        <v>0.03</v>
      </c>
      <c r="AL175" s="407">
        <f t="shared" si="130"/>
        <v>0.13500000000000001</v>
      </c>
      <c r="AM175" s="407">
        <f t="shared" si="135"/>
        <v>9.8855098389982105E-2</v>
      </c>
      <c r="AN175" s="407">
        <f t="shared" si="153"/>
        <v>0.16500000000000001</v>
      </c>
      <c r="AO175" s="407">
        <f t="shared" si="154"/>
        <v>0.66267789373236452</v>
      </c>
      <c r="AP175">
        <f t="shared" si="131"/>
        <v>8.4659999999999993</v>
      </c>
      <c r="AQ175" s="10">
        <f t="shared" si="155"/>
        <v>0.9274070241664073</v>
      </c>
      <c r="AR175" s="63">
        <f t="shared" si="156"/>
        <v>4.2355363329627886</v>
      </c>
      <c r="AS175" s="63">
        <f t="shared" si="157"/>
        <v>4.0663409054608382</v>
      </c>
      <c r="AT175" s="10"/>
      <c r="AU175">
        <f t="shared" si="158"/>
        <v>92.74070241664073</v>
      </c>
    </row>
    <row r="176" spans="7:47" x14ac:dyDescent="0.2">
      <c r="G176">
        <v>167</v>
      </c>
      <c r="H176">
        <f t="shared" si="120"/>
        <v>1.67</v>
      </c>
      <c r="I176" s="406">
        <f t="shared" si="136"/>
        <v>0.34497659999999997</v>
      </c>
      <c r="J176" s="407">
        <f t="shared" si="121"/>
        <v>0.45536911199999996</v>
      </c>
      <c r="K176" s="407">
        <f t="shared" si="132"/>
        <v>1.897684556</v>
      </c>
      <c r="L176" s="407">
        <f t="shared" si="137"/>
        <v>1.4423154439999999</v>
      </c>
      <c r="M176" s="63">
        <f t="shared" si="122"/>
        <v>0</v>
      </c>
      <c r="N176" s="406">
        <f t="shared" si="138"/>
        <v>1.6751656890231204</v>
      </c>
      <c r="O176" s="406">
        <f t="shared" si="139"/>
        <v>6.9699130621485889E-2</v>
      </c>
      <c r="P176">
        <f t="shared" si="123"/>
        <v>0.2</v>
      </c>
      <c r="Q176" s="406">
        <f t="shared" si="133"/>
        <v>0.26969913062148587</v>
      </c>
      <c r="R176" s="9">
        <f t="shared" si="140"/>
        <v>0.13145373969692042</v>
      </c>
      <c r="S176" s="9">
        <f t="shared" si="141"/>
        <v>3.4560171360611425E-5</v>
      </c>
      <c r="T176" s="9">
        <f t="shared" si="142"/>
        <v>3.4560171360611425E-5</v>
      </c>
      <c r="U176" s="406">
        <f t="shared" si="143"/>
        <v>0.98390368682391904</v>
      </c>
      <c r="V176" s="408">
        <f t="shared" si="144"/>
        <v>3.0978126878262418E-3</v>
      </c>
      <c r="W176" s="406">
        <f t="shared" si="145"/>
        <v>3.0978126878262418E-3</v>
      </c>
      <c r="X176" s="406">
        <f t="shared" si="146"/>
        <v>0.98390368682391904</v>
      </c>
      <c r="Y176" s="406">
        <f t="shared" si="147"/>
        <v>1.9361329298914012E-2</v>
      </c>
      <c r="Z176" s="406">
        <f t="shared" si="124"/>
        <v>2.5130186875036067E-2</v>
      </c>
      <c r="AA176" s="406">
        <f t="shared" si="125"/>
        <v>4.9687500000000002E-2</v>
      </c>
      <c r="AB176" s="406">
        <f t="shared" si="126"/>
        <v>0</v>
      </c>
      <c r="AC176" s="406">
        <f t="shared" si="148"/>
        <v>9.4508381595514154E-2</v>
      </c>
      <c r="AD176" s="406">
        <f t="shared" si="149"/>
        <v>1.3557704896975022</v>
      </c>
      <c r="AE176" s="406">
        <f t="shared" si="150"/>
        <v>3.6762272414692099E-2</v>
      </c>
      <c r="AF176" s="406">
        <f t="shared" si="127"/>
        <v>6.5129999999999993E-2</v>
      </c>
      <c r="AG176" s="406">
        <f t="shared" si="151"/>
        <v>0.10249514512610156</v>
      </c>
      <c r="AH176" s="406">
        <f t="shared" si="152"/>
        <v>0</v>
      </c>
      <c r="AI176">
        <f t="shared" si="128"/>
        <v>0</v>
      </c>
      <c r="AJ176" s="407">
        <f t="shared" si="129"/>
        <v>2.99332E-2</v>
      </c>
      <c r="AK176">
        <f t="shared" si="134"/>
        <v>0.03</v>
      </c>
      <c r="AL176" s="407">
        <f t="shared" si="130"/>
        <v>0.13500000000000001</v>
      </c>
      <c r="AM176" s="407">
        <f t="shared" si="135"/>
        <v>9.8855098389982105E-2</v>
      </c>
      <c r="AN176" s="407">
        <f t="shared" si="153"/>
        <v>0.16500000000000001</v>
      </c>
      <c r="AO176" s="407">
        <f t="shared" si="154"/>
        <v>0.66476823020228848</v>
      </c>
      <c r="AP176">
        <f t="shared" si="131"/>
        <v>8.5169999999999995</v>
      </c>
      <c r="AQ176" s="10">
        <f t="shared" si="155"/>
        <v>0.92759910580016436</v>
      </c>
      <c r="AR176" s="63">
        <f t="shared" si="156"/>
        <v>4.2528771717981373</v>
      </c>
      <c r="AS176" s="63">
        <f t="shared" si="157"/>
        <v>4.0998058050440624</v>
      </c>
      <c r="AT176" s="10"/>
      <c r="AU176">
        <f t="shared" si="158"/>
        <v>92.759910580016438</v>
      </c>
    </row>
    <row r="177" spans="7:47" x14ac:dyDescent="0.2">
      <c r="G177">
        <v>168</v>
      </c>
      <c r="H177">
        <f t="shared" si="120"/>
        <v>1.68</v>
      </c>
      <c r="I177" s="406">
        <f t="shared" si="136"/>
        <v>0.34500639999999999</v>
      </c>
      <c r="J177" s="407">
        <f t="shared" si="121"/>
        <v>0.45540844800000002</v>
      </c>
      <c r="K177" s="407">
        <f t="shared" si="132"/>
        <v>1.9077042239999999</v>
      </c>
      <c r="L177" s="407">
        <f t="shared" si="137"/>
        <v>1.4522957759999999</v>
      </c>
      <c r="M177" s="63">
        <f t="shared" si="122"/>
        <v>0</v>
      </c>
      <c r="N177" s="406">
        <f t="shared" si="138"/>
        <v>1.6851359206927929</v>
      </c>
      <c r="O177" s="406">
        <f t="shared" si="139"/>
        <v>7.0535964231138157E-2</v>
      </c>
      <c r="P177">
        <f t="shared" si="123"/>
        <v>0.2</v>
      </c>
      <c r="Q177" s="406">
        <f t="shared" si="133"/>
        <v>0.27053596423113818</v>
      </c>
      <c r="R177" s="9">
        <f t="shared" si="140"/>
        <v>0.13146509502201487</v>
      </c>
      <c r="S177" s="9">
        <f t="shared" si="141"/>
        <v>3.4566142418294796E-5</v>
      </c>
      <c r="T177" s="9">
        <f t="shared" si="142"/>
        <v>3.4566142418294796E-5</v>
      </c>
      <c r="U177" s="406">
        <f t="shared" si="143"/>
        <v>0.9898024214654213</v>
      </c>
      <c r="V177" s="408">
        <f t="shared" si="144"/>
        <v>3.135068267324197E-3</v>
      </c>
      <c r="W177" s="406">
        <f t="shared" si="145"/>
        <v>3.135068267324197E-3</v>
      </c>
      <c r="X177" s="406">
        <f t="shared" si="146"/>
        <v>0.9898024214654213</v>
      </c>
      <c r="Y177" s="406">
        <f t="shared" si="147"/>
        <v>1.9594176670776231E-2</v>
      </c>
      <c r="Z177" s="406">
        <f t="shared" si="124"/>
        <v>2.5278847354231776E-2</v>
      </c>
      <c r="AA177" s="406">
        <f t="shared" si="125"/>
        <v>4.9687500000000002E-2</v>
      </c>
      <c r="AB177" s="406">
        <f t="shared" si="126"/>
        <v>0</v>
      </c>
      <c r="AC177" s="406">
        <f t="shared" si="148"/>
        <v>9.48952148739894E-2</v>
      </c>
      <c r="AD177" s="406">
        <f t="shared" si="149"/>
        <v>1.363808724737577</v>
      </c>
      <c r="AE177" s="406">
        <f t="shared" si="150"/>
        <v>3.7199484753406724E-2</v>
      </c>
      <c r="AF177" s="406">
        <f t="shared" si="127"/>
        <v>6.5519999999999995E-2</v>
      </c>
      <c r="AG177" s="406">
        <f t="shared" si="151"/>
        <v>0.10333452331734981</v>
      </c>
      <c r="AH177" s="406">
        <f t="shared" si="152"/>
        <v>0</v>
      </c>
      <c r="AI177">
        <f t="shared" si="128"/>
        <v>0</v>
      </c>
      <c r="AJ177" s="407">
        <f t="shared" si="129"/>
        <v>2.9932800000000002E-2</v>
      </c>
      <c r="AK177">
        <f t="shared" si="134"/>
        <v>0.03</v>
      </c>
      <c r="AL177" s="407">
        <f t="shared" si="130"/>
        <v>0.13500000000000001</v>
      </c>
      <c r="AM177" s="407">
        <f t="shared" si="135"/>
        <v>9.8855098389982105E-2</v>
      </c>
      <c r="AN177" s="407">
        <f t="shared" si="153"/>
        <v>0.16500000000000001</v>
      </c>
      <c r="AO177" s="407">
        <f t="shared" si="154"/>
        <v>0.6668681368322199</v>
      </c>
      <c r="AP177">
        <f t="shared" si="131"/>
        <v>8.5679999999999996</v>
      </c>
      <c r="AQ177" s="10">
        <f t="shared" si="155"/>
        <v>0.9277880174409322</v>
      </c>
      <c r="AR177" s="63">
        <f t="shared" si="156"/>
        <v>4.2702846693295227</v>
      </c>
      <c r="AS177" s="63">
        <f t="shared" si="157"/>
        <v>4.1333809326939921</v>
      </c>
      <c r="AT177" s="10"/>
      <c r="AU177">
        <f t="shared" si="158"/>
        <v>92.778801744093215</v>
      </c>
    </row>
    <row r="178" spans="7:47" x14ac:dyDescent="0.2">
      <c r="G178">
        <v>169</v>
      </c>
      <c r="H178">
        <f t="shared" si="120"/>
        <v>1.69</v>
      </c>
      <c r="I178" s="406">
        <f t="shared" si="136"/>
        <v>0.34503620000000002</v>
      </c>
      <c r="J178" s="407">
        <f t="shared" si="121"/>
        <v>0.45544778400000008</v>
      </c>
      <c r="K178" s="407">
        <f t="shared" si="132"/>
        <v>1.9177238919999999</v>
      </c>
      <c r="L178" s="407">
        <f t="shared" si="137"/>
        <v>1.462276108</v>
      </c>
      <c r="M178" s="63">
        <f t="shared" si="122"/>
        <v>0</v>
      </c>
      <c r="N178" s="406">
        <f t="shared" si="138"/>
        <v>1.695106503142465</v>
      </c>
      <c r="O178" s="406">
        <f t="shared" si="139"/>
        <v>7.1377905856019497E-2</v>
      </c>
      <c r="P178">
        <f t="shared" si="123"/>
        <v>0.2</v>
      </c>
      <c r="Q178" s="406">
        <f t="shared" si="133"/>
        <v>0.27137790585601951</v>
      </c>
      <c r="R178" s="9">
        <f t="shared" si="140"/>
        <v>0.13147645034710931</v>
      </c>
      <c r="S178" s="9">
        <f t="shared" si="141"/>
        <v>3.4572113991751802E-5</v>
      </c>
      <c r="T178" s="9">
        <f t="shared" si="142"/>
        <v>3.4572113991751802E-5</v>
      </c>
      <c r="U178" s="406">
        <f t="shared" si="143"/>
        <v>0.99570186614209</v>
      </c>
      <c r="V178" s="408">
        <f t="shared" si="144"/>
        <v>3.1725510599642896E-3</v>
      </c>
      <c r="W178" s="406">
        <f t="shared" si="145"/>
        <v>3.1725510599642896E-3</v>
      </c>
      <c r="X178" s="406">
        <f t="shared" si="146"/>
        <v>0.99570186614209</v>
      </c>
      <c r="Y178" s="406">
        <f t="shared" si="147"/>
        <v>1.9828444124776811E-2</v>
      </c>
      <c r="Z178" s="406">
        <f t="shared" si="124"/>
        <v>2.5427507833427492E-2</v>
      </c>
      <c r="AA178" s="406">
        <f t="shared" si="125"/>
        <v>4.9687500000000002E-2</v>
      </c>
      <c r="AB178" s="406">
        <f t="shared" si="126"/>
        <v>0</v>
      </c>
      <c r="AC178" s="406">
        <f t="shared" si="148"/>
        <v>9.5283530306408876E-2</v>
      </c>
      <c r="AD178" s="406">
        <f t="shared" si="149"/>
        <v>1.3718468758418469</v>
      </c>
      <c r="AE178" s="406">
        <f t="shared" si="150"/>
        <v>3.7639277015140714E-2</v>
      </c>
      <c r="AF178" s="406">
        <f t="shared" si="127"/>
        <v>6.5909999999999996E-2</v>
      </c>
      <c r="AG178" s="406">
        <f t="shared" si="151"/>
        <v>0.10417665847222032</v>
      </c>
      <c r="AH178" s="406">
        <f t="shared" si="152"/>
        <v>0</v>
      </c>
      <c r="AI178">
        <f t="shared" si="128"/>
        <v>0</v>
      </c>
      <c r="AJ178" s="407">
        <f t="shared" si="129"/>
        <v>2.9932400000000001E-2</v>
      </c>
      <c r="AK178">
        <f t="shared" si="134"/>
        <v>0.03</v>
      </c>
      <c r="AL178" s="407">
        <f t="shared" si="130"/>
        <v>0.13500000000000001</v>
      </c>
      <c r="AM178" s="407">
        <f t="shared" si="135"/>
        <v>9.8855098389982105E-2</v>
      </c>
      <c r="AN178" s="407">
        <f t="shared" si="153"/>
        <v>0.16500000000000001</v>
      </c>
      <c r="AO178" s="407">
        <f t="shared" si="154"/>
        <v>0.66897761780860476</v>
      </c>
      <c r="AP178">
        <f t="shared" si="131"/>
        <v>8.6189999999999998</v>
      </c>
      <c r="AQ178" s="10">
        <f t="shared" si="155"/>
        <v>0.92797381245558574</v>
      </c>
      <c r="AR178" s="63">
        <f t="shared" si="156"/>
        <v>4.2877588637883992</v>
      </c>
      <c r="AS178" s="63">
        <f t="shared" si="157"/>
        <v>4.1670663388888132</v>
      </c>
      <c r="AT178" s="10"/>
      <c r="AU178">
        <f t="shared" si="158"/>
        <v>92.797381245558569</v>
      </c>
    </row>
    <row r="179" spans="7:47" x14ac:dyDescent="0.2">
      <c r="G179">
        <v>170</v>
      </c>
      <c r="H179">
        <f t="shared" si="120"/>
        <v>1.7</v>
      </c>
      <c r="I179" s="406">
        <f t="shared" si="136"/>
        <v>0.34506599999999998</v>
      </c>
      <c r="J179" s="407">
        <f t="shared" si="121"/>
        <v>0.45548711999999997</v>
      </c>
      <c r="K179" s="407">
        <f t="shared" si="132"/>
        <v>1.9277435599999999</v>
      </c>
      <c r="L179" s="407">
        <f t="shared" si="137"/>
        <v>1.47225644</v>
      </c>
      <c r="M179" s="63">
        <f t="shared" si="122"/>
        <v>0</v>
      </c>
      <c r="N179" s="406">
        <f t="shared" si="138"/>
        <v>1.7050774302184903</v>
      </c>
      <c r="O179" s="406">
        <f t="shared" si="139"/>
        <v>7.2224957526538444E-2</v>
      </c>
      <c r="P179">
        <f t="shared" si="123"/>
        <v>0.2</v>
      </c>
      <c r="Q179" s="406">
        <f t="shared" si="133"/>
        <v>0.27222495752653847</v>
      </c>
      <c r="R179" s="9">
        <f t="shared" si="140"/>
        <v>0.13148780567220369</v>
      </c>
      <c r="S179" s="9">
        <f t="shared" si="141"/>
        <v>3.4578086080982403E-5</v>
      </c>
      <c r="T179" s="9">
        <f t="shared" si="142"/>
        <v>3.4578086080982403E-5</v>
      </c>
      <c r="U179" s="406">
        <f t="shared" si="143"/>
        <v>1.0016020172332971</v>
      </c>
      <c r="V179" s="408">
        <f t="shared" si="144"/>
        <v>3.2102611229625922E-3</v>
      </c>
      <c r="W179" s="406">
        <f t="shared" si="145"/>
        <v>3.2102611229625922E-3</v>
      </c>
      <c r="X179" s="406">
        <f t="shared" si="146"/>
        <v>1.0016020172332971</v>
      </c>
      <c r="Y179" s="406">
        <f t="shared" si="147"/>
        <v>2.0064132018516201E-2</v>
      </c>
      <c r="Z179" s="406">
        <f t="shared" si="124"/>
        <v>2.5576168312623208E-2</v>
      </c>
      <c r="AA179" s="406">
        <f t="shared" si="125"/>
        <v>4.9687500000000002E-2</v>
      </c>
      <c r="AB179" s="406">
        <f t="shared" si="126"/>
        <v>0</v>
      </c>
      <c r="AC179" s="406">
        <f t="shared" si="148"/>
        <v>9.5673328744885308E-2</v>
      </c>
      <c r="AD179" s="406">
        <f t="shared" si="149"/>
        <v>1.3798849379983393</v>
      </c>
      <c r="AE179" s="406">
        <f t="shared" si="150"/>
        <v>3.8081648842293613E-2</v>
      </c>
      <c r="AF179" s="406">
        <f t="shared" si="127"/>
        <v>6.6299999999999998E-2</v>
      </c>
      <c r="AG179" s="406">
        <f t="shared" si="151"/>
        <v>0.10502155185970062</v>
      </c>
      <c r="AH179" s="406">
        <f t="shared" si="152"/>
        <v>0</v>
      </c>
      <c r="AI179">
        <f t="shared" si="128"/>
        <v>0</v>
      </c>
      <c r="AJ179" s="407">
        <f t="shared" si="129"/>
        <v>2.9932E-2</v>
      </c>
      <c r="AK179">
        <f t="shared" si="134"/>
        <v>0.03</v>
      </c>
      <c r="AL179" s="407">
        <f t="shared" si="130"/>
        <v>0.13500000000000001</v>
      </c>
      <c r="AM179" s="407">
        <f t="shared" si="135"/>
        <v>9.8855098389982105E-2</v>
      </c>
      <c r="AN179" s="407">
        <f t="shared" si="153"/>
        <v>0.16500000000000001</v>
      </c>
      <c r="AO179" s="407">
        <f t="shared" si="154"/>
        <v>0.67109667734016798</v>
      </c>
      <c r="AP179">
        <f t="shared" si="131"/>
        <v>8.67</v>
      </c>
      <c r="AQ179" s="10">
        <f t="shared" si="155"/>
        <v>0.92815654301404149</v>
      </c>
      <c r="AR179" s="63">
        <f t="shared" si="156"/>
        <v>4.3052997935198389</v>
      </c>
      <c r="AS179" s="63">
        <f t="shared" si="157"/>
        <v>4.2008620743880245</v>
      </c>
      <c r="AT179" s="10"/>
      <c r="AU179">
        <f t="shared" si="158"/>
        <v>92.815654301404152</v>
      </c>
    </row>
    <row r="180" spans="7:47" x14ac:dyDescent="0.2">
      <c r="G180">
        <v>171</v>
      </c>
      <c r="H180">
        <f t="shared" si="120"/>
        <v>1.71</v>
      </c>
      <c r="I180" s="406">
        <f t="shared" si="136"/>
        <v>0.34509580000000001</v>
      </c>
      <c r="J180" s="407">
        <f t="shared" si="121"/>
        <v>0.45552645600000002</v>
      </c>
      <c r="K180" s="407">
        <f t="shared" si="132"/>
        <v>1.9377632279999999</v>
      </c>
      <c r="L180" s="407">
        <f t="shared" si="137"/>
        <v>1.482236772</v>
      </c>
      <c r="M180" s="63">
        <f t="shared" si="122"/>
        <v>0</v>
      </c>
      <c r="N180" s="406">
        <f t="shared" si="138"/>
        <v>1.715048695910117</v>
      </c>
      <c r="O180" s="406">
        <f t="shared" si="139"/>
        <v>7.3077121285837057E-2</v>
      </c>
      <c r="P180">
        <f t="shared" si="123"/>
        <v>0.2</v>
      </c>
      <c r="Q180" s="406">
        <f t="shared" si="133"/>
        <v>0.27307712128583705</v>
      </c>
      <c r="R180" s="9">
        <f t="shared" si="140"/>
        <v>0.13149916099729811</v>
      </c>
      <c r="S180" s="9">
        <f t="shared" si="141"/>
        <v>3.4584058685986659E-5</v>
      </c>
      <c r="T180" s="9">
        <f t="shared" si="142"/>
        <v>3.4584058685986659E-5</v>
      </c>
      <c r="U180" s="406">
        <f t="shared" si="143"/>
        <v>1.0075028712017369</v>
      </c>
      <c r="V180" s="408">
        <f t="shared" si="144"/>
        <v>3.2481985135351795E-3</v>
      </c>
      <c r="W180" s="406">
        <f t="shared" si="145"/>
        <v>3.2481985135351795E-3</v>
      </c>
      <c r="X180" s="406">
        <f t="shared" si="146"/>
        <v>1.0075028712017369</v>
      </c>
      <c r="Y180" s="406">
        <f t="shared" si="147"/>
        <v>2.0301240709594871E-2</v>
      </c>
      <c r="Z180" s="406">
        <f t="shared" si="124"/>
        <v>2.5724828791818921E-2</v>
      </c>
      <c r="AA180" s="406">
        <f t="shared" si="125"/>
        <v>4.9687500000000002E-2</v>
      </c>
      <c r="AB180" s="406">
        <f t="shared" si="126"/>
        <v>0</v>
      </c>
      <c r="AC180" s="406">
        <f t="shared" si="148"/>
        <v>9.6064611044060014E-2</v>
      </c>
      <c r="AD180" s="406">
        <f t="shared" si="149"/>
        <v>1.3879229063111715</v>
      </c>
      <c r="AE180" s="406">
        <f t="shared" si="150"/>
        <v>3.8526599877264978E-2</v>
      </c>
      <c r="AF180" s="406">
        <f t="shared" si="127"/>
        <v>6.6689999999999999E-2</v>
      </c>
      <c r="AG180" s="406">
        <f t="shared" si="151"/>
        <v>0.10586920475581724</v>
      </c>
      <c r="AH180" s="406">
        <f t="shared" si="152"/>
        <v>0</v>
      </c>
      <c r="AI180">
        <f t="shared" si="128"/>
        <v>0</v>
      </c>
      <c r="AJ180" s="407">
        <f t="shared" si="129"/>
        <v>2.9931599999999999E-2</v>
      </c>
      <c r="AK180">
        <f t="shared" si="134"/>
        <v>0.03</v>
      </c>
      <c r="AL180" s="407">
        <f t="shared" si="130"/>
        <v>0.13500000000000001</v>
      </c>
      <c r="AM180" s="407">
        <f t="shared" si="135"/>
        <v>9.8855098389982105E-2</v>
      </c>
      <c r="AN180" s="407">
        <f t="shared" si="153"/>
        <v>0.16500000000000001</v>
      </c>
      <c r="AO180" s="407">
        <f t="shared" si="154"/>
        <v>0.67322531965793553</v>
      </c>
      <c r="AP180">
        <f t="shared" si="131"/>
        <v>8.7210000000000001</v>
      </c>
      <c r="AQ180" s="10">
        <f t="shared" si="155"/>
        <v>0.92833626012256965</v>
      </c>
      <c r="AR180" s="63">
        <f t="shared" si="156"/>
        <v>4.322907496982701</v>
      </c>
      <c r="AS180" s="63">
        <f t="shared" si="157"/>
        <v>4.234768190232689</v>
      </c>
      <c r="AT180" s="10"/>
      <c r="AU180">
        <f t="shared" si="158"/>
        <v>92.833626012256971</v>
      </c>
    </row>
    <row r="181" spans="7:47" x14ac:dyDescent="0.2">
      <c r="G181">
        <v>172</v>
      </c>
      <c r="H181">
        <f t="shared" si="120"/>
        <v>1.72</v>
      </c>
      <c r="I181" s="406">
        <f t="shared" si="136"/>
        <v>0.34512559999999998</v>
      </c>
      <c r="J181" s="407">
        <f t="shared" si="121"/>
        <v>0.45556579199999997</v>
      </c>
      <c r="K181" s="407">
        <f t="shared" si="132"/>
        <v>1.9477828959999999</v>
      </c>
      <c r="L181" s="407">
        <f t="shared" si="137"/>
        <v>1.4922171040000001</v>
      </c>
      <c r="M181" s="63">
        <f t="shared" si="122"/>
        <v>0</v>
      </c>
      <c r="N181" s="406">
        <f t="shared" si="138"/>
        <v>1.7250202943453685</v>
      </c>
      <c r="O181" s="406">
        <f t="shared" si="139"/>
        <v>7.3934399189803185E-2</v>
      </c>
      <c r="P181">
        <f t="shared" si="123"/>
        <v>0.2</v>
      </c>
      <c r="Q181" s="406">
        <f t="shared" si="133"/>
        <v>0.27393439918980322</v>
      </c>
      <c r="R181" s="9">
        <f t="shared" si="140"/>
        <v>0.13151051632239252</v>
      </c>
      <c r="S181" s="9">
        <f t="shared" si="141"/>
        <v>3.4590031806764537E-5</v>
      </c>
      <c r="T181" s="9">
        <f t="shared" si="142"/>
        <v>3.4590031806764537E-5</v>
      </c>
      <c r="U181" s="406">
        <f t="shared" si="143"/>
        <v>1.0134044245910239</v>
      </c>
      <c r="V181" s="408">
        <f t="shared" si="144"/>
        <v>3.2863632888981251E-3</v>
      </c>
      <c r="W181" s="406">
        <f t="shared" si="145"/>
        <v>3.2863632888981251E-3</v>
      </c>
      <c r="X181" s="406">
        <f t="shared" si="146"/>
        <v>1.0134044245910239</v>
      </c>
      <c r="Y181" s="406">
        <f t="shared" si="147"/>
        <v>2.0539770555613283E-2</v>
      </c>
      <c r="Z181" s="406">
        <f t="shared" si="124"/>
        <v>2.5873489271014634E-2</v>
      </c>
      <c r="AA181" s="406">
        <f t="shared" si="125"/>
        <v>4.9687500000000002E-2</v>
      </c>
      <c r="AB181" s="406">
        <f t="shared" si="126"/>
        <v>0</v>
      </c>
      <c r="AC181" s="406">
        <f t="shared" si="148"/>
        <v>9.6457378061106727E-2</v>
      </c>
      <c r="AD181" s="406">
        <f t="shared" si="149"/>
        <v>1.3959607759972046</v>
      </c>
      <c r="AE181" s="406">
        <f t="shared" si="150"/>
        <v>3.8974129762454353E-2</v>
      </c>
      <c r="AF181" s="406">
        <f t="shared" si="127"/>
        <v>6.7080000000000001E-2</v>
      </c>
      <c r="AG181" s="406">
        <f t="shared" si="151"/>
        <v>0.10671961844364189</v>
      </c>
      <c r="AH181" s="406">
        <f t="shared" si="152"/>
        <v>0</v>
      </c>
      <c r="AI181">
        <f t="shared" si="128"/>
        <v>0</v>
      </c>
      <c r="AJ181" s="407">
        <f t="shared" si="129"/>
        <v>2.9931200000000002E-2</v>
      </c>
      <c r="AK181">
        <f t="shared" si="134"/>
        <v>0.03</v>
      </c>
      <c r="AL181" s="407">
        <f t="shared" si="130"/>
        <v>0.13500000000000001</v>
      </c>
      <c r="AM181" s="407">
        <f t="shared" si="135"/>
        <v>9.8855098389982105E-2</v>
      </c>
      <c r="AN181" s="407">
        <f t="shared" si="153"/>
        <v>0.16500000000000001</v>
      </c>
      <c r="AO181" s="407">
        <f t="shared" si="154"/>
        <v>0.67536354901525675</v>
      </c>
      <c r="AP181">
        <f t="shared" si="131"/>
        <v>8.7719999999999985</v>
      </c>
      <c r="AQ181" s="10">
        <f t="shared" si="155"/>
        <v>0.92851301365600003</v>
      </c>
      <c r="AR181" s="63">
        <f t="shared" si="156"/>
        <v>4.3405820127498025</v>
      </c>
      <c r="AS181" s="63">
        <f t="shared" si="157"/>
        <v>4.2687847377456754</v>
      </c>
      <c r="AT181" s="10"/>
      <c r="AU181">
        <f t="shared" si="158"/>
        <v>92.851301365600008</v>
      </c>
    </row>
    <row r="182" spans="7:47" x14ac:dyDescent="0.2">
      <c r="G182">
        <v>173</v>
      </c>
      <c r="H182">
        <f t="shared" si="120"/>
        <v>1.73</v>
      </c>
      <c r="I182" s="406">
        <f t="shared" si="136"/>
        <v>0.3451554</v>
      </c>
      <c r="J182" s="407">
        <f t="shared" si="121"/>
        <v>0.45560512800000003</v>
      </c>
      <c r="K182" s="407">
        <f t="shared" si="132"/>
        <v>1.9578025640000001</v>
      </c>
      <c r="L182" s="407">
        <f t="shared" si="137"/>
        <v>1.5021974359999999</v>
      </c>
      <c r="M182" s="63">
        <f t="shared" si="122"/>
        <v>0</v>
      </c>
      <c r="N182" s="406">
        <f t="shared" si="138"/>
        <v>1.734992219787068</v>
      </c>
      <c r="O182" s="406">
        <f t="shared" si="139"/>
        <v>7.4796793307083123E-2</v>
      </c>
      <c r="P182">
        <f t="shared" si="123"/>
        <v>0.2</v>
      </c>
      <c r="Q182" s="406">
        <f t="shared" si="133"/>
        <v>0.27479679330708312</v>
      </c>
      <c r="R182" s="9">
        <f t="shared" si="140"/>
        <v>0.13152187164748697</v>
      </c>
      <c r="S182" s="9">
        <f t="shared" si="141"/>
        <v>3.4596005443316071E-5</v>
      </c>
      <c r="T182" s="9">
        <f t="shared" si="142"/>
        <v>3.4596005443316071E-5</v>
      </c>
      <c r="U182" s="406">
        <f t="shared" si="143"/>
        <v>1.0193066740233749</v>
      </c>
      <c r="V182" s="408">
        <f t="shared" si="144"/>
        <v>3.3247555062675036E-3</v>
      </c>
      <c r="W182" s="406">
        <f t="shared" si="145"/>
        <v>3.3247555062675036E-3</v>
      </c>
      <c r="X182" s="406">
        <f t="shared" si="146"/>
        <v>1.0193066740233749</v>
      </c>
      <c r="Y182" s="406">
        <f t="shared" si="147"/>
        <v>2.0779721914171895E-2</v>
      </c>
      <c r="Z182" s="406">
        <f t="shared" si="124"/>
        <v>2.602214975021035E-2</v>
      </c>
      <c r="AA182" s="406">
        <f t="shared" si="125"/>
        <v>4.9687500000000002E-2</v>
      </c>
      <c r="AB182" s="406">
        <f t="shared" si="126"/>
        <v>0</v>
      </c>
      <c r="AC182" s="406">
        <f t="shared" si="148"/>
        <v>9.6851630655735099E-2</v>
      </c>
      <c r="AD182" s="406">
        <f t="shared" si="149"/>
        <v>1.4039985423828127</v>
      </c>
      <c r="AE182" s="406">
        <f t="shared" si="150"/>
        <v>3.9424238140261261E-2</v>
      </c>
      <c r="AF182" s="406">
        <f t="shared" si="127"/>
        <v>6.7470000000000002E-2</v>
      </c>
      <c r="AG182" s="406">
        <f t="shared" si="151"/>
        <v>0.10757279421329781</v>
      </c>
      <c r="AH182" s="406">
        <f t="shared" si="152"/>
        <v>0</v>
      </c>
      <c r="AI182">
        <f t="shared" si="128"/>
        <v>0</v>
      </c>
      <c r="AJ182" s="407">
        <f t="shared" si="129"/>
        <v>2.99308E-2</v>
      </c>
      <c r="AK182">
        <f t="shared" si="134"/>
        <v>0.03</v>
      </c>
      <c r="AL182" s="407">
        <f t="shared" si="130"/>
        <v>0.13500000000000001</v>
      </c>
      <c r="AM182" s="407">
        <f t="shared" si="135"/>
        <v>9.8855098389982105E-2</v>
      </c>
      <c r="AN182" s="407">
        <f t="shared" si="153"/>
        <v>0.16500000000000001</v>
      </c>
      <c r="AO182" s="407">
        <f t="shared" si="154"/>
        <v>0.67751136968782688</v>
      </c>
      <c r="AP182">
        <f t="shared" si="131"/>
        <v>8.8229999999999986</v>
      </c>
      <c r="AQ182" s="10">
        <f t="shared" si="155"/>
        <v>0.92868685238886373</v>
      </c>
      <c r="AR182" s="63">
        <f t="shared" si="156"/>
        <v>4.3583233795080796</v>
      </c>
      <c r="AS182" s="63">
        <f t="shared" si="157"/>
        <v>4.3029117685319127</v>
      </c>
      <c r="AT182" s="10"/>
      <c r="AU182">
        <f t="shared" si="158"/>
        <v>92.868685238886371</v>
      </c>
    </row>
    <row r="183" spans="7:47" x14ac:dyDescent="0.2">
      <c r="G183">
        <v>174</v>
      </c>
      <c r="H183">
        <f t="shared" si="120"/>
        <v>1.74</v>
      </c>
      <c r="I183" s="406">
        <f t="shared" si="136"/>
        <v>0.34518519999999991</v>
      </c>
      <c r="J183" s="407">
        <f t="shared" si="121"/>
        <v>0.45564446399999992</v>
      </c>
      <c r="K183" s="407">
        <f t="shared" si="132"/>
        <v>1.9678222320000001</v>
      </c>
      <c r="L183" s="407">
        <f t="shared" si="137"/>
        <v>1.5121777679999999</v>
      </c>
      <c r="M183" s="63">
        <f t="shared" si="122"/>
        <v>0</v>
      </c>
      <c r="N183" s="406">
        <f t="shared" si="138"/>
        <v>1.7449644666289972</v>
      </c>
      <c r="O183" s="406">
        <f t="shared" si="139"/>
        <v>7.5664305719094008E-2</v>
      </c>
      <c r="P183">
        <f t="shared" si="123"/>
        <v>0.2</v>
      </c>
      <c r="Q183" s="406">
        <f t="shared" si="133"/>
        <v>0.275664305719094</v>
      </c>
      <c r="R183" s="9">
        <f t="shared" si="140"/>
        <v>0.13153322697258135</v>
      </c>
      <c r="S183" s="9">
        <f t="shared" si="141"/>
        <v>3.4601979595641206E-5</v>
      </c>
      <c r="T183" s="9">
        <f t="shared" si="142"/>
        <v>3.4601979595641206E-5</v>
      </c>
      <c r="U183" s="406">
        <f t="shared" si="143"/>
        <v>1.0252096161973698</v>
      </c>
      <c r="V183" s="408">
        <f t="shared" si="144"/>
        <v>3.3633752228593872E-3</v>
      </c>
      <c r="W183" s="406">
        <f t="shared" si="145"/>
        <v>3.3633752228593872E-3</v>
      </c>
      <c r="X183" s="406">
        <f t="shared" si="146"/>
        <v>1.0252096161973698</v>
      </c>
      <c r="Y183" s="406">
        <f t="shared" si="147"/>
        <v>2.102109514287117E-2</v>
      </c>
      <c r="Z183" s="406">
        <f t="shared" si="124"/>
        <v>2.6170810229406063E-2</v>
      </c>
      <c r="AA183" s="406">
        <f t="shared" si="125"/>
        <v>4.9687500000000002E-2</v>
      </c>
      <c r="AB183" s="406">
        <f t="shared" si="126"/>
        <v>0</v>
      </c>
      <c r="AC183" s="406">
        <f t="shared" si="148"/>
        <v>9.7247369690194527E-2</v>
      </c>
      <c r="AD183" s="406">
        <f t="shared" si="149"/>
        <v>1.4120362009007639</v>
      </c>
      <c r="AE183" s="406">
        <f t="shared" si="150"/>
        <v>3.9876924653085247E-2</v>
      </c>
      <c r="AF183" s="406">
        <f t="shared" si="127"/>
        <v>6.7860000000000004E-2</v>
      </c>
      <c r="AG183" s="406">
        <f t="shared" si="151"/>
        <v>0.10842873336196598</v>
      </c>
      <c r="AH183" s="406">
        <f t="shared" si="152"/>
        <v>0</v>
      </c>
      <c r="AI183">
        <f t="shared" si="128"/>
        <v>0</v>
      </c>
      <c r="AJ183" s="407">
        <f t="shared" si="129"/>
        <v>2.9930399999999999E-2</v>
      </c>
      <c r="AK183">
        <f t="shared" si="134"/>
        <v>0.03</v>
      </c>
      <c r="AL183" s="407">
        <f t="shared" si="130"/>
        <v>0.13500000000000001</v>
      </c>
      <c r="AM183" s="407">
        <f t="shared" si="135"/>
        <v>9.8855098389982105E-2</v>
      </c>
      <c r="AN183" s="407">
        <f t="shared" si="153"/>
        <v>0.16500000000000001</v>
      </c>
      <c r="AO183" s="407">
        <f t="shared" si="154"/>
        <v>0.67966878597370961</v>
      </c>
      <c r="AP183">
        <f t="shared" si="131"/>
        <v>8.8739999999999988</v>
      </c>
      <c r="AQ183" s="10">
        <f t="shared" si="155"/>
        <v>0.92885782402551242</v>
      </c>
      <c r="AR183" s="63">
        <f t="shared" si="156"/>
        <v>4.3761316360587541</v>
      </c>
      <c r="AS183" s="63">
        <f t="shared" si="157"/>
        <v>4.3371493344786396</v>
      </c>
      <c r="AT183" s="10"/>
      <c r="AU183">
        <f t="shared" si="158"/>
        <v>92.885782402551243</v>
      </c>
    </row>
    <row r="184" spans="7:47" x14ac:dyDescent="0.2">
      <c r="G184">
        <v>175</v>
      </c>
      <c r="H184">
        <f t="shared" si="120"/>
        <v>1.75</v>
      </c>
      <c r="I184" s="406">
        <f t="shared" si="136"/>
        <v>0.34521499999999994</v>
      </c>
      <c r="J184" s="407">
        <f t="shared" si="121"/>
        <v>0.45568379999999997</v>
      </c>
      <c r="K184" s="407">
        <f t="shared" si="132"/>
        <v>1.9778419</v>
      </c>
      <c r="L184" s="407">
        <f t="shared" si="137"/>
        <v>1.5221581</v>
      </c>
      <c r="M184" s="63">
        <f t="shared" si="122"/>
        <v>0</v>
      </c>
      <c r="N184" s="406">
        <f t="shared" si="138"/>
        <v>1.754937029392186</v>
      </c>
      <c r="O184" s="406">
        <f t="shared" si="139"/>
        <v>7.6536938520036554E-2</v>
      </c>
      <c r="P184">
        <f t="shared" si="123"/>
        <v>0.2</v>
      </c>
      <c r="Q184" s="406">
        <f t="shared" si="133"/>
        <v>0.27653693852003658</v>
      </c>
      <c r="R184" s="9">
        <f t="shared" si="140"/>
        <v>0.13154458229767579</v>
      </c>
      <c r="S184" s="9">
        <f t="shared" si="141"/>
        <v>3.4607954263739997E-5</v>
      </c>
      <c r="T184" s="9">
        <f t="shared" si="142"/>
        <v>3.4607954263739997E-5</v>
      </c>
      <c r="U184" s="406">
        <f t="shared" si="143"/>
        <v>1.0311132478857878</v>
      </c>
      <c r="V184" s="408">
        <f t="shared" si="144"/>
        <v>3.4022224958898499E-3</v>
      </c>
      <c r="W184" s="406">
        <f t="shared" si="145"/>
        <v>3.4022224958898499E-3</v>
      </c>
      <c r="X184" s="406">
        <f t="shared" si="146"/>
        <v>1.0311132478857878</v>
      </c>
      <c r="Y184" s="406">
        <f t="shared" si="147"/>
        <v>2.1263890599311563E-2</v>
      </c>
      <c r="Z184" s="406">
        <f t="shared" si="124"/>
        <v>2.6319470708601776E-2</v>
      </c>
      <c r="AA184" s="406">
        <f t="shared" si="125"/>
        <v>4.9687500000000002E-2</v>
      </c>
      <c r="AB184" s="406">
        <f t="shared" si="126"/>
        <v>0</v>
      </c>
      <c r="AC184" s="406">
        <f t="shared" si="148"/>
        <v>9.7644596029277844E-2</v>
      </c>
      <c r="AD184" s="406">
        <f t="shared" si="149"/>
        <v>1.4200737470872038</v>
      </c>
      <c r="AE184" s="406">
        <f t="shared" si="150"/>
        <v>4.0332188943325839E-2</v>
      </c>
      <c r="AF184" s="406">
        <f t="shared" si="127"/>
        <v>6.8250000000000005E-2</v>
      </c>
      <c r="AG184" s="406">
        <f t="shared" si="151"/>
        <v>0.1092874371938916</v>
      </c>
      <c r="AH184" s="406">
        <f t="shared" si="152"/>
        <v>0</v>
      </c>
      <c r="AI184">
        <f t="shared" si="128"/>
        <v>0</v>
      </c>
      <c r="AJ184" s="407">
        <f t="shared" si="129"/>
        <v>2.9930000000000002E-2</v>
      </c>
      <c r="AK184">
        <f t="shared" si="134"/>
        <v>0.03</v>
      </c>
      <c r="AL184" s="407">
        <f t="shared" si="130"/>
        <v>0.13500000000000001</v>
      </c>
      <c r="AM184" s="407">
        <f t="shared" si="135"/>
        <v>9.8855098389982105E-2</v>
      </c>
      <c r="AN184" s="407">
        <f t="shared" si="153"/>
        <v>0.16500000000000001</v>
      </c>
      <c r="AO184" s="407">
        <f t="shared" si="154"/>
        <v>0.6818358021933596</v>
      </c>
      <c r="AP184">
        <f t="shared" si="131"/>
        <v>8.9249999999999989</v>
      </c>
      <c r="AQ184" s="10">
        <f t="shared" si="155"/>
        <v>0.92902597522925412</v>
      </c>
      <c r="AR184" s="63">
        <f t="shared" si="156"/>
        <v>4.394006821317503</v>
      </c>
      <c r="AS184" s="63">
        <f t="shared" si="157"/>
        <v>4.371497487755664</v>
      </c>
      <c r="AT184" s="10"/>
      <c r="AU184">
        <f t="shared" si="158"/>
        <v>92.902597522925419</v>
      </c>
    </row>
    <row r="185" spans="7:47" x14ac:dyDescent="0.2">
      <c r="G185">
        <v>176</v>
      </c>
      <c r="H185">
        <f t="shared" si="120"/>
        <v>1.76</v>
      </c>
      <c r="I185" s="406">
        <f t="shared" si="136"/>
        <v>0.34524479999999996</v>
      </c>
      <c r="J185" s="407">
        <f t="shared" si="121"/>
        <v>0.45572313599999992</v>
      </c>
      <c r="K185" s="407">
        <f t="shared" si="132"/>
        <v>1.987861568</v>
      </c>
      <c r="L185" s="407">
        <f t="shared" si="137"/>
        <v>1.532138432</v>
      </c>
      <c r="M185" s="63">
        <f t="shared" si="122"/>
        <v>0</v>
      </c>
      <c r="N185" s="406">
        <f t="shared" si="138"/>
        <v>1.7649099027213275</v>
      </c>
      <c r="O185" s="406">
        <f t="shared" si="139"/>
        <v>7.7414693816907881E-2</v>
      </c>
      <c r="P185">
        <f t="shared" si="123"/>
        <v>0.2</v>
      </c>
      <c r="Q185" s="406">
        <f t="shared" si="133"/>
        <v>0.27741469381690786</v>
      </c>
      <c r="R185" s="9">
        <f t="shared" si="140"/>
        <v>0.13155593762277021</v>
      </c>
      <c r="S185" s="9">
        <f t="shared" si="141"/>
        <v>3.4613929447612416E-5</v>
      </c>
      <c r="T185" s="9">
        <f t="shared" si="142"/>
        <v>3.4613929447612416E-5</v>
      </c>
      <c r="U185" s="406">
        <f t="shared" si="143"/>
        <v>1.0370175659335175</v>
      </c>
      <c r="V185" s="408">
        <f t="shared" si="144"/>
        <v>3.4412973825749676E-3</v>
      </c>
      <c r="W185" s="406">
        <f t="shared" si="145"/>
        <v>3.4412973825749676E-3</v>
      </c>
      <c r="X185" s="406">
        <f t="shared" si="146"/>
        <v>1.0370175659335175</v>
      </c>
      <c r="Y185" s="406">
        <f t="shared" si="147"/>
        <v>2.1508108641093548E-2</v>
      </c>
      <c r="Z185" s="406">
        <f t="shared" si="124"/>
        <v>2.6468131187797488E-2</v>
      </c>
      <c r="AA185" s="406">
        <f t="shared" si="125"/>
        <v>4.9687500000000002E-2</v>
      </c>
      <c r="AB185" s="406">
        <f t="shared" si="126"/>
        <v>0</v>
      </c>
      <c r="AC185" s="406">
        <f t="shared" si="148"/>
        <v>9.8043310540325113E-2</v>
      </c>
      <c r="AD185" s="406">
        <f t="shared" si="149"/>
        <v>1.4281111765787455</v>
      </c>
      <c r="AE185" s="406">
        <f t="shared" si="150"/>
        <v>4.0790030653382575E-2</v>
      </c>
      <c r="AF185" s="406">
        <f t="shared" si="127"/>
        <v>6.8640000000000007E-2</v>
      </c>
      <c r="AG185" s="406">
        <f t="shared" si="151"/>
        <v>0.11014890702039032</v>
      </c>
      <c r="AH185" s="406">
        <f t="shared" si="152"/>
        <v>0</v>
      </c>
      <c r="AI185">
        <f t="shared" si="128"/>
        <v>0</v>
      </c>
      <c r="AJ185" s="407">
        <f t="shared" si="129"/>
        <v>2.9929600000000001E-2</v>
      </c>
      <c r="AK185">
        <f t="shared" si="134"/>
        <v>0.03</v>
      </c>
      <c r="AL185" s="407">
        <f t="shared" si="130"/>
        <v>0.13500000000000001</v>
      </c>
      <c r="AM185" s="407">
        <f t="shared" si="135"/>
        <v>9.8855098389982105E-2</v>
      </c>
      <c r="AN185" s="407">
        <f t="shared" si="153"/>
        <v>0.16500000000000001</v>
      </c>
      <c r="AO185" s="407">
        <f t="shared" si="154"/>
        <v>0.6840124226896459</v>
      </c>
      <c r="AP185">
        <f t="shared" si="131"/>
        <v>8.9759999999999991</v>
      </c>
      <c r="AQ185" s="10">
        <f t="shared" si="155"/>
        <v>0.92919135165054001</v>
      </c>
      <c r="AR185" s="63">
        <f t="shared" si="156"/>
        <v>4.4119489743146296</v>
      </c>
      <c r="AS185" s="63">
        <f t="shared" si="157"/>
        <v>4.4059562808156123</v>
      </c>
      <c r="AT185" s="10"/>
      <c r="AU185">
        <f t="shared" si="158"/>
        <v>92.919135165054001</v>
      </c>
    </row>
    <row r="186" spans="7:47" x14ac:dyDescent="0.2">
      <c r="G186">
        <v>177</v>
      </c>
      <c r="H186">
        <f t="shared" si="120"/>
        <v>1.77</v>
      </c>
      <c r="I186" s="406">
        <f t="shared" si="136"/>
        <v>0.34527459999999999</v>
      </c>
      <c r="J186" s="407">
        <f t="shared" si="121"/>
        <v>0.45576247199999997</v>
      </c>
      <c r="K186" s="407">
        <f t="shared" si="132"/>
        <v>1.997881236</v>
      </c>
      <c r="L186" s="407">
        <f t="shared" si="137"/>
        <v>1.542118764</v>
      </c>
      <c r="M186" s="63">
        <f t="shared" si="122"/>
        <v>0</v>
      </c>
      <c r="N186" s="406">
        <f t="shared" si="138"/>
        <v>1.7748830813813143</v>
      </c>
      <c r="O186" s="406">
        <f t="shared" si="139"/>
        <v>7.8297573729514194E-2</v>
      </c>
      <c r="P186">
        <f t="shared" si="123"/>
        <v>0.2</v>
      </c>
      <c r="Q186" s="406">
        <f t="shared" si="133"/>
        <v>0.27829757372951419</v>
      </c>
      <c r="R186" s="9">
        <f t="shared" si="140"/>
        <v>0.13156729294786465</v>
      </c>
      <c r="S186" s="9">
        <f t="shared" si="141"/>
        <v>3.4619905147258471E-5</v>
      </c>
      <c r="T186" s="9">
        <f t="shared" si="142"/>
        <v>3.4619905147258471E-5</v>
      </c>
      <c r="U186" s="406">
        <f t="shared" si="143"/>
        <v>1.0429225672555364</v>
      </c>
      <c r="V186" s="408">
        <f t="shared" si="144"/>
        <v>3.4805999401308131E-3</v>
      </c>
      <c r="W186" s="406">
        <f t="shared" si="145"/>
        <v>3.4805999401308131E-3</v>
      </c>
      <c r="X186" s="406">
        <f t="shared" si="146"/>
        <v>1.0429225672555364</v>
      </c>
      <c r="Y186" s="406">
        <f t="shared" si="147"/>
        <v>2.1753749625817581E-2</v>
      </c>
      <c r="Z186" s="406">
        <f t="shared" si="124"/>
        <v>2.6616791666993204E-2</v>
      </c>
      <c r="AA186" s="406">
        <f t="shared" si="125"/>
        <v>4.9687500000000002E-2</v>
      </c>
      <c r="AB186" s="406">
        <f t="shared" si="126"/>
        <v>0</v>
      </c>
      <c r="AC186" s="406">
        <f t="shared" si="148"/>
        <v>9.8443514093227338E-2</v>
      </c>
      <c r="AD186" s="406">
        <f t="shared" si="149"/>
        <v>1.4361484851096529</v>
      </c>
      <c r="AE186" s="406">
        <f t="shared" si="150"/>
        <v>4.125044942565502E-2</v>
      </c>
      <c r="AF186" s="406">
        <f t="shared" si="127"/>
        <v>6.9029999999999994E-2</v>
      </c>
      <c r="AG186" s="406">
        <f t="shared" si="151"/>
        <v>0.11101314415985486</v>
      </c>
      <c r="AH186" s="406">
        <f t="shared" si="152"/>
        <v>0</v>
      </c>
      <c r="AI186">
        <f t="shared" si="128"/>
        <v>0</v>
      </c>
      <c r="AJ186" s="407">
        <f t="shared" si="129"/>
        <v>2.9929200000000003E-2</v>
      </c>
      <c r="AK186">
        <f t="shared" si="134"/>
        <v>0.03</v>
      </c>
      <c r="AL186" s="407">
        <f t="shared" si="130"/>
        <v>0.13500000000000001</v>
      </c>
      <c r="AM186" s="407">
        <f t="shared" si="135"/>
        <v>9.8855098389982105E-2</v>
      </c>
      <c r="AN186" s="407">
        <f t="shared" si="153"/>
        <v>0.16500000000000001</v>
      </c>
      <c r="AO186" s="407">
        <f t="shared" si="154"/>
        <v>0.68619865182787443</v>
      </c>
      <c r="AP186">
        <f t="shared" si="131"/>
        <v>9.0269999999999992</v>
      </c>
      <c r="AQ186" s="10">
        <f t="shared" si="155"/>
        <v>0.92935399795424323</v>
      </c>
      <c r="AR186" s="63">
        <f t="shared" si="156"/>
        <v>4.4299581341952301</v>
      </c>
      <c r="AS186" s="63">
        <f t="shared" si="157"/>
        <v>4.4405257663941944</v>
      </c>
      <c r="AT186" s="10"/>
      <c r="AU186">
        <f t="shared" si="158"/>
        <v>92.935399795424317</v>
      </c>
    </row>
    <row r="187" spans="7:47" x14ac:dyDescent="0.2">
      <c r="G187">
        <v>178</v>
      </c>
      <c r="H187">
        <f t="shared" si="120"/>
        <v>1.78</v>
      </c>
      <c r="I187" s="406">
        <f t="shared" si="136"/>
        <v>0.34530439999999996</v>
      </c>
      <c r="J187" s="407">
        <f t="shared" si="121"/>
        <v>0.45580180799999997</v>
      </c>
      <c r="K187" s="407">
        <f t="shared" si="132"/>
        <v>2.007900904</v>
      </c>
      <c r="L187" s="407">
        <f t="shared" si="137"/>
        <v>1.5520990960000001</v>
      </c>
      <c r="M187" s="63">
        <f t="shared" si="122"/>
        <v>0</v>
      </c>
      <c r="N187" s="406">
        <f t="shared" si="138"/>
        <v>1.7848565602538875</v>
      </c>
      <c r="O187" s="406">
        <f t="shared" si="139"/>
        <v>7.9185580390483748E-2</v>
      </c>
      <c r="P187">
        <f t="shared" si="123"/>
        <v>0.2</v>
      </c>
      <c r="Q187" s="406">
        <f t="shared" si="133"/>
        <v>0.27918558039048375</v>
      </c>
      <c r="R187" s="9">
        <f t="shared" si="140"/>
        <v>0.13157864827295906</v>
      </c>
      <c r="S187" s="9">
        <f t="shared" si="141"/>
        <v>3.4625881362678147E-5</v>
      </c>
      <c r="T187" s="9">
        <f t="shared" si="142"/>
        <v>3.4625881362678147E-5</v>
      </c>
      <c r="U187" s="406">
        <f t="shared" si="143"/>
        <v>1.0488282488349583</v>
      </c>
      <c r="V187" s="408">
        <f t="shared" si="144"/>
        <v>3.520130225773457E-3</v>
      </c>
      <c r="W187" s="406">
        <f t="shared" si="145"/>
        <v>3.520130225773457E-3</v>
      </c>
      <c r="X187" s="406">
        <f t="shared" si="146"/>
        <v>1.0488282488349583</v>
      </c>
      <c r="Y187" s="406">
        <f t="shared" si="147"/>
        <v>2.2000813911084105E-2</v>
      </c>
      <c r="Z187" s="406">
        <f t="shared" si="124"/>
        <v>2.6765452146188921E-2</v>
      </c>
      <c r="AA187" s="406">
        <f t="shared" si="125"/>
        <v>4.9687500000000002E-2</v>
      </c>
      <c r="AB187" s="406">
        <f t="shared" si="126"/>
        <v>0</v>
      </c>
      <c r="AC187" s="406">
        <f t="shared" si="148"/>
        <v>9.8845207560430137E-2</v>
      </c>
      <c r="AD187" s="406">
        <f t="shared" si="149"/>
        <v>1.4441856685091199</v>
      </c>
      <c r="AE187" s="406">
        <f t="shared" si="150"/>
        <v>4.1713444902542668E-2</v>
      </c>
      <c r="AF187" s="406">
        <f t="shared" si="127"/>
        <v>6.9419999999999996E-2</v>
      </c>
      <c r="AG187" s="406">
        <f t="shared" si="151"/>
        <v>0.11188014993776139</v>
      </c>
      <c r="AH187" s="406">
        <f t="shared" si="152"/>
        <v>0</v>
      </c>
      <c r="AI187">
        <f t="shared" si="128"/>
        <v>0</v>
      </c>
      <c r="AJ187" s="407">
        <f t="shared" si="129"/>
        <v>2.9928799999999998E-2</v>
      </c>
      <c r="AK187">
        <f t="shared" si="134"/>
        <v>0.03</v>
      </c>
      <c r="AL187" s="407">
        <f t="shared" si="130"/>
        <v>0.13500000000000001</v>
      </c>
      <c r="AM187" s="407">
        <f t="shared" si="135"/>
        <v>9.8855098389982105E-2</v>
      </c>
      <c r="AN187" s="407">
        <f t="shared" si="153"/>
        <v>0.16500000000000001</v>
      </c>
      <c r="AO187" s="407">
        <f t="shared" si="154"/>
        <v>0.68839449399581143</v>
      </c>
      <c r="AP187">
        <f t="shared" si="131"/>
        <v>9.0779999999999994</v>
      </c>
      <c r="AQ187" s="10">
        <f t="shared" si="155"/>
        <v>0.92951395784605839</v>
      </c>
      <c r="AR187" s="63">
        <f t="shared" si="156"/>
        <v>4.4480343402193565</v>
      </c>
      <c r="AS187" s="63">
        <f t="shared" si="157"/>
        <v>4.4752059975104554</v>
      </c>
      <c r="AT187" s="10"/>
      <c r="AU187">
        <f t="shared" si="158"/>
        <v>92.951395784605836</v>
      </c>
    </row>
    <row r="188" spans="7:47" x14ac:dyDescent="0.2">
      <c r="G188">
        <v>179</v>
      </c>
      <c r="H188">
        <f t="shared" si="120"/>
        <v>1.79</v>
      </c>
      <c r="I188" s="406">
        <f t="shared" si="136"/>
        <v>0.34533419999999998</v>
      </c>
      <c r="J188" s="407">
        <f t="shared" si="121"/>
        <v>0.45584114399999998</v>
      </c>
      <c r="K188" s="407">
        <f t="shared" si="132"/>
        <v>2.017920572</v>
      </c>
      <c r="L188" s="407">
        <f t="shared" si="137"/>
        <v>1.5620794280000001</v>
      </c>
      <c r="M188" s="63">
        <f t="shared" si="122"/>
        <v>0</v>
      </c>
      <c r="N188" s="406">
        <f t="shared" si="138"/>
        <v>1.7948303343344005</v>
      </c>
      <c r="O188" s="406">
        <f t="shared" si="139"/>
        <v>8.0078715945279849E-2</v>
      </c>
      <c r="P188">
        <f t="shared" si="123"/>
        <v>0.2</v>
      </c>
      <c r="Q188" s="406">
        <f t="shared" si="133"/>
        <v>0.28007871594527989</v>
      </c>
      <c r="R188" s="9">
        <f t="shared" si="140"/>
        <v>0.13159000359805348</v>
      </c>
      <c r="S188" s="9">
        <f t="shared" si="141"/>
        <v>3.4631858093871452E-5</v>
      </c>
      <c r="T188" s="9">
        <f t="shared" si="142"/>
        <v>3.4631858093871452E-5</v>
      </c>
      <c r="U188" s="406">
        <f t="shared" si="143"/>
        <v>1.0547346077211464</v>
      </c>
      <c r="V188" s="408">
        <f t="shared" si="144"/>
        <v>3.5598882967189777E-3</v>
      </c>
      <c r="W188" s="406">
        <f t="shared" si="145"/>
        <v>3.5598882967189777E-3</v>
      </c>
      <c r="X188" s="406">
        <f t="shared" si="146"/>
        <v>1.0547346077211464</v>
      </c>
      <c r="Y188" s="406">
        <f t="shared" si="147"/>
        <v>2.224930185449361E-2</v>
      </c>
      <c r="Z188" s="406">
        <f t="shared" si="124"/>
        <v>2.691411262538463E-2</v>
      </c>
      <c r="AA188" s="406">
        <f t="shared" si="125"/>
        <v>4.9687500000000002E-2</v>
      </c>
      <c r="AB188" s="406">
        <f t="shared" si="126"/>
        <v>0</v>
      </c>
      <c r="AC188" s="406">
        <f t="shared" si="148"/>
        <v>9.9248391816937703E-2</v>
      </c>
      <c r="AD188" s="406">
        <f t="shared" si="149"/>
        <v>1.4522227226986415</v>
      </c>
      <c r="AE188" s="406">
        <f t="shared" si="150"/>
        <v>4.2179016726445112E-2</v>
      </c>
      <c r="AF188" s="406">
        <f t="shared" si="127"/>
        <v>6.9809999999999997E-2</v>
      </c>
      <c r="AG188" s="406">
        <f t="shared" si="151"/>
        <v>0.11274992568667611</v>
      </c>
      <c r="AH188" s="406">
        <f t="shared" si="152"/>
        <v>0</v>
      </c>
      <c r="AI188">
        <f t="shared" si="128"/>
        <v>0</v>
      </c>
      <c r="AJ188" s="407">
        <f t="shared" si="129"/>
        <v>2.9928400000000001E-2</v>
      </c>
      <c r="AK188">
        <f t="shared" si="134"/>
        <v>0.03</v>
      </c>
      <c r="AL188" s="407">
        <f t="shared" si="130"/>
        <v>0.13500000000000001</v>
      </c>
      <c r="AM188" s="407">
        <f t="shared" si="135"/>
        <v>9.8855098389982105E-2</v>
      </c>
      <c r="AN188" s="407">
        <f t="shared" si="153"/>
        <v>0.16500000000000001</v>
      </c>
      <c r="AO188" s="407">
        <f t="shared" si="154"/>
        <v>0.69059995360370663</v>
      </c>
      <c r="AP188">
        <f t="shared" si="131"/>
        <v>9.1289999999999996</v>
      </c>
      <c r="AQ188" s="10">
        <f t="shared" si="155"/>
        <v>0.92967127409805905</v>
      </c>
      <c r="AR188" s="63">
        <f t="shared" si="156"/>
        <v>4.4661776317621964</v>
      </c>
      <c r="AS188" s="63">
        <f t="shared" si="157"/>
        <v>4.509997027467044</v>
      </c>
      <c r="AT188" s="10"/>
      <c r="AU188">
        <f t="shared" si="158"/>
        <v>92.967127409805911</v>
      </c>
    </row>
    <row r="189" spans="7:47" x14ac:dyDescent="0.2">
      <c r="G189">
        <v>180</v>
      </c>
      <c r="H189">
        <f t="shared" si="120"/>
        <v>1.8</v>
      </c>
      <c r="I189" s="406">
        <f t="shared" si="136"/>
        <v>0.34536399999999995</v>
      </c>
      <c r="J189" s="407">
        <f t="shared" si="121"/>
        <v>0.45588047999999998</v>
      </c>
      <c r="K189" s="407">
        <f t="shared" si="132"/>
        <v>2.0279402399999999</v>
      </c>
      <c r="L189" s="407">
        <f t="shared" si="137"/>
        <v>1.5720597600000001</v>
      </c>
      <c r="M189" s="63">
        <f t="shared" si="122"/>
        <v>0</v>
      </c>
      <c r="N189" s="406">
        <f t="shared" si="138"/>
        <v>1.8048043987286875</v>
      </c>
      <c r="O189" s="406">
        <f t="shared" si="139"/>
        <v>8.0976982552213819E-2</v>
      </c>
      <c r="P189">
        <f t="shared" si="123"/>
        <v>0.2</v>
      </c>
      <c r="Q189" s="406">
        <f t="shared" si="133"/>
        <v>0.28097698255221382</v>
      </c>
      <c r="R189" s="9">
        <f t="shared" si="140"/>
        <v>0.13160135892314789</v>
      </c>
      <c r="S189" s="9">
        <f t="shared" si="141"/>
        <v>3.4637835340838399E-5</v>
      </c>
      <c r="T189" s="9">
        <f t="shared" si="142"/>
        <v>3.4637835340838399E-5</v>
      </c>
      <c r="U189" s="406">
        <f t="shared" si="143"/>
        <v>1.0606416410278858</v>
      </c>
      <c r="V189" s="408">
        <f t="shared" si="144"/>
        <v>3.5998742101834452E-3</v>
      </c>
      <c r="W189" s="406">
        <f t="shared" si="145"/>
        <v>3.5998742101834452E-3</v>
      </c>
      <c r="X189" s="406">
        <f t="shared" si="146"/>
        <v>1.0606416410278858</v>
      </c>
      <c r="Y189" s="406">
        <f t="shared" si="147"/>
        <v>2.2499213813646533E-2</v>
      </c>
      <c r="Z189" s="406">
        <f t="shared" si="124"/>
        <v>2.7062773104580346E-2</v>
      </c>
      <c r="AA189" s="406">
        <f t="shared" si="125"/>
        <v>4.9687500000000002E-2</v>
      </c>
      <c r="AB189" s="406">
        <f t="shared" si="126"/>
        <v>0</v>
      </c>
      <c r="AC189" s="406">
        <f t="shared" si="148"/>
        <v>9.9653067740316403E-2</v>
      </c>
      <c r="AD189" s="406">
        <f t="shared" si="149"/>
        <v>1.4602596436894681</v>
      </c>
      <c r="AE189" s="406">
        <f t="shared" si="150"/>
        <v>4.2647164539761848E-2</v>
      </c>
      <c r="AF189" s="406">
        <f t="shared" si="127"/>
        <v>7.0199999999999999E-2</v>
      </c>
      <c r="AG189" s="406">
        <f t="shared" si="151"/>
        <v>0.11362247274626176</v>
      </c>
      <c r="AH189" s="406">
        <f t="shared" si="152"/>
        <v>0</v>
      </c>
      <c r="AI189">
        <f t="shared" si="128"/>
        <v>0</v>
      </c>
      <c r="AJ189" s="407">
        <f t="shared" si="129"/>
        <v>2.9928E-2</v>
      </c>
      <c r="AK189">
        <f t="shared" si="134"/>
        <v>0.03</v>
      </c>
      <c r="AL189" s="407">
        <f t="shared" si="130"/>
        <v>0.13500000000000001</v>
      </c>
      <c r="AM189" s="407">
        <f t="shared" si="135"/>
        <v>9.8855098389982105E-2</v>
      </c>
      <c r="AN189" s="407">
        <f t="shared" si="153"/>
        <v>0.16500000000000001</v>
      </c>
      <c r="AO189" s="407">
        <f t="shared" si="154"/>
        <v>0.6928150350843163</v>
      </c>
      <c r="AP189">
        <f t="shared" si="131"/>
        <v>9.18</v>
      </c>
      <c r="AQ189" s="10">
        <f t="shared" si="155"/>
        <v>0.92982598857344045</v>
      </c>
      <c r="AR189" s="63">
        <f t="shared" si="156"/>
        <v>4.484388048314238</v>
      </c>
      <c r="AS189" s="63">
        <f t="shared" si="157"/>
        <v>4.5448989098504704</v>
      </c>
      <c r="AT189" s="10"/>
      <c r="AU189">
        <f t="shared" si="158"/>
        <v>92.982598857344044</v>
      </c>
    </row>
    <row r="190" spans="7:47" x14ac:dyDescent="0.2">
      <c r="G190">
        <v>181</v>
      </c>
      <c r="H190">
        <f t="shared" si="120"/>
        <v>1.81</v>
      </c>
      <c r="I190" s="406">
        <f t="shared" si="136"/>
        <v>0.34539379999999997</v>
      </c>
      <c r="J190" s="407">
        <f t="shared" si="121"/>
        <v>0.45591981599999998</v>
      </c>
      <c r="K190" s="407">
        <f t="shared" si="132"/>
        <v>2.0379599079999999</v>
      </c>
      <c r="L190" s="407">
        <f t="shared" si="137"/>
        <v>1.5820400920000002</v>
      </c>
      <c r="M190" s="63">
        <f t="shared" si="122"/>
        <v>0</v>
      </c>
      <c r="N190" s="406">
        <f t="shared" si="138"/>
        <v>1.8147787486500357</v>
      </c>
      <c r="O190" s="406">
        <f t="shared" si="139"/>
        <v>8.188038238245833E-2</v>
      </c>
      <c r="P190">
        <f t="shared" si="123"/>
        <v>0.2</v>
      </c>
      <c r="Q190" s="406">
        <f t="shared" si="133"/>
        <v>0.28188038238245833</v>
      </c>
      <c r="R190" s="9">
        <f t="shared" si="140"/>
        <v>0.13161271424824234</v>
      </c>
      <c r="S190" s="9">
        <f t="shared" si="141"/>
        <v>3.4643813103578981E-5</v>
      </c>
      <c r="T190" s="9">
        <f t="shared" si="142"/>
        <v>3.4643813103578981E-5</v>
      </c>
      <c r="U190" s="406">
        <f t="shared" si="143"/>
        <v>1.0665493459316207</v>
      </c>
      <c r="V190" s="408">
        <f t="shared" si="144"/>
        <v>3.6400880233829372E-3</v>
      </c>
      <c r="W190" s="406">
        <f t="shared" si="145"/>
        <v>3.6400880233829372E-3</v>
      </c>
      <c r="X190" s="406">
        <f t="shared" si="146"/>
        <v>1.0665493459316207</v>
      </c>
      <c r="Y190" s="406">
        <f t="shared" si="147"/>
        <v>2.2750550146143356E-2</v>
      </c>
      <c r="Z190" s="406">
        <f t="shared" si="124"/>
        <v>2.7211433583776059E-2</v>
      </c>
      <c r="AA190" s="406">
        <f t="shared" si="125"/>
        <v>4.9687500000000002E-2</v>
      </c>
      <c r="AB190" s="406">
        <f t="shared" si="126"/>
        <v>0</v>
      </c>
      <c r="AC190" s="406">
        <f t="shared" si="148"/>
        <v>0.10005923621069875</v>
      </c>
      <c r="AD190" s="406">
        <f t="shared" si="149"/>
        <v>1.4682964275801471</v>
      </c>
      <c r="AE190" s="406">
        <f t="shared" si="150"/>
        <v>4.3117887984892446E-2</v>
      </c>
      <c r="AF190" s="406">
        <f t="shared" si="127"/>
        <v>7.059E-2</v>
      </c>
      <c r="AG190" s="406">
        <f t="shared" si="151"/>
        <v>0.11449779246328436</v>
      </c>
      <c r="AH190" s="406">
        <f t="shared" si="152"/>
        <v>0</v>
      </c>
      <c r="AI190">
        <f t="shared" si="128"/>
        <v>0</v>
      </c>
      <c r="AJ190" s="407">
        <f t="shared" si="129"/>
        <v>2.9927600000000002E-2</v>
      </c>
      <c r="AK190">
        <f t="shared" si="134"/>
        <v>0.03</v>
      </c>
      <c r="AL190" s="407">
        <f t="shared" si="130"/>
        <v>0.13500000000000001</v>
      </c>
      <c r="AM190" s="407">
        <f t="shared" si="135"/>
        <v>9.8855098389982105E-2</v>
      </c>
      <c r="AN190" s="407">
        <f t="shared" si="153"/>
        <v>0.16500000000000001</v>
      </c>
      <c r="AO190" s="407">
        <f t="shared" si="154"/>
        <v>0.69503974289292803</v>
      </c>
      <c r="AP190">
        <f t="shared" si="131"/>
        <v>9.2309999999999999</v>
      </c>
      <c r="AQ190" s="10">
        <f t="shared" si="155"/>
        <v>0.92997814225048014</v>
      </c>
      <c r="AR190" s="63">
        <f t="shared" si="156"/>
        <v>4.5026656294814433</v>
      </c>
      <c r="AS190" s="63">
        <f t="shared" si="157"/>
        <v>4.5799116985313741</v>
      </c>
      <c r="AT190" s="10"/>
      <c r="AU190">
        <f t="shared" si="158"/>
        <v>92.997814225048018</v>
      </c>
    </row>
    <row r="191" spans="7:47" x14ac:dyDescent="0.2">
      <c r="G191">
        <v>182</v>
      </c>
      <c r="H191">
        <f t="shared" si="120"/>
        <v>1.82</v>
      </c>
      <c r="I191" s="406">
        <f t="shared" si="136"/>
        <v>0.3454236</v>
      </c>
      <c r="J191" s="407">
        <f t="shared" si="121"/>
        <v>0.45595915200000003</v>
      </c>
      <c r="K191" s="407">
        <f t="shared" si="132"/>
        <v>2.0479795759999999</v>
      </c>
      <c r="L191" s="407">
        <f t="shared" si="137"/>
        <v>1.592020424</v>
      </c>
      <c r="M191" s="63">
        <f t="shared" si="122"/>
        <v>0</v>
      </c>
      <c r="N191" s="406">
        <f t="shared" si="138"/>
        <v>1.824753379416256</v>
      </c>
      <c r="O191" s="406">
        <f t="shared" si="139"/>
        <v>8.2788917620060437E-2</v>
      </c>
      <c r="P191">
        <f t="shared" si="123"/>
        <v>0.2</v>
      </c>
      <c r="Q191" s="406">
        <f t="shared" si="133"/>
        <v>0.28278891762006042</v>
      </c>
      <c r="R191" s="9">
        <f t="shared" si="140"/>
        <v>0.13162406957333675</v>
      </c>
      <c r="S191" s="9">
        <f t="shared" si="141"/>
        <v>3.4649791382093185E-5</v>
      </c>
      <c r="T191" s="9">
        <f t="shared" si="142"/>
        <v>3.4649791382093185E-5</v>
      </c>
      <c r="U191" s="406">
        <f t="shared" si="143"/>
        <v>1.0724577196697433</v>
      </c>
      <c r="V191" s="408">
        <f t="shared" si="144"/>
        <v>3.6805297935335228E-3</v>
      </c>
      <c r="W191" s="406">
        <f t="shared" si="145"/>
        <v>3.6805297935335228E-3</v>
      </c>
      <c r="X191" s="406">
        <f t="shared" si="146"/>
        <v>1.0724577196697433</v>
      </c>
      <c r="Y191" s="406">
        <f t="shared" si="147"/>
        <v>2.3003311209584515E-2</v>
      </c>
      <c r="Z191" s="406">
        <f t="shared" si="124"/>
        <v>2.7360094062971768E-2</v>
      </c>
      <c r="AA191" s="406">
        <f t="shared" si="125"/>
        <v>4.9687500000000002E-2</v>
      </c>
      <c r="AB191" s="406">
        <f t="shared" si="126"/>
        <v>0</v>
      </c>
      <c r="AC191" s="406">
        <f t="shared" si="148"/>
        <v>0.100466898110787</v>
      </c>
      <c r="AD191" s="406">
        <f t="shared" si="149"/>
        <v>1.476333070554142</v>
      </c>
      <c r="AE191" s="406">
        <f t="shared" si="150"/>
        <v>4.3591186704236423E-2</v>
      </c>
      <c r="AF191" s="406">
        <f t="shared" si="127"/>
        <v>7.0979999999999988E-2</v>
      </c>
      <c r="AG191" s="406">
        <f t="shared" si="151"/>
        <v>0.11537588619161972</v>
      </c>
      <c r="AH191" s="406">
        <f t="shared" si="152"/>
        <v>0</v>
      </c>
      <c r="AI191">
        <f t="shared" si="128"/>
        <v>0</v>
      </c>
      <c r="AJ191" s="407">
        <f t="shared" si="129"/>
        <v>2.9927200000000001E-2</v>
      </c>
      <c r="AK191">
        <f t="shared" si="134"/>
        <v>0.03</v>
      </c>
      <c r="AL191" s="407">
        <f t="shared" si="130"/>
        <v>0.13500000000000001</v>
      </c>
      <c r="AM191" s="407">
        <f t="shared" si="135"/>
        <v>9.8855098389982105E-2</v>
      </c>
      <c r="AN191" s="407">
        <f t="shared" si="153"/>
        <v>0.16500000000000001</v>
      </c>
      <c r="AO191" s="407">
        <f t="shared" si="154"/>
        <v>0.69727408150738279</v>
      </c>
      <c r="AP191">
        <f t="shared" si="131"/>
        <v>9.282</v>
      </c>
      <c r="AQ191" s="10">
        <f t="shared" si="155"/>
        <v>0.9301277752457463</v>
      </c>
      <c r="AR191" s="63">
        <f t="shared" si="156"/>
        <v>4.5210104149854153</v>
      </c>
      <c r="AS191" s="63">
        <f t="shared" si="157"/>
        <v>4.6150354476647886</v>
      </c>
      <c r="AT191" s="10"/>
      <c r="AU191">
        <f t="shared" si="158"/>
        <v>93.012777524574631</v>
      </c>
    </row>
    <row r="192" spans="7:47" x14ac:dyDescent="0.2">
      <c r="G192">
        <v>183</v>
      </c>
      <c r="H192">
        <f t="shared" si="120"/>
        <v>1.83</v>
      </c>
      <c r="I192" s="406">
        <f t="shared" si="136"/>
        <v>0.34545339999999997</v>
      </c>
      <c r="J192" s="407">
        <f t="shared" si="121"/>
        <v>0.45599848799999992</v>
      </c>
      <c r="K192" s="407">
        <f t="shared" si="132"/>
        <v>2.0579992439999999</v>
      </c>
      <c r="L192" s="407">
        <f t="shared" si="137"/>
        <v>1.602000756</v>
      </c>
      <c r="M192" s="63">
        <f t="shared" si="122"/>
        <v>0</v>
      </c>
      <c r="N192" s="406">
        <f t="shared" si="138"/>
        <v>1.834728286446849</v>
      </c>
      <c r="O192" s="406">
        <f t="shared" si="139"/>
        <v>8.3702590461955009E-2</v>
      </c>
      <c r="P192">
        <f t="shared" si="123"/>
        <v>0.2</v>
      </c>
      <c r="Q192" s="406">
        <f t="shared" si="133"/>
        <v>0.28370259046195501</v>
      </c>
      <c r="R192" s="9">
        <f t="shared" si="140"/>
        <v>0.13163542489843116</v>
      </c>
      <c r="S192" s="9">
        <f t="shared" si="141"/>
        <v>3.4655770176381024E-5</v>
      </c>
      <c r="T192" s="9">
        <f t="shared" si="142"/>
        <v>3.4655770176381024E-5</v>
      </c>
      <c r="U192" s="406">
        <f t="shared" si="143"/>
        <v>1.078366759538945</v>
      </c>
      <c r="V192" s="408">
        <f t="shared" si="144"/>
        <v>3.7211995778512795E-3</v>
      </c>
      <c r="W192" s="406">
        <f t="shared" si="145"/>
        <v>3.7211995778512795E-3</v>
      </c>
      <c r="X192" s="406">
        <f t="shared" si="146"/>
        <v>1.078366759538945</v>
      </c>
      <c r="Y192" s="406">
        <f t="shared" si="147"/>
        <v>2.3257497361570498E-2</v>
      </c>
      <c r="Z192" s="406">
        <f t="shared" si="124"/>
        <v>2.7508754542167484E-2</v>
      </c>
      <c r="AA192" s="406">
        <f t="shared" si="125"/>
        <v>4.9687500000000002E-2</v>
      </c>
      <c r="AB192" s="406">
        <f t="shared" si="126"/>
        <v>0</v>
      </c>
      <c r="AC192" s="406">
        <f t="shared" si="148"/>
        <v>0.10087605432585725</v>
      </c>
      <c r="AD192" s="406">
        <f t="shared" si="149"/>
        <v>1.4843695688775307</v>
      </c>
      <c r="AE192" s="406">
        <f t="shared" si="150"/>
        <v>4.406706034019333E-2</v>
      </c>
      <c r="AF192" s="406">
        <f t="shared" si="127"/>
        <v>7.1370000000000003E-2</v>
      </c>
      <c r="AG192" s="406">
        <f t="shared" si="151"/>
        <v>0.1162567552922604</v>
      </c>
      <c r="AH192" s="406">
        <f t="shared" si="152"/>
        <v>0</v>
      </c>
      <c r="AI192">
        <f t="shared" si="128"/>
        <v>0</v>
      </c>
      <c r="AJ192" s="407">
        <f t="shared" si="129"/>
        <v>2.99268E-2</v>
      </c>
      <c r="AK192">
        <f t="shared" si="134"/>
        <v>0.03</v>
      </c>
      <c r="AL192" s="407">
        <f t="shared" si="130"/>
        <v>0.13500000000000001</v>
      </c>
      <c r="AM192" s="407">
        <f t="shared" si="135"/>
        <v>9.8855098389982105E-2</v>
      </c>
      <c r="AN192" s="407">
        <f t="shared" si="153"/>
        <v>0.16500000000000001</v>
      </c>
      <c r="AO192" s="407">
        <f t="shared" si="154"/>
        <v>0.6995180554281003</v>
      </c>
      <c r="AP192">
        <f t="shared" si="131"/>
        <v>9.3330000000000002</v>
      </c>
      <c r="AQ192" s="10">
        <f t="shared" si="155"/>
        <v>0.93027492683657564</v>
      </c>
      <c r="AR192" s="63">
        <f t="shared" si="156"/>
        <v>4.5394224446635763</v>
      </c>
      <c r="AS192" s="63">
        <f t="shared" si="157"/>
        <v>4.6502702116904162</v>
      </c>
      <c r="AT192" s="10"/>
      <c r="AU192">
        <f t="shared" si="158"/>
        <v>93.02749268365757</v>
      </c>
    </row>
    <row r="193" spans="7:47" x14ac:dyDescent="0.2">
      <c r="G193">
        <v>184</v>
      </c>
      <c r="H193">
        <f t="shared" si="120"/>
        <v>1.84</v>
      </c>
      <c r="I193" s="406">
        <f t="shared" si="136"/>
        <v>0.34548320000000005</v>
      </c>
      <c r="J193" s="407">
        <f t="shared" si="121"/>
        <v>0.45603782400000009</v>
      </c>
      <c r="K193" s="407">
        <f t="shared" si="132"/>
        <v>2.0680189120000003</v>
      </c>
      <c r="L193" s="407">
        <f t="shared" si="137"/>
        <v>1.6119810880000001</v>
      </c>
      <c r="M193" s="63">
        <f t="shared" si="122"/>
        <v>0</v>
      </c>
      <c r="N193" s="406">
        <f t="shared" si="138"/>
        <v>1.8447034652602627</v>
      </c>
      <c r="O193" s="406">
        <f t="shared" si="139"/>
        <v>8.462140311797807E-2</v>
      </c>
      <c r="P193">
        <f t="shared" si="123"/>
        <v>0.2</v>
      </c>
      <c r="Q193" s="406">
        <f t="shared" si="133"/>
        <v>0.28462140311797807</v>
      </c>
      <c r="R193" s="9">
        <f t="shared" si="140"/>
        <v>0.13164678022352563</v>
      </c>
      <c r="S193" s="9">
        <f t="shared" si="141"/>
        <v>3.4661749486442519E-5</v>
      </c>
      <c r="T193" s="9">
        <f t="shared" si="142"/>
        <v>3.4661749486442519E-5</v>
      </c>
      <c r="U193" s="406">
        <f t="shared" si="143"/>
        <v>1.0842764628936143</v>
      </c>
      <c r="V193" s="408">
        <f t="shared" si="144"/>
        <v>3.7620974335522799E-3</v>
      </c>
      <c r="W193" s="406">
        <f t="shared" si="145"/>
        <v>3.7620974335522799E-3</v>
      </c>
      <c r="X193" s="406">
        <f t="shared" si="146"/>
        <v>1.0842764628936143</v>
      </c>
      <c r="Y193" s="406">
        <f t="shared" si="147"/>
        <v>2.3513108959701746E-2</v>
      </c>
      <c r="Z193" s="406">
        <f t="shared" si="124"/>
        <v>2.7657415021363201E-2</v>
      </c>
      <c r="AA193" s="406">
        <f t="shared" si="125"/>
        <v>4.9687500000000002E-2</v>
      </c>
      <c r="AB193" s="406">
        <f t="shared" si="126"/>
        <v>0</v>
      </c>
      <c r="AC193" s="406">
        <f t="shared" si="148"/>
        <v>0.10128670574376296</v>
      </c>
      <c r="AD193" s="406">
        <f t="shared" si="149"/>
        <v>1.4924059188967773</v>
      </c>
      <c r="AE193" s="406">
        <f t="shared" si="150"/>
        <v>4.4545508535162689E-2</v>
      </c>
      <c r="AF193" s="406">
        <f t="shared" si="127"/>
        <v>7.1760000000000018E-2</v>
      </c>
      <c r="AG193" s="406">
        <f t="shared" si="151"/>
        <v>0.11714040113332219</v>
      </c>
      <c r="AH193" s="406">
        <f t="shared" si="152"/>
        <v>0</v>
      </c>
      <c r="AI193">
        <f t="shared" si="128"/>
        <v>0</v>
      </c>
      <c r="AJ193" s="407">
        <f t="shared" si="129"/>
        <v>2.9926400000000002E-2</v>
      </c>
      <c r="AK193">
        <f t="shared" si="134"/>
        <v>0.03</v>
      </c>
      <c r="AL193" s="407">
        <f t="shared" si="130"/>
        <v>0.13500000000000001</v>
      </c>
      <c r="AM193" s="407">
        <f t="shared" si="135"/>
        <v>9.8855098389982105E-2</v>
      </c>
      <c r="AN193" s="407">
        <f t="shared" si="153"/>
        <v>0.16500000000000001</v>
      </c>
      <c r="AO193" s="407">
        <f t="shared" si="154"/>
        <v>0.70177166917810196</v>
      </c>
      <c r="AP193">
        <f t="shared" si="131"/>
        <v>9.3840000000000003</v>
      </c>
      <c r="AQ193" s="10">
        <f t="shared" si="155"/>
        <v>0.93041963548285544</v>
      </c>
      <c r="AR193" s="63">
        <f t="shared" si="156"/>
        <v>4.5579017584693329</v>
      </c>
      <c r="AS193" s="63">
        <f t="shared" si="157"/>
        <v>4.6856160453328872</v>
      </c>
      <c r="AT193" s="10"/>
      <c r="AU193">
        <f t="shared" si="158"/>
        <v>93.041963548285551</v>
      </c>
    </row>
    <row r="194" spans="7:47" x14ac:dyDescent="0.2">
      <c r="G194">
        <v>185</v>
      </c>
      <c r="H194">
        <f t="shared" si="120"/>
        <v>1.85</v>
      </c>
      <c r="I194" s="406">
        <f t="shared" si="136"/>
        <v>0.34551300000000001</v>
      </c>
      <c r="J194" s="407">
        <f t="shared" si="121"/>
        <v>0.45607716000000004</v>
      </c>
      <c r="K194" s="407">
        <f t="shared" si="132"/>
        <v>2.0780385800000003</v>
      </c>
      <c r="L194" s="407">
        <f t="shared" si="137"/>
        <v>1.6219614200000001</v>
      </c>
      <c r="M194" s="63">
        <f t="shared" si="122"/>
        <v>0</v>
      </c>
      <c r="N194" s="406">
        <f t="shared" si="138"/>
        <v>1.8546789114712388</v>
      </c>
      <c r="O194" s="406">
        <f t="shared" si="139"/>
        <v>8.5545357810880338E-2</v>
      </c>
      <c r="P194">
        <f t="shared" si="123"/>
        <v>0.2</v>
      </c>
      <c r="Q194" s="406">
        <f t="shared" si="133"/>
        <v>0.28554535781088036</v>
      </c>
      <c r="R194" s="9">
        <f t="shared" si="140"/>
        <v>0.13165813554862002</v>
      </c>
      <c r="S194" s="9">
        <f t="shared" si="141"/>
        <v>3.4667729312277608E-5</v>
      </c>
      <c r="T194" s="9">
        <f t="shared" si="142"/>
        <v>3.4667729312277608E-5</v>
      </c>
      <c r="U194" s="406">
        <f t="shared" si="143"/>
        <v>1.0901868271442914</v>
      </c>
      <c r="V194" s="408">
        <f t="shared" si="144"/>
        <v>3.8032234178525985E-3</v>
      </c>
      <c r="W194" s="406">
        <f t="shared" si="145"/>
        <v>3.8032234178525985E-3</v>
      </c>
      <c r="X194" s="406">
        <f t="shared" si="146"/>
        <v>1.0901868271442914</v>
      </c>
      <c r="Y194" s="406">
        <f t="shared" si="147"/>
        <v>2.3770146361578738E-2</v>
      </c>
      <c r="Z194" s="406">
        <f t="shared" si="124"/>
        <v>2.7806075500558913E-2</v>
      </c>
      <c r="AA194" s="406">
        <f t="shared" si="125"/>
        <v>4.9687500000000002E-2</v>
      </c>
      <c r="AB194" s="406">
        <f t="shared" si="126"/>
        <v>0</v>
      </c>
      <c r="AC194" s="406">
        <f t="shared" si="148"/>
        <v>0.10169885325493906</v>
      </c>
      <c r="AD194" s="406">
        <f t="shared" si="149"/>
        <v>1.500442117036576</v>
      </c>
      <c r="AE194" s="406">
        <f t="shared" si="150"/>
        <v>4.5026530931544045E-2</v>
      </c>
      <c r="AF194" s="406">
        <f t="shared" si="127"/>
        <v>7.2150000000000006E-2</v>
      </c>
      <c r="AG194" s="406">
        <f t="shared" si="151"/>
        <v>0.11802682509005111</v>
      </c>
      <c r="AH194" s="406">
        <f t="shared" si="152"/>
        <v>0</v>
      </c>
      <c r="AI194">
        <f t="shared" si="128"/>
        <v>0</v>
      </c>
      <c r="AJ194" s="407">
        <f t="shared" si="129"/>
        <v>2.9925999999999998E-2</v>
      </c>
      <c r="AK194">
        <f t="shared" si="134"/>
        <v>0.03</v>
      </c>
      <c r="AL194" s="407">
        <f t="shared" si="130"/>
        <v>0.13500000000000001</v>
      </c>
      <c r="AM194" s="407">
        <f t="shared" si="135"/>
        <v>9.8855098389982105E-2</v>
      </c>
      <c r="AN194" s="407">
        <f t="shared" si="153"/>
        <v>0.16500000000000001</v>
      </c>
      <c r="AO194" s="407">
        <f t="shared" si="154"/>
        <v>0.70403492730303541</v>
      </c>
      <c r="AP194">
        <f t="shared" si="131"/>
        <v>9.4350000000000005</v>
      </c>
      <c r="AQ194" s="10">
        <f t="shared" si="155"/>
        <v>0.93056193884812777</v>
      </c>
      <c r="AR194" s="63">
        <f t="shared" si="156"/>
        <v>4.5764483964722578</v>
      </c>
      <c r="AS194" s="63">
        <f t="shared" si="157"/>
        <v>4.7210730036020445</v>
      </c>
      <c r="AT194" s="10"/>
      <c r="AU194">
        <f t="shared" si="158"/>
        <v>93.056193884812771</v>
      </c>
    </row>
    <row r="195" spans="7:47" x14ac:dyDescent="0.2">
      <c r="G195">
        <v>186</v>
      </c>
      <c r="H195">
        <f t="shared" si="120"/>
        <v>1.86</v>
      </c>
      <c r="I195" s="406">
        <f t="shared" si="136"/>
        <v>0.34554279999999998</v>
      </c>
      <c r="J195" s="407">
        <f t="shared" si="121"/>
        <v>0.45611649599999998</v>
      </c>
      <c r="K195" s="407">
        <f t="shared" si="132"/>
        <v>2.0880582480000003</v>
      </c>
      <c r="L195" s="407">
        <f t="shared" si="137"/>
        <v>1.6319417520000001</v>
      </c>
      <c r="M195" s="63">
        <f t="shared" si="122"/>
        <v>0</v>
      </c>
      <c r="N195" s="406">
        <f t="shared" si="138"/>
        <v>1.8646546207882424</v>
      </c>
      <c r="O195" s="406">
        <f t="shared" si="139"/>
        <v>8.6474456776340719E-2</v>
      </c>
      <c r="P195">
        <f t="shared" si="123"/>
        <v>0.2</v>
      </c>
      <c r="Q195" s="406">
        <f t="shared" si="133"/>
        <v>0.28647445677634076</v>
      </c>
      <c r="R195" s="9">
        <f t="shared" si="140"/>
        <v>0.13166949087371443</v>
      </c>
      <c r="S195" s="9">
        <f t="shared" si="141"/>
        <v>3.4673709653886339E-5</v>
      </c>
      <c r="T195" s="9">
        <f t="shared" si="142"/>
        <v>3.4673709653886339E-5</v>
      </c>
      <c r="U195" s="406">
        <f t="shared" si="143"/>
        <v>1.0960978497561682</v>
      </c>
      <c r="V195" s="408">
        <f t="shared" si="144"/>
        <v>3.8445775879683056E-3</v>
      </c>
      <c r="W195" s="406">
        <f t="shared" si="145"/>
        <v>3.8445775879683056E-3</v>
      </c>
      <c r="X195" s="406">
        <f t="shared" si="146"/>
        <v>1.0960978497561682</v>
      </c>
      <c r="Y195" s="406">
        <f t="shared" si="147"/>
        <v>2.4028609924801908E-2</v>
      </c>
      <c r="Z195" s="406">
        <f t="shared" si="124"/>
        <v>2.795473597975463E-2</v>
      </c>
      <c r="AA195" s="406">
        <f t="shared" si="125"/>
        <v>4.9687500000000002E-2</v>
      </c>
      <c r="AB195" s="406">
        <f t="shared" si="126"/>
        <v>0</v>
      </c>
      <c r="AC195" s="406">
        <f t="shared" si="148"/>
        <v>0.1021124977524057</v>
      </c>
      <c r="AD195" s="406">
        <f t="shared" si="149"/>
        <v>1.5084781597977639</v>
      </c>
      <c r="AE195" s="406">
        <f t="shared" si="150"/>
        <v>4.5510127171736962E-2</v>
      </c>
      <c r="AF195" s="406">
        <f t="shared" si="127"/>
        <v>7.2540000000000007E-2</v>
      </c>
      <c r="AG195" s="406">
        <f t="shared" si="151"/>
        <v>0.11891602854483027</v>
      </c>
      <c r="AH195" s="406">
        <f t="shared" si="152"/>
        <v>0</v>
      </c>
      <c r="AI195">
        <f t="shared" si="128"/>
        <v>0</v>
      </c>
      <c r="AJ195" s="407">
        <f t="shared" si="129"/>
        <v>2.99256E-2</v>
      </c>
      <c r="AK195">
        <f t="shared" si="134"/>
        <v>0.03</v>
      </c>
      <c r="AL195" s="407">
        <f t="shared" si="130"/>
        <v>0.13500000000000001</v>
      </c>
      <c r="AM195" s="407">
        <f t="shared" si="135"/>
        <v>9.8855098389982105E-2</v>
      </c>
      <c r="AN195" s="407">
        <f t="shared" si="153"/>
        <v>0.16500000000000001</v>
      </c>
      <c r="AO195" s="407">
        <f t="shared" si="154"/>
        <v>0.70630783437119893</v>
      </c>
      <c r="AP195">
        <f t="shared" si="131"/>
        <v>9.4860000000000007</v>
      </c>
      <c r="AQ195" s="10">
        <f t="shared" si="155"/>
        <v>0.9307018738200451</v>
      </c>
      <c r="AR195" s="63">
        <f t="shared" si="156"/>
        <v>4.5950623988582571</v>
      </c>
      <c r="AS195" s="63">
        <f t="shared" si="157"/>
        <v>4.7566411417932111</v>
      </c>
      <c r="AT195" s="10"/>
      <c r="AU195">
        <f t="shared" si="158"/>
        <v>93.070187382004505</v>
      </c>
    </row>
    <row r="196" spans="7:47" x14ac:dyDescent="0.2">
      <c r="G196">
        <v>187</v>
      </c>
      <c r="H196">
        <f t="shared" si="120"/>
        <v>1.87</v>
      </c>
      <c r="I196" s="406">
        <f t="shared" si="136"/>
        <v>0.34557259999999995</v>
      </c>
      <c r="J196" s="407">
        <f t="shared" si="121"/>
        <v>0.45615583199999998</v>
      </c>
      <c r="K196" s="407">
        <f t="shared" si="132"/>
        <v>2.0980779160000003</v>
      </c>
      <c r="L196" s="407">
        <f t="shared" si="137"/>
        <v>1.6419220840000002</v>
      </c>
      <c r="M196" s="63">
        <f t="shared" si="122"/>
        <v>0</v>
      </c>
      <c r="N196" s="406">
        <f t="shared" si="138"/>
        <v>1.8746305890109749</v>
      </c>
      <c r="O196" s="406">
        <f t="shared" si="139"/>
        <v>8.740870226297992E-2</v>
      </c>
      <c r="P196">
        <f t="shared" si="123"/>
        <v>0.2</v>
      </c>
      <c r="Q196" s="406">
        <f t="shared" si="133"/>
        <v>0.28740870226297993</v>
      </c>
      <c r="R196" s="9">
        <f t="shared" si="140"/>
        <v>0.13168084619880885</v>
      </c>
      <c r="S196" s="9">
        <f t="shared" si="141"/>
        <v>3.4679690511268699E-5</v>
      </c>
      <c r="T196" s="9">
        <f t="shared" si="142"/>
        <v>3.4679690511268699E-5</v>
      </c>
      <c r="U196" s="406">
        <f t="shared" si="143"/>
        <v>1.1020095282476405</v>
      </c>
      <c r="V196" s="408">
        <f t="shared" si="144"/>
        <v>3.8861600011154793E-3</v>
      </c>
      <c r="W196" s="406">
        <f t="shared" si="145"/>
        <v>3.8861600011154793E-3</v>
      </c>
      <c r="X196" s="406">
        <f t="shared" si="146"/>
        <v>1.1020095282476405</v>
      </c>
      <c r="Y196" s="406">
        <f t="shared" si="147"/>
        <v>2.4288500006971747E-2</v>
      </c>
      <c r="Z196" s="406">
        <f t="shared" si="124"/>
        <v>2.8103396458950342E-2</v>
      </c>
      <c r="AA196" s="406">
        <f t="shared" si="125"/>
        <v>4.9687500000000002E-2</v>
      </c>
      <c r="AB196" s="406">
        <f t="shared" si="126"/>
        <v>0</v>
      </c>
      <c r="AC196" s="406">
        <f t="shared" si="148"/>
        <v>0.10252764013177205</v>
      </c>
      <c r="AD196" s="406">
        <f t="shared" si="149"/>
        <v>1.5165140437552984</v>
      </c>
      <c r="AE196" s="406">
        <f t="shared" si="150"/>
        <v>4.5996296898140943E-2</v>
      </c>
      <c r="AF196" s="406">
        <f t="shared" si="127"/>
        <v>7.2930000000000009E-2</v>
      </c>
      <c r="AG196" s="406">
        <f t="shared" si="151"/>
        <v>0.11980801288718661</v>
      </c>
      <c r="AH196" s="406">
        <f t="shared" si="152"/>
        <v>0</v>
      </c>
      <c r="AI196">
        <f t="shared" si="128"/>
        <v>0</v>
      </c>
      <c r="AJ196" s="407">
        <f t="shared" si="129"/>
        <v>2.9925200000000002E-2</v>
      </c>
      <c r="AK196">
        <f t="shared" si="134"/>
        <v>0.03</v>
      </c>
      <c r="AL196" s="407">
        <f t="shared" si="130"/>
        <v>0.13500000000000001</v>
      </c>
      <c r="AM196" s="407">
        <f t="shared" si="135"/>
        <v>9.8855098389982105E-2</v>
      </c>
      <c r="AN196" s="407">
        <f t="shared" si="153"/>
        <v>0.16500000000000001</v>
      </c>
      <c r="AO196" s="407">
        <f t="shared" si="154"/>
        <v>0.70859039497356535</v>
      </c>
      <c r="AP196">
        <f t="shared" si="131"/>
        <v>9.536999999999999</v>
      </c>
      <c r="AQ196" s="10">
        <f t="shared" si="155"/>
        <v>0.93083947653019616</v>
      </c>
      <c r="AR196" s="63">
        <f t="shared" si="156"/>
        <v>4.6137438059297429</v>
      </c>
      <c r="AS196" s="63">
        <f t="shared" si="157"/>
        <v>4.7923205154874644</v>
      </c>
      <c r="AT196" s="10"/>
      <c r="AU196">
        <f t="shared" si="158"/>
        <v>93.083947653019621</v>
      </c>
    </row>
    <row r="197" spans="7:47" x14ac:dyDescent="0.2">
      <c r="G197">
        <v>188</v>
      </c>
      <c r="H197">
        <f t="shared" si="120"/>
        <v>1.88</v>
      </c>
      <c r="I197" s="406">
        <f t="shared" si="136"/>
        <v>0.34560239999999998</v>
      </c>
      <c r="J197" s="407">
        <f t="shared" si="121"/>
        <v>0.45619516799999998</v>
      </c>
      <c r="K197" s="407">
        <f t="shared" si="132"/>
        <v>2.1080975839999998</v>
      </c>
      <c r="L197" s="407">
        <f t="shared" si="137"/>
        <v>1.651902416</v>
      </c>
      <c r="M197" s="63">
        <f t="shared" si="122"/>
        <v>0</v>
      </c>
      <c r="N197" s="406">
        <f t="shared" si="138"/>
        <v>1.8846068120279658</v>
      </c>
      <c r="O197" s="406">
        <f t="shared" si="139"/>
        <v>8.834809653237434E-2</v>
      </c>
      <c r="P197">
        <f t="shared" si="123"/>
        <v>0.2</v>
      </c>
      <c r="Q197" s="406">
        <f t="shared" si="133"/>
        <v>0.28834809653237436</v>
      </c>
      <c r="R197" s="9">
        <f t="shared" si="140"/>
        <v>0.13169220152390329</v>
      </c>
      <c r="S197" s="9">
        <f t="shared" si="141"/>
        <v>3.4685671884424715E-5</v>
      </c>
      <c r="T197" s="9">
        <f t="shared" si="142"/>
        <v>3.4685671884424715E-5</v>
      </c>
      <c r="U197" s="406">
        <f t="shared" si="143"/>
        <v>1.1079218601889009</v>
      </c>
      <c r="V197" s="408">
        <f t="shared" si="144"/>
        <v>3.92797071451019E-3</v>
      </c>
      <c r="W197" s="406">
        <f t="shared" si="145"/>
        <v>3.92797071451019E-3</v>
      </c>
      <c r="X197" s="406">
        <f t="shared" si="146"/>
        <v>1.1079218601889009</v>
      </c>
      <c r="Y197" s="406">
        <f t="shared" si="147"/>
        <v>2.4549816965688691E-2</v>
      </c>
      <c r="Z197" s="406">
        <f t="shared" si="124"/>
        <v>2.8252056938146048E-2</v>
      </c>
      <c r="AA197" s="406">
        <f t="shared" si="125"/>
        <v>4.9687500000000002E-2</v>
      </c>
      <c r="AB197" s="406">
        <f t="shared" si="126"/>
        <v>0</v>
      </c>
      <c r="AC197" s="406">
        <f t="shared" si="148"/>
        <v>0.10294428129124032</v>
      </c>
      <c r="AD197" s="406">
        <f t="shared" si="149"/>
        <v>1.5245497655563027</v>
      </c>
      <c r="AE197" s="406">
        <f t="shared" si="150"/>
        <v>4.6485039753155551E-2</v>
      </c>
      <c r="AF197" s="406">
        <f t="shared" si="127"/>
        <v>7.3319999999999996E-2</v>
      </c>
      <c r="AG197" s="406">
        <f t="shared" si="151"/>
        <v>0.12070277951379797</v>
      </c>
      <c r="AH197" s="406">
        <f t="shared" si="152"/>
        <v>0</v>
      </c>
      <c r="AI197">
        <f t="shared" si="128"/>
        <v>0</v>
      </c>
      <c r="AJ197" s="407">
        <f t="shared" si="129"/>
        <v>2.9924800000000001E-2</v>
      </c>
      <c r="AK197">
        <f t="shared" si="134"/>
        <v>0.03</v>
      </c>
      <c r="AL197" s="407">
        <f t="shared" si="130"/>
        <v>0.13500000000000001</v>
      </c>
      <c r="AM197" s="407">
        <f t="shared" si="135"/>
        <v>9.8855098389982105E-2</v>
      </c>
      <c r="AN197" s="407">
        <f t="shared" si="153"/>
        <v>0.16500000000000001</v>
      </c>
      <c r="AO197" s="407">
        <f t="shared" si="154"/>
        <v>0.71088261372380723</v>
      </c>
      <c r="AP197">
        <f t="shared" si="131"/>
        <v>9.5879999999999992</v>
      </c>
      <c r="AQ197" s="10">
        <f t="shared" si="155"/>
        <v>0.93097478237333064</v>
      </c>
      <c r="AR197" s="63">
        <f t="shared" si="156"/>
        <v>4.6324926581058143</v>
      </c>
      <c r="AS197" s="63">
        <f t="shared" si="157"/>
        <v>4.828111180551919</v>
      </c>
      <c r="AT197" s="10"/>
      <c r="AU197">
        <f t="shared" si="158"/>
        <v>93.097478237333064</v>
      </c>
    </row>
    <row r="198" spans="7:47" x14ac:dyDescent="0.2">
      <c r="G198">
        <v>189</v>
      </c>
      <c r="H198">
        <f t="shared" si="120"/>
        <v>1.89</v>
      </c>
      <c r="I198" s="406">
        <f t="shared" si="136"/>
        <v>0.34563219999999995</v>
      </c>
      <c r="J198" s="407">
        <f t="shared" si="121"/>
        <v>0.45623450399999999</v>
      </c>
      <c r="K198" s="407">
        <f t="shared" si="132"/>
        <v>2.1181172519999998</v>
      </c>
      <c r="L198" s="407">
        <f t="shared" si="137"/>
        <v>1.661882748</v>
      </c>
      <c r="M198" s="63">
        <f t="shared" si="122"/>
        <v>0</v>
      </c>
      <c r="N198" s="406">
        <f t="shared" si="138"/>
        <v>1.8945832858142386</v>
      </c>
      <c r="O198" s="406">
        <f t="shared" si="139"/>
        <v>8.9292641859069752E-2</v>
      </c>
      <c r="P198">
        <f t="shared" si="123"/>
        <v>0.2</v>
      </c>
      <c r="Q198" s="406">
        <f t="shared" si="133"/>
        <v>0.28929264185906978</v>
      </c>
      <c r="R198" s="9">
        <f t="shared" si="140"/>
        <v>0.1317035568489977</v>
      </c>
      <c r="S198" s="9">
        <f t="shared" si="141"/>
        <v>3.4691653773354345E-5</v>
      </c>
      <c r="T198" s="9">
        <f t="shared" si="142"/>
        <v>3.4691653773354345E-5</v>
      </c>
      <c r="U198" s="406">
        <f t="shared" si="143"/>
        <v>1.1138348432005802</v>
      </c>
      <c r="V198" s="408">
        <f t="shared" si="144"/>
        <v>3.9700097853685159E-3</v>
      </c>
      <c r="W198" s="406">
        <f t="shared" si="145"/>
        <v>3.9700097853685159E-3</v>
      </c>
      <c r="X198" s="406">
        <f t="shared" si="146"/>
        <v>1.1138348432005802</v>
      </c>
      <c r="Y198" s="406">
        <f t="shared" si="147"/>
        <v>2.4812561158553223E-2</v>
      </c>
      <c r="Z198" s="406">
        <f t="shared" si="124"/>
        <v>2.8400717417341761E-2</v>
      </c>
      <c r="AA198" s="406">
        <f t="shared" si="125"/>
        <v>4.9687500000000002E-2</v>
      </c>
      <c r="AB198" s="406">
        <f t="shared" si="126"/>
        <v>0</v>
      </c>
      <c r="AC198" s="406">
        <f t="shared" si="148"/>
        <v>0.10336242213160959</v>
      </c>
      <c r="AD198" s="406">
        <f t="shared" si="149"/>
        <v>1.5325853219181684</v>
      </c>
      <c r="AE198" s="406">
        <f t="shared" si="150"/>
        <v>4.6976355379180323E-2</v>
      </c>
      <c r="AF198" s="406">
        <f t="shared" si="127"/>
        <v>7.3709999999999998E-2</v>
      </c>
      <c r="AG198" s="406">
        <f t="shared" si="151"/>
        <v>0.12160032982850019</v>
      </c>
      <c r="AH198" s="406">
        <f t="shared" si="152"/>
        <v>0</v>
      </c>
      <c r="AI198">
        <f t="shared" si="128"/>
        <v>0</v>
      </c>
      <c r="AJ198" s="407">
        <f t="shared" si="129"/>
        <v>2.99244E-2</v>
      </c>
      <c r="AK198">
        <f t="shared" si="134"/>
        <v>0.03</v>
      </c>
      <c r="AL198" s="407">
        <f t="shared" si="130"/>
        <v>0.13500000000000001</v>
      </c>
      <c r="AM198" s="407">
        <f t="shared" si="135"/>
        <v>9.8855098389982105E-2</v>
      </c>
      <c r="AN198" s="407">
        <f t="shared" si="153"/>
        <v>0.16500000000000001</v>
      </c>
      <c r="AO198" s="407">
        <f t="shared" si="154"/>
        <v>0.71318449525832139</v>
      </c>
      <c r="AP198">
        <f t="shared" si="131"/>
        <v>9.6389999999999993</v>
      </c>
      <c r="AQ198" s="10">
        <f t="shared" si="155"/>
        <v>0.93110782602599618</v>
      </c>
      <c r="AR198" s="63">
        <f t="shared" si="156"/>
        <v>4.6513089959224319</v>
      </c>
      <c r="AS198" s="63">
        <f t="shared" si="157"/>
        <v>4.8640131931400079</v>
      </c>
      <c r="AT198" s="10"/>
      <c r="AU198">
        <f t="shared" si="158"/>
        <v>93.110782602599613</v>
      </c>
    </row>
    <row r="199" spans="7:47" x14ac:dyDescent="0.2">
      <c r="G199">
        <v>190</v>
      </c>
      <c r="H199">
        <f t="shared" si="120"/>
        <v>1.9</v>
      </c>
      <c r="I199" s="406">
        <f t="shared" si="136"/>
        <v>0.34566199999999997</v>
      </c>
      <c r="J199" s="407">
        <f t="shared" si="121"/>
        <v>0.45627383999999999</v>
      </c>
      <c r="K199" s="407">
        <f t="shared" si="132"/>
        <v>2.1281369199999998</v>
      </c>
      <c r="L199" s="407">
        <f t="shared" si="137"/>
        <v>1.6718630799999998</v>
      </c>
      <c r="M199" s="63">
        <f t="shared" si="122"/>
        <v>0</v>
      </c>
      <c r="N199" s="406">
        <f t="shared" si="138"/>
        <v>1.9045600064290515</v>
      </c>
      <c r="O199" s="406">
        <f t="shared" si="139"/>
        <v>9.0242340530595141E-2</v>
      </c>
      <c r="P199">
        <f t="shared" si="123"/>
        <v>0.2</v>
      </c>
      <c r="Q199" s="406">
        <f t="shared" si="133"/>
        <v>0.29024234053059517</v>
      </c>
      <c r="R199" s="9">
        <f t="shared" si="140"/>
        <v>0.13171491217409212</v>
      </c>
      <c r="S199" s="9">
        <f t="shared" si="141"/>
        <v>3.4697636178057604E-5</v>
      </c>
      <c r="T199" s="9">
        <f t="shared" si="142"/>
        <v>3.4697636178057604E-5</v>
      </c>
      <c r="U199" s="406">
        <f t="shared" si="143"/>
        <v>1.1197484749524287</v>
      </c>
      <c r="V199" s="408">
        <f t="shared" si="144"/>
        <v>4.012277270906528E-3</v>
      </c>
      <c r="W199" s="406">
        <f t="shared" si="145"/>
        <v>4.012277270906528E-3</v>
      </c>
      <c r="X199" s="406">
        <f t="shared" si="146"/>
        <v>1.1197484749524287</v>
      </c>
      <c r="Y199" s="406">
        <f t="shared" si="147"/>
        <v>2.5076732943165796E-2</v>
      </c>
      <c r="Z199" s="406">
        <f t="shared" si="124"/>
        <v>2.8549377896537477E-2</v>
      </c>
      <c r="AA199" s="406">
        <f t="shared" si="125"/>
        <v>4.9687500000000002E-2</v>
      </c>
      <c r="AB199" s="406">
        <f t="shared" si="126"/>
        <v>0</v>
      </c>
      <c r="AC199" s="406">
        <f t="shared" si="148"/>
        <v>0.10378206355627975</v>
      </c>
      <c r="AD199" s="406">
        <f t="shared" si="149"/>
        <v>1.5406207096267204</v>
      </c>
      <c r="AE199" s="406">
        <f t="shared" si="150"/>
        <v>4.7470243418614791E-2</v>
      </c>
      <c r="AF199" s="406">
        <f t="shared" si="127"/>
        <v>7.4099999999999999E-2</v>
      </c>
      <c r="AG199" s="406">
        <f t="shared" si="151"/>
        <v>0.12250066524229382</v>
      </c>
      <c r="AH199" s="406">
        <f t="shared" si="152"/>
        <v>0</v>
      </c>
      <c r="AI199">
        <f t="shared" si="128"/>
        <v>0</v>
      </c>
      <c r="AJ199" s="407">
        <f t="shared" si="129"/>
        <v>2.9923999999999999E-2</v>
      </c>
      <c r="AK199">
        <f t="shared" si="134"/>
        <v>0.03</v>
      </c>
      <c r="AL199" s="407">
        <f t="shared" si="130"/>
        <v>0.13500000000000001</v>
      </c>
      <c r="AM199" s="407">
        <f t="shared" si="135"/>
        <v>9.8855098389982105E-2</v>
      </c>
      <c r="AN199" s="407">
        <f t="shared" si="153"/>
        <v>0.16500000000000001</v>
      </c>
      <c r="AO199" s="407">
        <f t="shared" si="154"/>
        <v>0.71549604423625335</v>
      </c>
      <c r="AP199">
        <f t="shared" si="131"/>
        <v>9.69</v>
      </c>
      <c r="AQ199" s="10">
        <f t="shared" si="155"/>
        <v>0.93123864146461555</v>
      </c>
      <c r="AR199" s="63">
        <f t="shared" si="156"/>
        <v>4.6701928600325893</v>
      </c>
      <c r="AS199" s="63">
        <f t="shared" si="157"/>
        <v>4.9000266096917526</v>
      </c>
      <c r="AT199" s="10"/>
      <c r="AU199">
        <f t="shared" si="158"/>
        <v>93.123864146461557</v>
      </c>
    </row>
    <row r="200" spans="7:47" x14ac:dyDescent="0.2">
      <c r="G200">
        <v>191</v>
      </c>
      <c r="H200">
        <f t="shared" si="120"/>
        <v>1.91</v>
      </c>
      <c r="I200" s="406">
        <f t="shared" si="136"/>
        <v>0.34569179999999994</v>
      </c>
      <c r="J200" s="407">
        <f t="shared" si="121"/>
        <v>0.45631317599999993</v>
      </c>
      <c r="K200" s="407">
        <f t="shared" si="132"/>
        <v>2.1381565879999997</v>
      </c>
      <c r="L200" s="407">
        <f t="shared" si="137"/>
        <v>1.6818434119999999</v>
      </c>
      <c r="M200" s="63">
        <f t="shared" si="122"/>
        <v>0</v>
      </c>
      <c r="N200" s="406">
        <f t="shared" si="138"/>
        <v>1.9145369700137074</v>
      </c>
      <c r="O200" s="406">
        <f t="shared" si="139"/>
        <v>9.1197194847476806E-2</v>
      </c>
      <c r="P200">
        <f t="shared" si="123"/>
        <v>0.2</v>
      </c>
      <c r="Q200" s="406">
        <f t="shared" si="133"/>
        <v>0.2911971948474768</v>
      </c>
      <c r="R200" s="9">
        <f t="shared" si="140"/>
        <v>0.13172626749918653</v>
      </c>
      <c r="S200" s="9">
        <f t="shared" si="141"/>
        <v>3.4703619098534492E-5</v>
      </c>
      <c r="T200" s="9">
        <f t="shared" si="142"/>
        <v>3.4703619098534492E-5</v>
      </c>
      <c r="U200" s="406">
        <f t="shared" si="143"/>
        <v>1.1256627531620398</v>
      </c>
      <c r="V200" s="408">
        <f t="shared" si="144"/>
        <v>4.0547732283402992E-3</v>
      </c>
      <c r="W200" s="406">
        <f t="shared" si="145"/>
        <v>4.0547732283402992E-3</v>
      </c>
      <c r="X200" s="406">
        <f t="shared" si="146"/>
        <v>1.1256627531620398</v>
      </c>
      <c r="Y200" s="406">
        <f t="shared" si="147"/>
        <v>2.5342332677126867E-2</v>
      </c>
      <c r="Z200" s="406">
        <f t="shared" si="124"/>
        <v>2.869803837573319E-2</v>
      </c>
      <c r="AA200" s="406">
        <f t="shared" si="125"/>
        <v>4.9687500000000002E-2</v>
      </c>
      <c r="AB200" s="406">
        <f t="shared" si="126"/>
        <v>0</v>
      </c>
      <c r="AC200" s="406">
        <f t="shared" si="148"/>
        <v>0.10420320647125529</v>
      </c>
      <c r="AD200" s="406">
        <f t="shared" si="149"/>
        <v>1.548655925534437</v>
      </c>
      <c r="AE200" s="406">
        <f t="shared" si="150"/>
        <v>4.7966703513858476E-2</v>
      </c>
      <c r="AF200" s="406">
        <f t="shared" si="127"/>
        <v>7.4489999999999987E-2</v>
      </c>
      <c r="AG200" s="406">
        <f t="shared" si="151"/>
        <v>0.12340378717335149</v>
      </c>
      <c r="AH200" s="406">
        <f t="shared" si="152"/>
        <v>0</v>
      </c>
      <c r="AI200">
        <f t="shared" si="128"/>
        <v>0</v>
      </c>
      <c r="AJ200" s="407">
        <f t="shared" si="129"/>
        <v>2.9923600000000002E-2</v>
      </c>
      <c r="AK200">
        <f t="shared" si="134"/>
        <v>0.03</v>
      </c>
      <c r="AL200" s="407">
        <f t="shared" si="130"/>
        <v>0.13500000000000001</v>
      </c>
      <c r="AM200" s="407">
        <f t="shared" si="135"/>
        <v>9.8855098389982105E-2</v>
      </c>
      <c r="AN200" s="407">
        <f t="shared" si="153"/>
        <v>0.16500000000000001</v>
      </c>
      <c r="AO200" s="407">
        <f t="shared" si="154"/>
        <v>0.7178172653395225</v>
      </c>
      <c r="AP200">
        <f t="shared" si="131"/>
        <v>9.7409999999999997</v>
      </c>
      <c r="AQ200" s="10">
        <f t="shared" si="155"/>
        <v>0.93136726198301922</v>
      </c>
      <c r="AR200" s="63">
        <f t="shared" si="156"/>
        <v>4.689144291206488</v>
      </c>
      <c r="AS200" s="63">
        <f t="shared" si="157"/>
        <v>4.9361514869340599</v>
      </c>
      <c r="AT200" s="10"/>
      <c r="AU200">
        <f t="shared" si="158"/>
        <v>93.136726198301929</v>
      </c>
    </row>
    <row r="201" spans="7:47" x14ac:dyDescent="0.2">
      <c r="G201">
        <v>192</v>
      </c>
      <c r="H201">
        <f t="shared" ref="H201:H209" si="159">Iout*(G201/200)</f>
        <v>1.92</v>
      </c>
      <c r="I201" s="406">
        <f t="shared" si="136"/>
        <v>0.34572160000000002</v>
      </c>
      <c r="J201" s="407">
        <f t="shared" ref="J201:J209" si="160">(Vin-Vout)*I201/(Fsw*Lout2)</f>
        <v>0.45635251199999999</v>
      </c>
      <c r="K201" s="407">
        <f t="shared" si="132"/>
        <v>2.1481762559999997</v>
      </c>
      <c r="L201" s="407">
        <f t="shared" si="137"/>
        <v>1.6918237439999999</v>
      </c>
      <c r="M201" s="63">
        <f t="shared" ref="M201:M209" si="161">IF(MIN(Vin, -L201/(CossTop+CossBot)*0.00000002)&lt;0, 0, MIN(Vin, -L201/(CossTop+CossBot)*0.00000002))</f>
        <v>0</v>
      </c>
      <c r="N201" s="406">
        <f t="shared" si="138"/>
        <v>1.9245141727894322</v>
      </c>
      <c r="O201" s="406">
        <f t="shared" si="139"/>
        <v>9.2157207123252372E-2</v>
      </c>
      <c r="P201">
        <f t="shared" ref="P201:P209" si="162">Core_Loss</f>
        <v>0.2</v>
      </c>
      <c r="Q201" s="406">
        <f t="shared" si="133"/>
        <v>0.29215720712325238</v>
      </c>
      <c r="R201" s="9">
        <f t="shared" si="140"/>
        <v>0.13173762282428098</v>
      </c>
      <c r="S201" s="9">
        <f t="shared" si="141"/>
        <v>3.4709602534785035E-5</v>
      </c>
      <c r="T201" s="9">
        <f t="shared" si="142"/>
        <v>3.4709602534785035E-5</v>
      </c>
      <c r="U201" s="406">
        <f t="shared" si="143"/>
        <v>1.1315776755936133</v>
      </c>
      <c r="V201" s="408">
        <f t="shared" si="144"/>
        <v>4.0974977148859034E-3</v>
      </c>
      <c r="W201" s="406">
        <f t="shared" si="145"/>
        <v>4.0974977148859034E-3</v>
      </c>
      <c r="X201" s="406">
        <f t="shared" si="146"/>
        <v>1.1315776755936133</v>
      </c>
      <c r="Y201" s="406">
        <f t="shared" si="147"/>
        <v>2.5609360718036895E-2</v>
      </c>
      <c r="Z201" s="406">
        <f t="shared" ref="Z201:Z209" si="163">IF(L201&lt;0, (Vin*K201*Tf/2)*Fsw, (Vin*L201*Tr/2+Vin*K201*Tf/2)*Fsw)</f>
        <v>2.8846698854928902E-2</v>
      </c>
      <c r="AA201" s="406">
        <f t="shared" ref="AA201:AA209" si="164">(0.5*CossTop*(Vin-M201)^2-0.5*CossBot*(Vin-M201)^2+(QossBot*(Vin-M201)/Vin)*Vin)*Fsw</f>
        <v>4.9687500000000002E-2</v>
      </c>
      <c r="AB201" s="406">
        <f t="shared" ref="AB201:AB209" si="165">IF(L201&gt;0,0,-L201*VsdTop*Deadtime*Fsw)</f>
        <v>0</v>
      </c>
      <c r="AC201" s="406">
        <f t="shared" si="148"/>
        <v>0.1046258517851494</v>
      </c>
      <c r="AD201" s="406">
        <f t="shared" si="149"/>
        <v>1.5566909665587281</v>
      </c>
      <c r="AE201" s="406">
        <f t="shared" si="150"/>
        <v>4.8465735307310943E-2</v>
      </c>
      <c r="AF201" s="406">
        <f t="shared" ref="AF201:AF209" si="166">IF(L201&lt;0, Deadtime*Fsw*IF(VfdSky&gt;0,0,VsdBot)*K201, Deadtime*Fsw*IF(VfdSky&gt;0,0,VsdBot)*(K201+L201))</f>
        <v>7.4880000000000002E-2</v>
      </c>
      <c r="AG201" s="406">
        <f t="shared" si="151"/>
        <v>0.12430969704702505</v>
      </c>
      <c r="AH201" s="406">
        <f t="shared" si="152"/>
        <v>0</v>
      </c>
      <c r="AI201">
        <f t="shared" ref="AI201:AI209" si="167">2*Deadtime*Fsw*IF(VfdSky&gt;0,VfdSky,0)*H201</f>
        <v>0</v>
      </c>
      <c r="AJ201" s="407">
        <f t="shared" ref="AJ201:AJ209" si="168">IF(QrrSky&gt;0,QrrSky,QrrBot)*Fsw*(Vin-H201*RdsonTop)</f>
        <v>2.99232E-2</v>
      </c>
      <c r="AK201">
        <f t="shared" si="134"/>
        <v>0.03</v>
      </c>
      <c r="AL201" s="407">
        <f t="shared" ref="AL201:AL209" si="169">IF(Ext_VCC=1, Vdd*(QgTop+QgBot)*Fsw, Vin*(QgTop+QgBot)*Fsw)</f>
        <v>0.13500000000000001</v>
      </c>
      <c r="AM201" s="407">
        <f t="shared" si="135"/>
        <v>9.8855098389982105E-2</v>
      </c>
      <c r="AN201" s="407">
        <f t="shared" si="153"/>
        <v>0.16500000000000001</v>
      </c>
      <c r="AO201" s="407">
        <f t="shared" si="154"/>
        <v>0.72014816327284747</v>
      </c>
      <c r="AP201">
        <f t="shared" ref="AP201:AP209" si="170">Vout*H201</f>
        <v>9.7919999999999998</v>
      </c>
      <c r="AQ201" s="10">
        <f t="shared" si="155"/>
        <v>0.93149372020945365</v>
      </c>
      <c r="AR201" s="63">
        <f t="shared" si="156"/>
        <v>4.7081633303317227</v>
      </c>
      <c r="AS201" s="63">
        <f t="shared" si="157"/>
        <v>4.9723878818810014</v>
      </c>
      <c r="AT201" s="10"/>
      <c r="AU201">
        <f t="shared" si="158"/>
        <v>93.149372020945364</v>
      </c>
    </row>
    <row r="202" spans="7:47" x14ac:dyDescent="0.2">
      <c r="G202">
        <v>193</v>
      </c>
      <c r="H202">
        <f t="shared" si="159"/>
        <v>1.93</v>
      </c>
      <c r="I202" s="406">
        <f t="shared" si="136"/>
        <v>0.34575139999999999</v>
      </c>
      <c r="J202" s="407">
        <f t="shared" si="160"/>
        <v>0.45639184799999999</v>
      </c>
      <c r="K202" s="407">
        <f t="shared" ref="K202:K209" si="171">H202+J202/2</f>
        <v>2.1581959240000002</v>
      </c>
      <c r="L202" s="407">
        <f t="shared" si="137"/>
        <v>1.7018040759999999</v>
      </c>
      <c r="M202" s="63">
        <f t="shared" si="161"/>
        <v>0</v>
      </c>
      <c r="N202" s="406">
        <f t="shared" si="138"/>
        <v>1.9344916110553192</v>
      </c>
      <c r="O202" s="406">
        <f t="shared" si="139"/>
        <v>9.312237968448496E-2</v>
      </c>
      <c r="P202">
        <f t="shared" si="162"/>
        <v>0.2</v>
      </c>
      <c r="Q202" s="406">
        <f t="shared" ref="Q202:Q209" si="172">O202+P202</f>
        <v>0.29312237968448496</v>
      </c>
      <c r="R202" s="9">
        <f t="shared" si="140"/>
        <v>0.13174897814937539</v>
      </c>
      <c r="S202" s="9">
        <f t="shared" si="141"/>
        <v>3.4715586486809193E-5</v>
      </c>
      <c r="T202" s="9">
        <f t="shared" si="142"/>
        <v>3.4715586486809193E-5</v>
      </c>
      <c r="U202" s="406">
        <f t="shared" si="143"/>
        <v>1.1374932400567563</v>
      </c>
      <c r="V202" s="408">
        <f t="shared" si="144"/>
        <v>4.1404507877594162E-3</v>
      </c>
      <c r="W202" s="406">
        <f t="shared" si="145"/>
        <v>4.1404507877594162E-3</v>
      </c>
      <c r="X202" s="406">
        <f t="shared" si="146"/>
        <v>1.1374932400567563</v>
      </c>
      <c r="Y202" s="406">
        <f t="shared" si="147"/>
        <v>2.5877817423496353E-2</v>
      </c>
      <c r="Z202" s="406">
        <f t="shared" si="163"/>
        <v>2.8995359334124626E-2</v>
      </c>
      <c r="AA202" s="406">
        <f t="shared" si="164"/>
        <v>4.9687500000000002E-2</v>
      </c>
      <c r="AB202" s="406">
        <f t="shared" si="165"/>
        <v>0</v>
      </c>
      <c r="AC202" s="406">
        <f t="shared" si="148"/>
        <v>0.10505000040918788</v>
      </c>
      <c r="AD202" s="406">
        <f t="shared" si="149"/>
        <v>1.5647258296802629</v>
      </c>
      <c r="AE202" s="406">
        <f t="shared" si="150"/>
        <v>4.8967338441371737E-2</v>
      </c>
      <c r="AF202" s="406">
        <f t="shared" si="166"/>
        <v>7.5270000000000004E-2</v>
      </c>
      <c r="AG202" s="406">
        <f t="shared" si="151"/>
        <v>0.12521839629585252</v>
      </c>
      <c r="AH202" s="406">
        <f t="shared" si="152"/>
        <v>0</v>
      </c>
      <c r="AI202">
        <f t="shared" si="167"/>
        <v>0</v>
      </c>
      <c r="AJ202" s="407">
        <f t="shared" si="168"/>
        <v>2.9922799999999999E-2</v>
      </c>
      <c r="AK202">
        <f t="shared" ref="AK202:AK209" si="173">Iq*Vin</f>
        <v>0.03</v>
      </c>
      <c r="AL202" s="407">
        <f t="shared" si="169"/>
        <v>0.13500000000000001</v>
      </c>
      <c r="AM202" s="407">
        <f t="shared" ref="AM202:AM209" si="174">(Vin-Vdd)*Fsw*(QgTop+QgBot)+(RdsonDRT+RdsonDRT2)*Fsw*QgTop*Vdd/(RdsonDRT+2*RGateTop+RdsonDRT2)+(RdsonDRB+RdsonDRB2)*Fsw*QgBot*Vdd/(RdsonDRB+2*RGateBot+RdsonDRB2)</f>
        <v>9.8855098389982105E-2</v>
      </c>
      <c r="AN202" s="407">
        <f t="shared" si="153"/>
        <v>0.16500000000000001</v>
      </c>
      <c r="AO202" s="407">
        <f t="shared" si="154"/>
        <v>0.72248874276377162</v>
      </c>
      <c r="AP202">
        <f t="shared" si="170"/>
        <v>9.8429999999999982</v>
      </c>
      <c r="AQ202" s="10">
        <f t="shared" si="155"/>
        <v>0.93161804812308391</v>
      </c>
      <c r="AR202" s="63">
        <f t="shared" si="156"/>
        <v>4.7272500184134545</v>
      </c>
      <c r="AS202" s="63">
        <f t="shared" si="157"/>
        <v>5.0087358518341007</v>
      </c>
      <c r="AT202" s="10"/>
      <c r="AU202">
        <f t="shared" si="158"/>
        <v>93.16180481230839</v>
      </c>
    </row>
    <row r="203" spans="7:47" x14ac:dyDescent="0.2">
      <c r="G203">
        <v>194</v>
      </c>
      <c r="H203">
        <f t="shared" si="159"/>
        <v>1.94</v>
      </c>
      <c r="I203" s="406">
        <f t="shared" si="136"/>
        <v>0.34578120000000001</v>
      </c>
      <c r="J203" s="407">
        <f t="shared" si="160"/>
        <v>0.45643118400000005</v>
      </c>
      <c r="K203" s="407">
        <f t="shared" si="171"/>
        <v>2.1682155920000001</v>
      </c>
      <c r="L203" s="407">
        <f t="shared" si="137"/>
        <v>1.711784408</v>
      </c>
      <c r="M203" s="63">
        <f t="shared" si="161"/>
        <v>0</v>
      </c>
      <c r="N203" s="406">
        <f t="shared" si="138"/>
        <v>1.9444692811863353</v>
      </c>
      <c r="O203" s="406">
        <f t="shared" si="139"/>
        <v>9.4092714870777389E-2</v>
      </c>
      <c r="P203">
        <f t="shared" si="162"/>
        <v>0.2</v>
      </c>
      <c r="Q203" s="406">
        <f t="shared" si="172"/>
        <v>0.29409271487077737</v>
      </c>
      <c r="R203" s="9">
        <f t="shared" si="140"/>
        <v>0.13176033347446983</v>
      </c>
      <c r="S203" s="9">
        <f t="shared" si="141"/>
        <v>3.4721570954606993E-5</v>
      </c>
      <c r="T203" s="9">
        <f t="shared" si="142"/>
        <v>3.4721570954606993E-5</v>
      </c>
      <c r="U203" s="406">
        <f t="shared" si="143"/>
        <v>1.1434094444053209</v>
      </c>
      <c r="V203" s="408">
        <f t="shared" si="144"/>
        <v>4.1836325041769108E-3</v>
      </c>
      <c r="W203" s="406">
        <f t="shared" si="145"/>
        <v>4.1836325041769108E-3</v>
      </c>
      <c r="X203" s="406">
        <f t="shared" si="146"/>
        <v>1.1434094444053209</v>
      </c>
      <c r="Y203" s="406">
        <f t="shared" si="147"/>
        <v>2.6147703151105692E-2</v>
      </c>
      <c r="Z203" s="406">
        <f t="shared" si="163"/>
        <v>2.9144019813320335E-2</v>
      </c>
      <c r="AA203" s="406">
        <f t="shared" si="164"/>
        <v>4.9687500000000002E-2</v>
      </c>
      <c r="AB203" s="406">
        <f t="shared" si="165"/>
        <v>0</v>
      </c>
      <c r="AC203" s="406">
        <f t="shared" si="148"/>
        <v>0.10547565325721298</v>
      </c>
      <c r="AD203" s="406">
        <f t="shared" si="149"/>
        <v>1.5727605119413506</v>
      </c>
      <c r="AE203" s="406">
        <f t="shared" si="150"/>
        <v>4.9471512558440386E-2</v>
      </c>
      <c r="AF203" s="406">
        <f t="shared" si="166"/>
        <v>7.5659999999999991E-2</v>
      </c>
      <c r="AG203" s="406">
        <f t="shared" si="151"/>
        <v>0.12612988635956549</v>
      </c>
      <c r="AH203" s="406">
        <f t="shared" si="152"/>
        <v>0</v>
      </c>
      <c r="AI203">
        <f t="shared" si="167"/>
        <v>0</v>
      </c>
      <c r="AJ203" s="407">
        <f t="shared" si="168"/>
        <v>2.9922400000000002E-2</v>
      </c>
      <c r="AK203">
        <f t="shared" si="173"/>
        <v>0.03</v>
      </c>
      <c r="AL203" s="407">
        <f t="shared" si="169"/>
        <v>0.13500000000000001</v>
      </c>
      <c r="AM203" s="407">
        <f t="shared" si="174"/>
        <v>9.8855098389982105E-2</v>
      </c>
      <c r="AN203" s="407">
        <f t="shared" si="153"/>
        <v>0.16500000000000001</v>
      </c>
      <c r="AO203" s="407">
        <f t="shared" si="154"/>
        <v>0.72483900856268746</v>
      </c>
      <c r="AP203">
        <f t="shared" si="170"/>
        <v>9.8939999999999984</v>
      </c>
      <c r="AQ203" s="10">
        <f t="shared" si="155"/>
        <v>0.93174027707000728</v>
      </c>
      <c r="AR203" s="63">
        <f t="shared" si="156"/>
        <v>4.7464043965745839</v>
      </c>
      <c r="AS203" s="63">
        <f t="shared" si="157"/>
        <v>5.0451954543826192</v>
      </c>
      <c r="AT203" s="10"/>
      <c r="AU203">
        <f t="shared" si="158"/>
        <v>93.174027707000732</v>
      </c>
    </row>
    <row r="204" spans="7:47" x14ac:dyDescent="0.2">
      <c r="G204">
        <v>195</v>
      </c>
      <c r="H204">
        <f t="shared" si="159"/>
        <v>1.95</v>
      </c>
      <c r="I204" s="406">
        <f t="shared" si="136"/>
        <v>0.34581099999999998</v>
      </c>
      <c r="J204" s="407">
        <f t="shared" si="160"/>
        <v>0.45647051999999999</v>
      </c>
      <c r="K204" s="407">
        <f t="shared" si="171"/>
        <v>2.1782352600000001</v>
      </c>
      <c r="L204" s="407">
        <f t="shared" si="137"/>
        <v>1.72176474</v>
      </c>
      <c r="M204" s="63">
        <f t="shared" si="161"/>
        <v>0</v>
      </c>
      <c r="N204" s="406">
        <f t="shared" si="138"/>
        <v>1.9544471796313885</v>
      </c>
      <c r="O204" s="406">
        <f t="shared" si="139"/>
        <v>9.5068215034786463E-2</v>
      </c>
      <c r="P204">
        <f t="shared" si="162"/>
        <v>0.2</v>
      </c>
      <c r="Q204" s="406">
        <f t="shared" si="172"/>
        <v>0.29506821503478647</v>
      </c>
      <c r="R204" s="9">
        <f t="shared" si="140"/>
        <v>0.13177168879956422</v>
      </c>
      <c r="S204" s="9">
        <f t="shared" si="141"/>
        <v>3.4727555938178395E-5</v>
      </c>
      <c r="T204" s="9">
        <f t="shared" si="142"/>
        <v>3.4727555938178395E-5</v>
      </c>
      <c r="U204" s="406">
        <f t="shared" si="143"/>
        <v>1.149326286536277</v>
      </c>
      <c r="V204" s="408">
        <f t="shared" si="144"/>
        <v>4.2270429213544592E-3</v>
      </c>
      <c r="W204" s="406">
        <f t="shared" si="145"/>
        <v>4.2270429213544592E-3</v>
      </c>
      <c r="X204" s="406">
        <f t="shared" si="146"/>
        <v>1.149326286536277</v>
      </c>
      <c r="Y204" s="406">
        <f t="shared" si="147"/>
        <v>2.641901825846537E-2</v>
      </c>
      <c r="Z204" s="406">
        <f t="shared" si="163"/>
        <v>2.9292680292516044E-2</v>
      </c>
      <c r="AA204" s="406">
        <f t="shared" si="164"/>
        <v>4.9687500000000002E-2</v>
      </c>
      <c r="AB204" s="406">
        <f t="shared" si="165"/>
        <v>0</v>
      </c>
      <c r="AC204" s="406">
        <f t="shared" si="148"/>
        <v>0.1059028112456875</v>
      </c>
      <c r="AD204" s="406">
        <f t="shared" si="149"/>
        <v>1.5807950104443713</v>
      </c>
      <c r="AE204" s="406">
        <f t="shared" si="150"/>
        <v>4.9978257300916401E-2</v>
      </c>
      <c r="AF204" s="406">
        <f t="shared" si="166"/>
        <v>7.6050000000000006E-2</v>
      </c>
      <c r="AG204" s="406">
        <f t="shared" si="151"/>
        <v>0.12704416868509638</v>
      </c>
      <c r="AH204" s="406">
        <f t="shared" si="152"/>
        <v>0</v>
      </c>
      <c r="AI204">
        <f t="shared" si="167"/>
        <v>0</v>
      </c>
      <c r="AJ204" s="407">
        <f t="shared" si="168"/>
        <v>2.9922000000000001E-2</v>
      </c>
      <c r="AK204">
        <f t="shared" si="173"/>
        <v>0.03</v>
      </c>
      <c r="AL204" s="407">
        <f t="shared" si="169"/>
        <v>0.13500000000000001</v>
      </c>
      <c r="AM204" s="407">
        <f t="shared" si="174"/>
        <v>9.8855098389982105E-2</v>
      </c>
      <c r="AN204" s="407">
        <f t="shared" si="153"/>
        <v>0.16500000000000001</v>
      </c>
      <c r="AO204" s="407">
        <f t="shared" si="154"/>
        <v>0.727198965442863</v>
      </c>
      <c r="AP204">
        <f t="shared" si="170"/>
        <v>9.9449999999999985</v>
      </c>
      <c r="AQ204" s="10">
        <f t="shared" si="155"/>
        <v>0.93186043777879601</v>
      </c>
      <c r="AR204" s="63">
        <f t="shared" si="156"/>
        <v>4.7656265060559377</v>
      </c>
      <c r="AS204" s="63">
        <f t="shared" si="157"/>
        <v>5.0817667474038553</v>
      </c>
      <c r="AT204" s="10"/>
      <c r="AU204">
        <f t="shared" si="158"/>
        <v>93.186043777879604</v>
      </c>
    </row>
    <row r="205" spans="7:47" x14ac:dyDescent="0.2">
      <c r="G205">
        <v>196</v>
      </c>
      <c r="H205">
        <f t="shared" si="159"/>
        <v>1.96</v>
      </c>
      <c r="I205" s="406">
        <f t="shared" si="136"/>
        <v>0.3458408</v>
      </c>
      <c r="J205" s="407">
        <f t="shared" si="160"/>
        <v>0.45650985600000005</v>
      </c>
      <c r="K205" s="407">
        <f t="shared" si="171"/>
        <v>2.1882549280000001</v>
      </c>
      <c r="L205" s="407">
        <f t="shared" si="137"/>
        <v>1.7317450719999998</v>
      </c>
      <c r="M205" s="63">
        <f t="shared" si="161"/>
        <v>0</v>
      </c>
      <c r="N205" s="406">
        <f t="shared" si="138"/>
        <v>1.9644253029114549</v>
      </c>
      <c r="O205" s="406">
        <f t="shared" si="139"/>
        <v>9.6048882542237451E-2</v>
      </c>
      <c r="P205">
        <f t="shared" si="162"/>
        <v>0.2</v>
      </c>
      <c r="Q205" s="406">
        <f t="shared" si="172"/>
        <v>0.29604888254223749</v>
      </c>
      <c r="R205" s="9">
        <f t="shared" si="140"/>
        <v>0.13178304412465866</v>
      </c>
      <c r="S205" s="9">
        <f t="shared" si="141"/>
        <v>3.4733541437523465E-5</v>
      </c>
      <c r="T205" s="9">
        <f t="shared" si="142"/>
        <v>3.4733541437523465E-5</v>
      </c>
      <c r="U205" s="406">
        <f t="shared" si="143"/>
        <v>1.1552437643886215</v>
      </c>
      <c r="V205" s="408">
        <f t="shared" si="144"/>
        <v>4.270682096508137E-3</v>
      </c>
      <c r="W205" s="406">
        <f t="shared" si="145"/>
        <v>4.270682096508137E-3</v>
      </c>
      <c r="X205" s="406">
        <f t="shared" si="146"/>
        <v>1.1552437643886215</v>
      </c>
      <c r="Y205" s="406">
        <f t="shared" si="147"/>
        <v>2.6691763103175857E-2</v>
      </c>
      <c r="Z205" s="406">
        <f t="shared" si="163"/>
        <v>2.944134077171176E-2</v>
      </c>
      <c r="AA205" s="406">
        <f t="shared" si="164"/>
        <v>4.9687500000000002E-2</v>
      </c>
      <c r="AB205" s="406">
        <f t="shared" si="165"/>
        <v>0</v>
      </c>
      <c r="AC205" s="406">
        <f t="shared" si="148"/>
        <v>0.10633147529369873</v>
      </c>
      <c r="AD205" s="406">
        <f t="shared" si="149"/>
        <v>1.5888293223502543</v>
      </c>
      <c r="AE205" s="406">
        <f t="shared" si="150"/>
        <v>5.0487572311199366E-2</v>
      </c>
      <c r="AF205" s="406">
        <f t="shared" si="166"/>
        <v>7.6439999999999994E-2</v>
      </c>
      <c r="AG205" s="406">
        <f t="shared" si="151"/>
        <v>0.12796124472658571</v>
      </c>
      <c r="AH205" s="406">
        <f t="shared" si="152"/>
        <v>0</v>
      </c>
      <c r="AI205">
        <f t="shared" si="167"/>
        <v>0</v>
      </c>
      <c r="AJ205" s="407">
        <f t="shared" si="168"/>
        <v>2.9921600000000003E-2</v>
      </c>
      <c r="AK205">
        <f t="shared" si="173"/>
        <v>0.03</v>
      </c>
      <c r="AL205" s="407">
        <f t="shared" si="169"/>
        <v>0.13500000000000001</v>
      </c>
      <c r="AM205" s="407">
        <f t="shared" si="174"/>
        <v>9.8855098389982105E-2</v>
      </c>
      <c r="AN205" s="407">
        <f t="shared" si="153"/>
        <v>0.16500000000000001</v>
      </c>
      <c r="AO205" s="407">
        <f t="shared" si="154"/>
        <v>0.7295686182004677</v>
      </c>
      <c r="AP205">
        <f t="shared" si="170"/>
        <v>9.9959999999999987</v>
      </c>
      <c r="AQ205" s="10">
        <f t="shared" si="155"/>
        <v>0.9319785603755828</v>
      </c>
      <c r="AR205" s="63">
        <f t="shared" si="156"/>
        <v>4.7849163882164429</v>
      </c>
      <c r="AS205" s="63">
        <f t="shared" si="157"/>
        <v>5.118449789063428</v>
      </c>
      <c r="AT205" s="10"/>
      <c r="AU205">
        <f t="shared" si="158"/>
        <v>93.197856037558282</v>
      </c>
    </row>
    <row r="206" spans="7:47" x14ac:dyDescent="0.2">
      <c r="G206">
        <v>197</v>
      </c>
      <c r="H206">
        <f t="shared" si="159"/>
        <v>1.97</v>
      </c>
      <c r="I206" s="406">
        <f t="shared" si="136"/>
        <v>0.34587059999999992</v>
      </c>
      <c r="J206" s="407">
        <f t="shared" si="160"/>
        <v>0.45654919199999988</v>
      </c>
      <c r="K206" s="407">
        <f t="shared" si="171"/>
        <v>2.1982745960000001</v>
      </c>
      <c r="L206" s="407">
        <f t="shared" si="137"/>
        <v>1.7417254040000001</v>
      </c>
      <c r="M206" s="63">
        <f t="shared" si="161"/>
        <v>0</v>
      </c>
      <c r="N206" s="406">
        <f t="shared" si="138"/>
        <v>1.9744036476177613</v>
      </c>
      <c r="O206" s="406">
        <f t="shared" si="139"/>
        <v>9.7034719771938491E-2</v>
      </c>
      <c r="P206">
        <f t="shared" si="162"/>
        <v>0.2</v>
      </c>
      <c r="Q206" s="406">
        <f t="shared" si="172"/>
        <v>0.29703471977193852</v>
      </c>
      <c r="R206" s="9">
        <f t="shared" si="140"/>
        <v>0.13179439944975305</v>
      </c>
      <c r="S206" s="9">
        <f t="shared" si="141"/>
        <v>3.4739527452642131E-5</v>
      </c>
      <c r="T206" s="9">
        <f t="shared" si="142"/>
        <v>3.4739527452642131E-5</v>
      </c>
      <c r="U206" s="406">
        <f t="shared" si="143"/>
        <v>1.161161875942317</v>
      </c>
      <c r="V206" s="408">
        <f t="shared" si="144"/>
        <v>4.3145500868540182E-3</v>
      </c>
      <c r="W206" s="406">
        <f t="shared" si="145"/>
        <v>4.3145500868540182E-3</v>
      </c>
      <c r="X206" s="406">
        <f t="shared" si="146"/>
        <v>1.161161875942317</v>
      </c>
      <c r="Y206" s="406">
        <f t="shared" si="147"/>
        <v>2.6965938042837614E-2</v>
      </c>
      <c r="Z206" s="406">
        <f t="shared" si="163"/>
        <v>2.9590001250907477E-2</v>
      </c>
      <c r="AA206" s="406">
        <f t="shared" si="164"/>
        <v>4.9687500000000002E-2</v>
      </c>
      <c r="AB206" s="406">
        <f t="shared" si="165"/>
        <v>0</v>
      </c>
      <c r="AC206" s="406">
        <f t="shared" si="148"/>
        <v>0.10676164632296244</v>
      </c>
      <c r="AD206" s="406">
        <f t="shared" si="149"/>
        <v>1.5968634448770003</v>
      </c>
      <c r="AE206" s="406">
        <f t="shared" si="150"/>
        <v>5.0999457231688812E-2</v>
      </c>
      <c r="AF206" s="406">
        <f t="shared" si="166"/>
        <v>7.6830000000000009E-2</v>
      </c>
      <c r="AG206" s="406">
        <f t="shared" si="151"/>
        <v>0.12888111594538948</v>
      </c>
      <c r="AH206" s="406">
        <f t="shared" si="152"/>
        <v>0</v>
      </c>
      <c r="AI206">
        <f t="shared" si="167"/>
        <v>0</v>
      </c>
      <c r="AJ206" s="407">
        <f t="shared" si="168"/>
        <v>2.9921199999999998E-2</v>
      </c>
      <c r="AK206">
        <f t="shared" si="173"/>
        <v>0.03</v>
      </c>
      <c r="AL206" s="407">
        <f t="shared" si="169"/>
        <v>0.13500000000000001</v>
      </c>
      <c r="AM206" s="407">
        <f t="shared" si="174"/>
        <v>9.8855098389982105E-2</v>
      </c>
      <c r="AN206" s="407">
        <f t="shared" si="153"/>
        <v>0.16500000000000001</v>
      </c>
      <c r="AO206" s="407">
        <f t="shared" si="154"/>
        <v>0.73194797165459713</v>
      </c>
      <c r="AP206">
        <f t="shared" si="170"/>
        <v>10.046999999999999</v>
      </c>
      <c r="AQ206" s="10">
        <f t="shared" si="155"/>
        <v>0.93209467439870752</v>
      </c>
      <c r="AR206" s="63">
        <f t="shared" si="156"/>
        <v>4.8042740845333096</v>
      </c>
      <c r="AS206" s="63">
        <f t="shared" si="157"/>
        <v>5.1552446378155796</v>
      </c>
      <c r="AT206" s="10"/>
      <c r="AU206">
        <f t="shared" si="158"/>
        <v>93.20946743987075</v>
      </c>
    </row>
    <row r="207" spans="7:47" x14ac:dyDescent="0.2">
      <c r="G207">
        <v>198</v>
      </c>
      <c r="H207">
        <f t="shared" si="159"/>
        <v>1.98</v>
      </c>
      <c r="I207" s="406">
        <f t="shared" si="136"/>
        <v>0.34590039999999994</v>
      </c>
      <c r="J207" s="407">
        <f t="shared" si="160"/>
        <v>0.45658852799999994</v>
      </c>
      <c r="K207" s="407">
        <f t="shared" si="171"/>
        <v>2.2082942640000001</v>
      </c>
      <c r="L207" s="407">
        <f t="shared" si="137"/>
        <v>1.7517057359999999</v>
      </c>
      <c r="M207" s="63">
        <f t="shared" si="161"/>
        <v>0</v>
      </c>
      <c r="N207" s="406">
        <f t="shared" si="138"/>
        <v>1.9843822104100226</v>
      </c>
      <c r="O207" s="406">
        <f t="shared" si="139"/>
        <v>9.8025729115795199E-2</v>
      </c>
      <c r="P207">
        <f t="shared" si="162"/>
        <v>0.2</v>
      </c>
      <c r="Q207" s="406">
        <f t="shared" si="172"/>
        <v>0.29802572911579522</v>
      </c>
      <c r="R207" s="9">
        <f t="shared" si="140"/>
        <v>0.13180575477484749</v>
      </c>
      <c r="S207" s="9">
        <f t="shared" si="141"/>
        <v>3.4745513983534458E-5</v>
      </c>
      <c r="T207" s="9">
        <f t="shared" si="142"/>
        <v>3.4745513983534458E-5</v>
      </c>
      <c r="U207" s="406">
        <f t="shared" si="143"/>
        <v>1.1670806192172651</v>
      </c>
      <c r="V207" s="408">
        <f t="shared" si="144"/>
        <v>4.3586469496081767E-3</v>
      </c>
      <c r="W207" s="406">
        <f t="shared" si="145"/>
        <v>4.3586469496081767E-3</v>
      </c>
      <c r="X207" s="406">
        <f t="shared" si="146"/>
        <v>1.1670806192172651</v>
      </c>
      <c r="Y207" s="406">
        <f t="shared" si="147"/>
        <v>2.7241543435051103E-2</v>
      </c>
      <c r="Z207" s="406">
        <f t="shared" si="163"/>
        <v>2.9738661730103186E-2</v>
      </c>
      <c r="AA207" s="406">
        <f t="shared" si="164"/>
        <v>4.9687500000000002E-2</v>
      </c>
      <c r="AB207" s="406">
        <f t="shared" si="165"/>
        <v>0</v>
      </c>
      <c r="AC207" s="406">
        <f t="shared" si="148"/>
        <v>0.10719332525782686</v>
      </c>
      <c r="AD207" s="406">
        <f t="shared" si="149"/>
        <v>1.6048973752982503</v>
      </c>
      <c r="AE207" s="406">
        <f t="shared" si="150"/>
        <v>5.1513911704784254E-2</v>
      </c>
      <c r="AF207" s="406">
        <f t="shared" si="166"/>
        <v>7.7219999999999997E-2</v>
      </c>
      <c r="AG207" s="406">
        <f t="shared" si="151"/>
        <v>0.12980378381008661</v>
      </c>
      <c r="AH207" s="406">
        <f t="shared" si="152"/>
        <v>0</v>
      </c>
      <c r="AI207">
        <f t="shared" si="167"/>
        <v>0</v>
      </c>
      <c r="AJ207" s="407">
        <f t="shared" si="168"/>
        <v>2.9920800000000001E-2</v>
      </c>
      <c r="AK207">
        <f t="shared" si="173"/>
        <v>0.03</v>
      </c>
      <c r="AL207" s="407">
        <f t="shared" si="169"/>
        <v>0.13500000000000001</v>
      </c>
      <c r="AM207" s="407">
        <f t="shared" si="174"/>
        <v>9.8855098389982105E-2</v>
      </c>
      <c r="AN207" s="407">
        <f t="shared" si="153"/>
        <v>0.16500000000000001</v>
      </c>
      <c r="AO207" s="407">
        <f t="shared" si="154"/>
        <v>0.73433703064730049</v>
      </c>
      <c r="AP207">
        <f t="shared" si="170"/>
        <v>10.097999999999999</v>
      </c>
      <c r="AQ207" s="10">
        <f t="shared" si="155"/>
        <v>0.93220880881293822</v>
      </c>
      <c r="AR207" s="63">
        <f t="shared" si="156"/>
        <v>4.8236996366022087</v>
      </c>
      <c r="AS207" s="63">
        <f t="shared" si="157"/>
        <v>5.1921513524034646</v>
      </c>
      <c r="AT207" s="10"/>
      <c r="AU207">
        <f t="shared" si="158"/>
        <v>93.220880881293823</v>
      </c>
    </row>
    <row r="208" spans="7:47" x14ac:dyDescent="0.2">
      <c r="G208">
        <v>199</v>
      </c>
      <c r="H208">
        <f t="shared" si="159"/>
        <v>1.99</v>
      </c>
      <c r="I208" s="406">
        <f t="shared" si="136"/>
        <v>0.34593019999999997</v>
      </c>
      <c r="J208" s="407">
        <f t="shared" si="160"/>
        <v>0.45662786399999994</v>
      </c>
      <c r="K208" s="407">
        <f t="shared" si="171"/>
        <v>2.218313932</v>
      </c>
      <c r="L208" s="407">
        <f t="shared" si="137"/>
        <v>1.7616860679999999</v>
      </c>
      <c r="M208" s="63">
        <f t="shared" si="161"/>
        <v>0</v>
      </c>
      <c r="N208" s="406">
        <f t="shared" si="138"/>
        <v>1.9943609880147326</v>
      </c>
      <c r="O208" s="406">
        <f t="shared" si="139"/>
        <v>9.9021912978825344E-2</v>
      </c>
      <c r="P208">
        <f t="shared" si="162"/>
        <v>0.2</v>
      </c>
      <c r="Q208" s="406">
        <f t="shared" si="172"/>
        <v>0.29902191297882535</v>
      </c>
      <c r="R208" s="9">
        <f t="shared" si="140"/>
        <v>0.1318171100999419</v>
      </c>
      <c r="S208" s="9">
        <f t="shared" si="141"/>
        <v>3.4751501030200408E-5</v>
      </c>
      <c r="T208" s="9">
        <f t="shared" si="142"/>
        <v>3.4751501030200408E-5</v>
      </c>
      <c r="U208" s="406">
        <f t="shared" si="143"/>
        <v>1.1729999922723096</v>
      </c>
      <c r="V208" s="408">
        <f t="shared" si="144"/>
        <v>4.4029727419866828E-3</v>
      </c>
      <c r="W208" s="406">
        <f t="shared" si="145"/>
        <v>4.4029727419866828E-3</v>
      </c>
      <c r="X208" s="406">
        <f t="shared" si="146"/>
        <v>1.1729999922723096</v>
      </c>
      <c r="Y208" s="406">
        <f t="shared" si="147"/>
        <v>2.7518579637416767E-2</v>
      </c>
      <c r="Z208" s="406">
        <f t="shared" si="163"/>
        <v>2.9887322209298902E-2</v>
      </c>
      <c r="AA208" s="406">
        <f t="shared" si="164"/>
        <v>4.9687500000000002E-2</v>
      </c>
      <c r="AB208" s="406">
        <f t="shared" si="165"/>
        <v>0</v>
      </c>
      <c r="AC208" s="406">
        <f t="shared" si="148"/>
        <v>0.10762651302527672</v>
      </c>
      <c r="AD208" s="406">
        <f t="shared" si="149"/>
        <v>1.6129311109418969</v>
      </c>
      <c r="AE208" s="406">
        <f t="shared" si="150"/>
        <v>5.2030935372885237E-2</v>
      </c>
      <c r="AF208" s="406">
        <f t="shared" si="166"/>
        <v>7.7609999999999998E-2</v>
      </c>
      <c r="AG208" s="406">
        <f t="shared" si="151"/>
        <v>0.13072924979648631</v>
      </c>
      <c r="AH208" s="406">
        <f t="shared" si="152"/>
        <v>0</v>
      </c>
      <c r="AI208">
        <f t="shared" si="167"/>
        <v>0</v>
      </c>
      <c r="AJ208" s="407">
        <f t="shared" si="168"/>
        <v>2.99204E-2</v>
      </c>
      <c r="AK208">
        <f t="shared" si="173"/>
        <v>0.03</v>
      </c>
      <c r="AL208" s="407">
        <f t="shared" si="169"/>
        <v>0.13500000000000001</v>
      </c>
      <c r="AM208" s="407">
        <f t="shared" si="174"/>
        <v>9.8855098389982105E-2</v>
      </c>
      <c r="AN208" s="407">
        <f t="shared" si="153"/>
        <v>0.16500000000000001</v>
      </c>
      <c r="AO208" s="407">
        <f t="shared" si="154"/>
        <v>0.73673580004360528</v>
      </c>
      <c r="AP208">
        <f t="shared" si="170"/>
        <v>10.148999999999999</v>
      </c>
      <c r="AQ208" s="10">
        <f t="shared" si="155"/>
        <v>0.93232099202328111</v>
      </c>
      <c r="AR208" s="63">
        <f t="shared" si="156"/>
        <v>4.8431930861374521</v>
      </c>
      <c r="AS208" s="63">
        <f t="shared" si="157"/>
        <v>5.2291699918594521</v>
      </c>
      <c r="AT208" s="10"/>
      <c r="AU208">
        <f t="shared" si="158"/>
        <v>93.232099202328115</v>
      </c>
    </row>
    <row r="209" spans="7:47" x14ac:dyDescent="0.2">
      <c r="G209">
        <v>200</v>
      </c>
      <c r="H209">
        <f t="shared" si="159"/>
        <v>2</v>
      </c>
      <c r="I209" s="406">
        <f t="shared" si="136"/>
        <v>0.34595999999999999</v>
      </c>
      <c r="J209" s="407">
        <f t="shared" si="160"/>
        <v>0.4566672</v>
      </c>
      <c r="K209" s="407">
        <f t="shared" si="171"/>
        <v>2.2283336</v>
      </c>
      <c r="L209" s="407">
        <f t="shared" si="137"/>
        <v>1.7716664</v>
      </c>
      <c r="M209" s="63">
        <f t="shared" si="161"/>
        <v>0</v>
      </c>
      <c r="N209" s="406">
        <f t="shared" si="138"/>
        <v>2.0043399772235047</v>
      </c>
      <c r="O209" s="406">
        <f t="shared" si="139"/>
        <v>0.10002327377917349</v>
      </c>
      <c r="P209">
        <f t="shared" si="162"/>
        <v>0.2</v>
      </c>
      <c r="Q209" s="406">
        <f t="shared" si="172"/>
        <v>0.30002327377917348</v>
      </c>
      <c r="R209" s="9">
        <f t="shared" si="140"/>
        <v>0.13182846542503635</v>
      </c>
      <c r="S209" s="9">
        <f t="shared" si="141"/>
        <v>3.4757488592640013E-5</v>
      </c>
      <c r="T209" s="9">
        <f t="shared" si="142"/>
        <v>3.4757488592640013E-5</v>
      </c>
      <c r="U209" s="406">
        <f t="shared" si="143"/>
        <v>1.1789199932042693</v>
      </c>
      <c r="V209" s="408">
        <f t="shared" si="144"/>
        <v>4.447527521205614E-3</v>
      </c>
      <c r="W209" s="406">
        <f t="shared" si="145"/>
        <v>4.447527521205614E-3</v>
      </c>
      <c r="X209" s="406">
        <f t="shared" si="146"/>
        <v>1.1789199932042693</v>
      </c>
      <c r="Y209" s="406">
        <f t="shared" si="147"/>
        <v>2.7797047007535089E-2</v>
      </c>
      <c r="Z209" s="406">
        <f t="shared" si="163"/>
        <v>3.0035982688494618E-2</v>
      </c>
      <c r="AA209" s="406">
        <f t="shared" si="164"/>
        <v>4.9687500000000002E-2</v>
      </c>
      <c r="AB209" s="406">
        <f t="shared" si="165"/>
        <v>0</v>
      </c>
      <c r="AC209" s="406">
        <f t="shared" si="148"/>
        <v>0.10806121055493732</v>
      </c>
      <c r="AD209" s="406">
        <f t="shared" si="149"/>
        <v>1.6209646491887368</v>
      </c>
      <c r="AE209" s="406">
        <f t="shared" si="150"/>
        <v>5.255052787839129E-2</v>
      </c>
      <c r="AF209" s="406">
        <f t="shared" si="166"/>
        <v>7.8E-2</v>
      </c>
      <c r="AG209" s="406">
        <f t="shared" si="151"/>
        <v>0.1316575153876357</v>
      </c>
      <c r="AH209" s="406">
        <f t="shared" si="152"/>
        <v>0</v>
      </c>
      <c r="AI209">
        <f t="shared" si="167"/>
        <v>0</v>
      </c>
      <c r="AJ209" s="407">
        <f t="shared" si="168"/>
        <v>2.9920000000000002E-2</v>
      </c>
      <c r="AK209">
        <f t="shared" si="173"/>
        <v>0.03</v>
      </c>
      <c r="AL209" s="407">
        <f t="shared" si="169"/>
        <v>0.13500000000000001</v>
      </c>
      <c r="AM209" s="407">
        <f t="shared" si="174"/>
        <v>9.8855098389982105E-2</v>
      </c>
      <c r="AN209" s="407">
        <f t="shared" si="153"/>
        <v>0.16500000000000001</v>
      </c>
      <c r="AO209" s="407">
        <f t="shared" si="154"/>
        <v>0.73914428473154481</v>
      </c>
      <c r="AP209">
        <f t="shared" si="170"/>
        <v>10.199999999999999</v>
      </c>
      <c r="AQ209" s="10">
        <f t="shared" si="155"/>
        <v>0.9324312518883936</v>
      </c>
      <c r="AR209" s="63">
        <f t="shared" si="156"/>
        <v>4.8627544749721796</v>
      </c>
      <c r="AS209" s="63">
        <f t="shared" si="157"/>
        <v>5.2663006155054282</v>
      </c>
      <c r="AT209" s="10"/>
      <c r="AU209">
        <f t="shared" si="158"/>
        <v>93.243125188839358</v>
      </c>
    </row>
  </sheetData>
  <sheetProtection selectLockedCells="1"/>
  <mergeCells count="2">
    <mergeCell ref="A1:D4"/>
    <mergeCell ref="A6:D7"/>
  </mergeCells>
  <phoneticPr fontId="5" type="noConversion"/>
  <pageMargins left="0.75" right="0.75" top="1" bottom="1" header="0.5" footer="0.5"/>
  <pageSetup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E7"/>
  <sheetViews>
    <sheetView workbookViewId="0">
      <selection activeCell="M42" sqref="M42"/>
    </sheetView>
  </sheetViews>
  <sheetFormatPr defaultRowHeight="12.75" x14ac:dyDescent="0.2"/>
  <cols>
    <col min="1" max="1" width="18.5703125" customWidth="1"/>
    <col min="2" max="2" width="9.28515625" customWidth="1"/>
    <col min="4" max="4" width="11.140625" customWidth="1"/>
  </cols>
  <sheetData>
    <row r="1" spans="1:5" x14ac:dyDescent="0.2">
      <c r="C1" t="s">
        <v>349</v>
      </c>
      <c r="D1" t="s">
        <v>348</v>
      </c>
    </row>
    <row r="2" spans="1:5" x14ac:dyDescent="0.2">
      <c r="A2" t="s">
        <v>346</v>
      </c>
      <c r="B2" s="62">
        <v>85</v>
      </c>
      <c r="C2" t="s">
        <v>347</v>
      </c>
      <c r="D2">
        <f>B2*1000000</f>
        <v>85000000</v>
      </c>
      <c r="E2" t="s">
        <v>10</v>
      </c>
    </row>
    <row r="3" spans="1:5" x14ac:dyDescent="0.2">
      <c r="A3" t="s">
        <v>350</v>
      </c>
      <c r="B3" s="62">
        <v>3000</v>
      </c>
      <c r="C3" t="s">
        <v>53</v>
      </c>
      <c r="D3">
        <f>B3*0.000000000001</f>
        <v>3E-9</v>
      </c>
      <c r="E3" t="s">
        <v>34</v>
      </c>
    </row>
    <row r="4" spans="1:5" x14ac:dyDescent="0.2">
      <c r="A4" t="s">
        <v>352</v>
      </c>
      <c r="B4" s="63">
        <f>1000000000*1/((D2*2*3.14159)^2*D3)</f>
        <v>1.1686430773614742</v>
      </c>
      <c r="C4" t="s">
        <v>353</v>
      </c>
      <c r="D4">
        <f>B4/1000000000</f>
        <v>1.1686430773614743E-9</v>
      </c>
      <c r="E4" t="s">
        <v>24</v>
      </c>
    </row>
    <row r="5" spans="1:5" x14ac:dyDescent="0.2">
      <c r="A5" t="s">
        <v>351</v>
      </c>
      <c r="B5">
        <f>4*B3</f>
        <v>12000</v>
      </c>
      <c r="C5" t="s">
        <v>53</v>
      </c>
      <c r="D5">
        <f>B5*0.000000000001</f>
        <v>1.2E-8</v>
      </c>
      <c r="E5" t="s">
        <v>34</v>
      </c>
    </row>
    <row r="6" spans="1:5" x14ac:dyDescent="0.2">
      <c r="A6" t="s">
        <v>354</v>
      </c>
      <c r="B6" s="4">
        <f>SQRT(D4/D3)</f>
        <v>0.62413755891936573</v>
      </c>
      <c r="C6" s="4" t="s">
        <v>274</v>
      </c>
      <c r="D6" s="4">
        <f>B6</f>
        <v>0.62413755891936573</v>
      </c>
      <c r="E6" t="s">
        <v>274</v>
      </c>
    </row>
    <row r="7" spans="1:5" x14ac:dyDescent="0.2">
      <c r="B7" s="4"/>
      <c r="C7" s="4"/>
      <c r="D7" s="4"/>
    </row>
  </sheetData>
  <phoneticPr fontId="5" type="noConversion"/>
  <pageMargins left="0.75" right="0.75" top="1" bottom="1" header="0.5" footer="0.5"/>
  <pageSetup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3:E16"/>
  <sheetViews>
    <sheetView workbookViewId="0">
      <selection activeCell="E30" sqref="E30"/>
    </sheetView>
  </sheetViews>
  <sheetFormatPr defaultRowHeight="12.75" x14ac:dyDescent="0.2"/>
  <sheetData>
    <row r="3" spans="1:5" x14ac:dyDescent="0.2">
      <c r="A3" t="s">
        <v>298</v>
      </c>
      <c r="B3">
        <f>Iripple1</f>
        <v>0.4566672</v>
      </c>
    </row>
    <row r="4" spans="1:5" x14ac:dyDescent="0.2">
      <c r="A4" t="s">
        <v>7</v>
      </c>
      <c r="B4">
        <f>Fsw</f>
        <v>500000</v>
      </c>
    </row>
    <row r="6" spans="1:5" x14ac:dyDescent="0.2">
      <c r="A6" t="s">
        <v>279</v>
      </c>
      <c r="B6" s="52">
        <v>0.5</v>
      </c>
      <c r="C6" t="s">
        <v>134</v>
      </c>
      <c r="D6">
        <f>B6/1000</f>
        <v>5.0000000000000001E-4</v>
      </c>
      <c r="E6" t="s">
        <v>25</v>
      </c>
    </row>
    <row r="7" spans="1:5" x14ac:dyDescent="0.2">
      <c r="A7" t="s">
        <v>296</v>
      </c>
      <c r="B7" s="52">
        <v>20</v>
      </c>
      <c r="C7" t="s">
        <v>30</v>
      </c>
      <c r="D7">
        <f>B7/1000000</f>
        <v>2.0000000000000002E-5</v>
      </c>
      <c r="E7" t="s">
        <v>34</v>
      </c>
    </row>
    <row r="9" spans="1:5" x14ac:dyDescent="0.2">
      <c r="A9" t="s">
        <v>280</v>
      </c>
      <c r="B9" s="52">
        <v>20</v>
      </c>
      <c r="C9" t="s">
        <v>134</v>
      </c>
      <c r="D9">
        <f>B9/1000</f>
        <v>0.02</v>
      </c>
      <c r="E9" t="s">
        <v>25</v>
      </c>
    </row>
    <row r="10" spans="1:5" x14ac:dyDescent="0.2">
      <c r="A10" t="s">
        <v>297</v>
      </c>
      <c r="B10" s="52">
        <v>68</v>
      </c>
      <c r="C10" t="s">
        <v>30</v>
      </c>
      <c r="D10">
        <f>B10/1000000</f>
        <v>6.7999999999999999E-5</v>
      </c>
      <c r="E10" t="s">
        <v>34</v>
      </c>
    </row>
    <row r="12" spans="1:5" x14ac:dyDescent="0.2">
      <c r="A12" t="s">
        <v>300</v>
      </c>
      <c r="B12">
        <f>(D7/(D7+D10))*SQRT((D9*D10*B4)^2+1)/SQRT((((D6+D9)*D7*D10/(D10+D7))*B4)^2+1)</f>
        <v>0.27145552510052856</v>
      </c>
      <c r="C12" t="s">
        <v>299</v>
      </c>
    </row>
    <row r="13" spans="1:5" x14ac:dyDescent="0.2">
      <c r="A13" t="s">
        <v>301</v>
      </c>
      <c r="B13">
        <f>1-B12</f>
        <v>0.72854447489947138</v>
      </c>
      <c r="C13" t="s">
        <v>299</v>
      </c>
    </row>
    <row r="15" spans="1:5" x14ac:dyDescent="0.2">
      <c r="A15" t="s">
        <v>300</v>
      </c>
      <c r="B15">
        <f>B12*(Iripple1/(2*SQRT(3)))</f>
        <v>3.5785565305150112E-2</v>
      </c>
      <c r="C15" t="s">
        <v>2</v>
      </c>
    </row>
    <row r="16" spans="1:5" x14ac:dyDescent="0.2">
      <c r="A16" t="s">
        <v>301</v>
      </c>
      <c r="B16">
        <f>B13*(Iripple1/(2*SQRT(3)))</f>
        <v>9.6042900119886226E-2</v>
      </c>
      <c r="C16" t="s">
        <v>2</v>
      </c>
    </row>
  </sheetData>
  <phoneticPr fontId="5"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150</vt:i4>
      </vt:variant>
    </vt:vector>
  </HeadingPairs>
  <TitlesOfParts>
    <vt:vector size="160" baseType="lpstr">
      <vt:lpstr>Design Regulator</vt:lpstr>
      <vt:lpstr>Schematic &amp; BOM</vt:lpstr>
      <vt:lpstr>EVMs</vt:lpstr>
      <vt:lpstr>Variable Management</vt:lpstr>
      <vt:lpstr>Standard Value Calculator</vt:lpstr>
      <vt:lpstr>Bode Plots Calculations</vt:lpstr>
      <vt:lpstr>Schematic Management</vt:lpstr>
      <vt:lpstr>Power Calculations</vt:lpstr>
      <vt:lpstr>Snubber</vt:lpstr>
      <vt:lpstr>Parallel Output Caps</vt:lpstr>
      <vt:lpstr>_Don1</vt:lpstr>
      <vt:lpstr>_Don2</vt:lpstr>
      <vt:lpstr>_Ren1</vt:lpstr>
      <vt:lpstr>_Rfb1</vt:lpstr>
      <vt:lpstr>_Rfb2</vt:lpstr>
      <vt:lpstr>_Rs1</vt:lpstr>
      <vt:lpstr>_Rs2</vt:lpstr>
      <vt:lpstr>_Rs3</vt:lpstr>
      <vt:lpstr>Cb</vt:lpstr>
      <vt:lpstr>Cby</vt:lpstr>
      <vt:lpstr>Cc1ea</vt:lpstr>
      <vt:lpstr>Cc1ea_u</vt:lpstr>
      <vt:lpstr>Cc2ea</vt:lpstr>
      <vt:lpstr>Cc2ea_u</vt:lpstr>
      <vt:lpstr>Cc3ea</vt:lpstr>
      <vt:lpstr>Cc3ea_u</vt:lpstr>
      <vt:lpstr>Cdd</vt:lpstr>
      <vt:lpstr>Cilim</vt:lpstr>
      <vt:lpstr>Cilim_ideal</vt:lpstr>
      <vt:lpstr>Cin</vt:lpstr>
      <vt:lpstr>Cin_Voltage_Rating</vt:lpstr>
      <vt:lpstr>CinEsrMax</vt:lpstr>
      <vt:lpstr>Core_Loss</vt:lpstr>
      <vt:lpstr>CossBot</vt:lpstr>
      <vt:lpstr>CossTop</vt:lpstr>
      <vt:lpstr>Cout</vt:lpstr>
      <vt:lpstr>Cout_Voltage_Rating</vt:lpstr>
      <vt:lpstr>CoutEsr</vt:lpstr>
      <vt:lpstr>Coutmin</vt:lpstr>
      <vt:lpstr>Csb</vt:lpstr>
      <vt:lpstr>Csby</vt:lpstr>
      <vt:lpstr>Css</vt:lpstr>
      <vt:lpstr>Css_u</vt:lpstr>
      <vt:lpstr>DC_Current_Limit_Setpoint</vt:lpstr>
      <vt:lpstr>Deadtime</vt:lpstr>
      <vt:lpstr>Doff1</vt:lpstr>
      <vt:lpstr>Doff2</vt:lpstr>
      <vt:lpstr>Don_Vinmax</vt:lpstr>
      <vt:lpstr>Eadcg</vt:lpstr>
      <vt:lpstr>Ext_VCC</vt:lpstr>
      <vt:lpstr>Fcross</vt:lpstr>
      <vt:lpstr>Fesr</vt:lpstr>
      <vt:lpstr>Fo</vt:lpstr>
      <vt:lpstr>Fp1_u</vt:lpstr>
      <vt:lpstr>Fp2_u</vt:lpstr>
      <vt:lpstr>Fsw</vt:lpstr>
      <vt:lpstr>Fz1_u</vt:lpstr>
      <vt:lpstr>Fz2_u</vt:lpstr>
      <vt:lpstr>GBP</vt:lpstr>
      <vt:lpstr>GmTop</vt:lpstr>
      <vt:lpstr>Icinrms</vt:lpstr>
      <vt:lpstr>Icoutrms</vt:lpstr>
      <vt:lpstr>Ilim1</vt:lpstr>
      <vt:lpstr>Ilim2</vt:lpstr>
      <vt:lpstr>ILimit</vt:lpstr>
      <vt:lpstr>Ilsat</vt:lpstr>
      <vt:lpstr>Iout</vt:lpstr>
      <vt:lpstr>Ipp</vt:lpstr>
      <vt:lpstr>Iq</vt:lpstr>
      <vt:lpstr>Ireverse</vt:lpstr>
      <vt:lpstr>Iripple1</vt:lpstr>
      <vt:lpstr>Iss</vt:lpstr>
      <vt:lpstr>Iuvlo_hys</vt:lpstr>
      <vt:lpstr>Iuvlo1</vt:lpstr>
      <vt:lpstr>Iuvlo2</vt:lpstr>
      <vt:lpstr>Kmidband</vt:lpstr>
      <vt:lpstr>Lout1</vt:lpstr>
      <vt:lpstr>Lout2</vt:lpstr>
      <vt:lpstr>Ltc</vt:lpstr>
      <vt:lpstr>Pi</vt:lpstr>
      <vt:lpstr>'Design Regulator'!Print_Area</vt:lpstr>
      <vt:lpstr>'Schematic &amp; BOM'!Print_Area</vt:lpstr>
      <vt:lpstr>Q</vt:lpstr>
      <vt:lpstr>QgBot</vt:lpstr>
      <vt:lpstr>QgdTop</vt:lpstr>
      <vt:lpstr>QgsTop</vt:lpstr>
      <vt:lpstr>QgTop</vt:lpstr>
      <vt:lpstr>QossBot</vt:lpstr>
      <vt:lpstr>QrrBot</vt:lpstr>
      <vt:lpstr>QrrSky</vt:lpstr>
      <vt:lpstr>Rcea1</vt:lpstr>
      <vt:lpstr>Rcea1_u</vt:lpstr>
      <vt:lpstr>Rcea2</vt:lpstr>
      <vt:lpstr>Rcea2_u</vt:lpstr>
      <vt:lpstr>RCinEsr</vt:lpstr>
      <vt:lpstr>RCoutEsr</vt:lpstr>
      <vt:lpstr>Rdcr</vt:lpstr>
      <vt:lpstr>RDSON_sense</vt:lpstr>
      <vt:lpstr>RdsonBot</vt:lpstr>
      <vt:lpstr>RdsonBotTc</vt:lpstr>
      <vt:lpstr>RdsonDRB</vt:lpstr>
      <vt:lpstr>RdsonDRB2</vt:lpstr>
      <vt:lpstr>RdsonDRT</vt:lpstr>
      <vt:lpstr>RdsonDRT2</vt:lpstr>
      <vt:lpstr>RdsonTop</vt:lpstr>
      <vt:lpstr>RdsonTopTc</vt:lpstr>
      <vt:lpstr>Resrmax</vt:lpstr>
      <vt:lpstr>Rfadj</vt:lpstr>
      <vt:lpstr>Rfb2_u</vt:lpstr>
      <vt:lpstr>Rfets</vt:lpstr>
      <vt:lpstr>RGateBot</vt:lpstr>
      <vt:lpstr>RGateTop</vt:lpstr>
      <vt:lpstr>Rh</vt:lpstr>
      <vt:lpstr>Rilim_Rdson</vt:lpstr>
      <vt:lpstr>Rilim_Rdson_ideal</vt:lpstr>
      <vt:lpstr>Rilim_shunt</vt:lpstr>
      <vt:lpstr>Rilim_shunt_ideal</vt:lpstr>
      <vt:lpstr>Ro</vt:lpstr>
      <vt:lpstr>Rpg</vt:lpstr>
      <vt:lpstr>Rsb</vt:lpstr>
      <vt:lpstr>Rshunt</vt:lpstr>
      <vt:lpstr>Ruvlo1</vt:lpstr>
      <vt:lpstr>Ruvlo2</vt:lpstr>
      <vt:lpstr>SCH_RDSON</vt:lpstr>
      <vt:lpstr>SCH_SHUNT</vt:lpstr>
      <vt:lpstr>Ta</vt:lpstr>
      <vt:lpstr>Tf</vt:lpstr>
      <vt:lpstr>ThetaCa</vt:lpstr>
      <vt:lpstr>ThetaJaBot</vt:lpstr>
      <vt:lpstr>ThetaJaCtrl</vt:lpstr>
      <vt:lpstr>ThetaJaTop</vt:lpstr>
      <vt:lpstr>TL</vt:lpstr>
      <vt:lpstr>Tr</vt:lpstr>
      <vt:lpstr>TrrBot</vt:lpstr>
      <vt:lpstr>Tss</vt:lpstr>
      <vt:lpstr>VARIANT</vt:lpstr>
      <vt:lpstr>Vdd</vt:lpstr>
      <vt:lpstr>VfdSky</vt:lpstr>
      <vt:lpstr>Vin</vt:lpstr>
      <vt:lpstr>VIN_MAX_RATING</vt:lpstr>
      <vt:lpstr>VIN_MIN_RATING</vt:lpstr>
      <vt:lpstr>Vinmax</vt:lpstr>
      <vt:lpstr>Vinmin</vt:lpstr>
      <vt:lpstr>Vinripple1</vt:lpstr>
      <vt:lpstr>Vinripple2</vt:lpstr>
      <vt:lpstr>VINuvlo_off</vt:lpstr>
      <vt:lpstr>VINuvlo_on</vt:lpstr>
      <vt:lpstr>Vout</vt:lpstr>
      <vt:lpstr>VOUT_MAX_RATING</vt:lpstr>
      <vt:lpstr>Vramp</vt:lpstr>
      <vt:lpstr>Vref</vt:lpstr>
      <vt:lpstr>Vripple1</vt:lpstr>
      <vt:lpstr>Vripple2</vt:lpstr>
      <vt:lpstr>VsdBot</vt:lpstr>
      <vt:lpstr>VsdTop</vt:lpstr>
      <vt:lpstr>VspTop</vt:lpstr>
      <vt:lpstr>VthTop</vt:lpstr>
      <vt:lpstr>Vuvlo_hys</vt:lpstr>
      <vt:lpstr>Vuvlo_off</vt:lpstr>
      <vt:lpstr>Vuvlo_on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LM5146-Q1 Design Tool</dc:title>
  <dc:creator>Timothy Hegarty</dc:creator>
  <cp:keywords>LM5146-Q1, PWM controller, synchronous buck, wide Vin</cp:keywords>
  <cp:lastModifiedBy>ja ol</cp:lastModifiedBy>
  <cp:lastPrinted>2017-06-16T22:24:31Z</cp:lastPrinted>
  <dcterms:created xsi:type="dcterms:W3CDTF">1996-10-14T23:33:28Z</dcterms:created>
  <dcterms:modified xsi:type="dcterms:W3CDTF">2025-09-03T08:02:16Z</dcterms:modified>
</cp:coreProperties>
</file>